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drawings/drawing2.xml" ContentType="application/vnd.openxmlformats-officedocument.drawing+xml"/>
  <Override PartName="/xl/ctrlProps/ctrlProp17.xml" ContentType="application/vnd.ms-excel.controlproperties+xml"/>
  <Override PartName="/xl/ctrlProps/ctrlProp1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F:\JEGYZŐI KABINET\Szervezési Csoport\2026\HONLAP FELTÖLTÉS\2024\VB\Előterjesztések 2024. november\"/>
    </mc:Choice>
  </mc:AlternateContent>
  <xr:revisionPtr revIDLastSave="0" documentId="8_{803D9934-BA1E-4830-9A52-A7DF1F1C92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a.mell " sheetId="115" r:id="rId1"/>
    <sheet name="1b.mell " sheetId="136" r:id="rId2"/>
    <sheet name="1c.mell " sheetId="98" r:id="rId3"/>
    <sheet name="2.mell" sheetId="135" r:id="rId4"/>
    <sheet name="3a.m." sheetId="43" r:id="rId5"/>
    <sheet name="3c.m." sheetId="44" r:id="rId6"/>
    <sheet name="3d.m." sheetId="125" r:id="rId7"/>
    <sheet name="4.mell." sheetId="47" r:id="rId8"/>
    <sheet name="5.mell. " sheetId="48" r:id="rId9"/>
    <sheet name="6.mell. " sheetId="49" r:id="rId10"/>
    <sheet name="7.mell" sheetId="137" r:id="rId11"/>
    <sheet name="8.mell. " sheetId="138" r:id="rId12"/>
    <sheet name="9.mell. " sheetId="139" r:id="rId13"/>
    <sheet name="10.mell " sheetId="140" r:id="rId14"/>
    <sheet name="11.mell" sheetId="141" r:id="rId15"/>
    <sheet name="12.mell" sheetId="142" r:id="rId16"/>
    <sheet name="13.mell" sheetId="143" r:id="rId17"/>
    <sheet name="14.mell" sheetId="144" r:id="rId18"/>
    <sheet name="15.mell" sheetId="145" r:id="rId19"/>
    <sheet name="16.mell" sheetId="146" r:id="rId20"/>
    <sheet name="17.mell" sheetId="147" r:id="rId21"/>
  </sheets>
  <externalReferences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</externalReferences>
  <definedNames>
    <definedName name="_xlnm._FilterDatabase" localSheetId="14" hidden="1">'11.mell'!$A$9:$N$156</definedName>
    <definedName name="_xlnm._FilterDatabase" localSheetId="15" hidden="1">'12.mell'!$A$6:$M$93</definedName>
    <definedName name="_xlnm._FilterDatabase" localSheetId="19" hidden="1">'16.mell'!$A$1:$F$420</definedName>
    <definedName name="_xlnm._FilterDatabase" localSheetId="5" hidden="1">'3c.m.'!$A$5:$H$878</definedName>
    <definedName name="adósság">0</definedName>
    <definedName name="beruh" localSheetId="13">#REF!</definedName>
    <definedName name="beruh" localSheetId="14">#REF!</definedName>
    <definedName name="beruh" localSheetId="15">#REF!</definedName>
    <definedName name="beruh" localSheetId="16">#REF!</definedName>
    <definedName name="beruh" localSheetId="17">#REF!</definedName>
    <definedName name="beruh" localSheetId="18">#REF!</definedName>
    <definedName name="beruh" localSheetId="19">#REF!</definedName>
    <definedName name="beruh" localSheetId="20">#REF!</definedName>
    <definedName name="beruh" localSheetId="10">#REF!</definedName>
    <definedName name="beruh" localSheetId="11">#REF!</definedName>
    <definedName name="beruh" localSheetId="12">#REF!</definedName>
    <definedName name="beruh">#REF!</definedName>
    <definedName name="beruházás" localSheetId="13">#REF!</definedName>
    <definedName name="beruházás" localSheetId="14">#REF!</definedName>
    <definedName name="beruházás" localSheetId="15">#REF!</definedName>
    <definedName name="beruházás" localSheetId="16">#REF!</definedName>
    <definedName name="beruházás" localSheetId="17">#REF!</definedName>
    <definedName name="beruházás" localSheetId="18">#REF!</definedName>
    <definedName name="beruházás" localSheetId="19">#REF!</definedName>
    <definedName name="beruházás" localSheetId="20">#REF!</definedName>
    <definedName name="beruházás" localSheetId="10">#REF!</definedName>
    <definedName name="beruházás" localSheetId="11">#REF!</definedName>
    <definedName name="beruházás" localSheetId="12">#REF!</definedName>
    <definedName name="beruházás">#REF!</definedName>
    <definedName name="cs8_sz_melleklet_Dim01">"="</definedName>
    <definedName name="cs8_sz_melleklet_Dim02">"="</definedName>
    <definedName name="cs8_sz_melleklet_Dim03">"="</definedName>
    <definedName name="cs8_sz_melleklet_Dim04">"="</definedName>
    <definedName name="cs8_sz_melleklet_Dim05">"="</definedName>
    <definedName name="cs8_sz_melleklet_Dim06">"="</definedName>
    <definedName name="cs8_sz_melleklet_Dim07">"="</definedName>
    <definedName name="cs8_sz_melleklet_Dim08">"="</definedName>
    <definedName name="cs8_sz_melleklet_Dim09">"="</definedName>
    <definedName name="cs8_sz_melleklet_Dim10">"="</definedName>
    <definedName name="cs8_sz_melleklet_Dim11">"="</definedName>
    <definedName name="cs8_sz_melleklet_Dim12">"="</definedName>
    <definedName name="cs8_sz_mellekletAnchor">#REF!</definedName>
    <definedName name="cs9_sz_melleklet_Dim01">"="</definedName>
    <definedName name="cs9_sz_melleklet_Dim02">"="</definedName>
    <definedName name="cs9_sz_melleklet_Dim03">"="</definedName>
    <definedName name="cs9_sz_melleklet_Dim04">"="</definedName>
    <definedName name="cs9_sz_melleklet_Dim05">"="</definedName>
    <definedName name="cs9_sz_melleklet_Dim06">"="</definedName>
    <definedName name="cs9_sz_melleklet_Dim07">"="</definedName>
    <definedName name="cs9_sz_melleklet_Dim08">"="</definedName>
    <definedName name="cs9_sz_melleklet_Dim09">"="</definedName>
    <definedName name="cs9_sz_melleklet_Dim10">"="</definedName>
    <definedName name="cs9_sz_melleklet_Dim11">"="</definedName>
    <definedName name="cs9_sz_melleklet_Dim12">"="</definedName>
    <definedName name="cs9_sz_mellekletAnchor">#REF!</definedName>
    <definedName name="csAlapy_rendeleti_tabla_excel_Dim01">"="</definedName>
    <definedName name="csAlapy_rendeleti_tabla_excel_Dim02">"="</definedName>
    <definedName name="csAlapy_rendeleti_tabla_excel_Dim03">"="</definedName>
    <definedName name="csAlapy_rendeleti_tabla_excel_Dim04">"="</definedName>
    <definedName name="csAlapy_rendeleti_tabla_excel_Dim05">"="</definedName>
    <definedName name="csAlapy_rendeleti_tabla_excel_Dim06">"="</definedName>
    <definedName name="csAlapy_rendeleti_tabla_excel_Dim07">"="</definedName>
    <definedName name="csAlapy_rendeleti_tabla_excel_Dim08">"="</definedName>
    <definedName name="csAlapy_rendeleti_tabla_excel_Dim09">"="</definedName>
    <definedName name="csAlapy_rendeleti_tabla_excel_Dim10">"="</definedName>
    <definedName name="csAlapy_rendeleti_tabla_excel_Dim11">"="</definedName>
    <definedName name="csAlapy_rendeleti_tabla_excel_Dim12">"="</definedName>
    <definedName name="csAllowDetailBudgeting">1</definedName>
    <definedName name="csAllowLocalConsolidation">1</definedName>
    <definedName name="csAlt_spec_iskola_rendeleti_tabla_excel_Dim01">"="</definedName>
    <definedName name="csAlt_spec_iskola_rendeleti_tabla_excel_Dim02">"="</definedName>
    <definedName name="csAlt_spec_iskola_rendeleti_tabla_excel_Dim03">"="</definedName>
    <definedName name="csAlt_spec_iskola_rendeleti_tabla_excel_Dim04">"="</definedName>
    <definedName name="csAlt_spec_iskola_rendeleti_tabla_excel_Dim05">"="</definedName>
    <definedName name="csAlt_spec_iskola_rendeleti_tabla_excel_Dim06">"="</definedName>
    <definedName name="csAlt_spec_iskola_rendeleti_tabla_excel_Dim07">"="</definedName>
    <definedName name="csAlt_spec_iskola_rendeleti_tabla_excel_Dim08">"="</definedName>
    <definedName name="csAlt_spec_iskola_rendeleti_tabla_excel_Dim09">"="</definedName>
    <definedName name="csAlt_spec_iskola_rendeleti_tabla_excel_Dim10">"="</definedName>
    <definedName name="csAlt_spec_iskola_rendeleti_tabla_excel_Dim11">"="</definedName>
    <definedName name="csAlt_spec_iskola_rendeleti_tabla_excel_Dim12">"="</definedName>
    <definedName name="csAppName">"FlFcBkFmGhGaFj@bAeDmE`CoA`DbAk"</definedName>
    <definedName name="csArany_Janos_rendeleti_tabla_excel_Dim01">"="</definedName>
    <definedName name="csArany_Janos_rendeleti_tabla_excel_Dim02">"="</definedName>
    <definedName name="csArany_Janos_rendeleti_tabla_excel_Dim03">"="</definedName>
    <definedName name="csArany_Janos_rendeleti_tabla_excel_Dim04">"="</definedName>
    <definedName name="csArany_Janos_rendeleti_tabla_excel_Dim05">"="</definedName>
    <definedName name="csArany_Janos_rendeleti_tabla_excel_Dim06">"="</definedName>
    <definedName name="csArany_Janos_rendeleti_tabla_excel_Dim07">"="</definedName>
    <definedName name="csArany_Janos_rendeleti_tabla_excel_Dim08">"="</definedName>
    <definedName name="csArany_Janos_rendeleti_tabla_excel_Dim09">"="</definedName>
    <definedName name="csArany_Janos_rendeleti_tabla_excel_Dim10">"="</definedName>
    <definedName name="csArany_Janos_rendeleti_tabla_excel_Dim11">"="</definedName>
    <definedName name="csArany_Janos_rendeleti_tabla_excel_Dim12">"="</definedName>
    <definedName name="csberuhazas_felujitas_Dim01">"="</definedName>
    <definedName name="csberuhazas_felujitas_Dim02">"="</definedName>
    <definedName name="csberuhazas_felujitas_Dim03">"="</definedName>
    <definedName name="csberuhazas_felujitas_Dim04">"="</definedName>
    <definedName name="csberuhazas_felujitas_Dim05">"="</definedName>
    <definedName name="csberuhazas_felujitas_Dim06">"="</definedName>
    <definedName name="csberuhazas_felujitas_Dim07">"="</definedName>
    <definedName name="csberuhazas_felujitas_Dim08">"="</definedName>
    <definedName name="csberuhazas_felujitas_Dim09">"="</definedName>
    <definedName name="csberuhazas_felujitas_Dim10">"="</definedName>
    <definedName name="csberuhazas_felujitas_Dim11">"="</definedName>
    <definedName name="csberuhazas_felujitas_Dim12">#REF!</definedName>
    <definedName name="csberuhazas_felujitasAnchor">#REF!</definedName>
    <definedName name="csBottyan_rendeleti_tabla_excel_Dim01">"="</definedName>
    <definedName name="csBottyan_rendeleti_tabla_excel_Dim02">"="</definedName>
    <definedName name="csBottyan_rendeleti_tabla_excel_Dim03">"="</definedName>
    <definedName name="csBottyan_rendeleti_tabla_excel_Dim04">"="</definedName>
    <definedName name="csBottyan_rendeleti_tabla_excel_Dim05">"="</definedName>
    <definedName name="csBottyan_rendeleti_tabla_excel_Dim06">"="</definedName>
    <definedName name="csBottyan_rendeleti_tabla_excel_Dim07">"="</definedName>
    <definedName name="csBottyan_rendeleti_tabla_excel_Dim08">"="</definedName>
    <definedName name="csBottyan_rendeleti_tabla_excel_Dim09">"="</definedName>
    <definedName name="csBottyan_rendeleti_tabla_excel_Dim10">"="</definedName>
    <definedName name="csBottyan_rendeleti_tabla_excel_Dim11">"="</definedName>
    <definedName name="csBottyan_rendeleti_tabla_excel_Dim12">"="</definedName>
    <definedName name="csceltartalekok_Dim01">"="</definedName>
    <definedName name="csceltartalekok_Dim02">"="</definedName>
    <definedName name="csceltartalekok_Dim03">"="</definedName>
    <definedName name="csceltartalekok_Dim04">"="</definedName>
    <definedName name="csceltartalekok_Dim05">"="</definedName>
    <definedName name="csceltartalekok_Dim06">"="</definedName>
    <definedName name="csceltartalekok_Dim07">"="</definedName>
    <definedName name="csceltartalekok_Dim08">"="</definedName>
    <definedName name="csceltartalekok_Dim09">"="</definedName>
    <definedName name="csceltartalekok_Dim10">"="</definedName>
    <definedName name="csceltartalekok_Dim11">"="</definedName>
    <definedName name="csceltartalekok_Dim12">#REF!</definedName>
    <definedName name="csceltartalekokAnchor">#REF!</definedName>
    <definedName name="csCigany_rendeleti_tabla_Dim01">"="</definedName>
    <definedName name="csCigany_rendeleti_tabla_Dim02">"="</definedName>
    <definedName name="csCigany_rendeleti_tabla_Dim03">"="</definedName>
    <definedName name="csCigany_rendeleti_tabla_Dim04">"="</definedName>
    <definedName name="csCigany_rendeleti_tabla_Dim05">"="</definedName>
    <definedName name="csCigany_rendeleti_tabla_Dim06">"="</definedName>
    <definedName name="csCigany_rendeleti_tabla_Dim07">"="</definedName>
    <definedName name="csCigany_rendeleti_tabla_Dim08">"="</definedName>
    <definedName name="csCigany_rendeleti_tabla_Dim09">"="</definedName>
    <definedName name="csCigany_rendeleti_tabla_Dim10">"="</definedName>
    <definedName name="csCigany_rendeleti_tabla_Dim11">"="</definedName>
    <definedName name="csCigany_rendeleti_tabla_Dim12">"="</definedName>
    <definedName name="csCigany_rendeleti_tablaAnchor">#REF!</definedName>
    <definedName name="csDesignMode">1</definedName>
    <definedName name="csDetailBudgetingURL">"FlFcBkFmGhGaD`@c@eEj@oFdFhEdAlAgEoE`@iAeBmBdDkAn@fDoEgFdCcEeEfAaEkEhAjEcBgFoDi@d@aAeGdCkCgAjCkA`DmEbAnDnAnBdDjEaCbDkDaGf@eEbAm@bDlDaE`GbBfBmDlAb@c"</definedName>
    <definedName name="csEotvos_gimn_rendeleti_tabla_excel_Dim01">"="</definedName>
    <definedName name="csEotvos_gimn_rendeleti_tabla_excel_Dim02">"="</definedName>
    <definedName name="csEotvos_gimn_rendeleti_tabla_excel_Dim03">"="</definedName>
    <definedName name="csEotvos_gimn_rendeleti_tabla_excel_Dim04">"="</definedName>
    <definedName name="csEotvos_gimn_rendeleti_tabla_excel_Dim05">"="</definedName>
    <definedName name="csEotvos_gimn_rendeleti_tabla_excel_Dim06">"="</definedName>
    <definedName name="csEotvos_gimn_rendeleti_tabla_excel_Dim07">"="</definedName>
    <definedName name="csEotvos_gimn_rendeleti_tabla_excel_Dim08">"="</definedName>
    <definedName name="csEotvos_gimn_rendeleti_tabla_excel_Dim09">"="</definedName>
    <definedName name="csEotvos_gimn_rendeleti_tabla_excel_Dim10">"="</definedName>
    <definedName name="csEotvos_gimn_rendeleti_tabla_excel_Dim11">"="</definedName>
    <definedName name="csEotvos_gimn_rendeleti_tabla_excel_Dim12">"="</definedName>
    <definedName name="csEotvos_szakkozep_rendeleti_tabla_excel_Dim01">"="</definedName>
    <definedName name="csEotvos_szakkozep_rendeleti_tabla_excel_Dim02">"="</definedName>
    <definedName name="csEotvos_szakkozep_rendeleti_tabla_excel_Dim03">"="</definedName>
    <definedName name="csEotvos_szakkozep_rendeleti_tabla_excel_Dim04">"="</definedName>
    <definedName name="csEotvos_szakkozep_rendeleti_tabla_excel_Dim05">"="</definedName>
    <definedName name="csEotvos_szakkozep_rendeleti_tabla_excel_Dim06">"="</definedName>
    <definedName name="csEotvos_szakkozep_rendeleti_tabla_excel_Dim07">"="</definedName>
    <definedName name="csEotvos_szakkozep_rendeleti_tabla_excel_Dim08">"="</definedName>
    <definedName name="csEotvos_szakkozep_rendeleti_tabla_excel_Dim09">"="</definedName>
    <definedName name="csEotvos_szakkozep_rendeleti_tabla_excel_Dim10">"="</definedName>
    <definedName name="csEotvos_szakkozep_rendeleti_tabla_excel_Dim11">"="</definedName>
    <definedName name="csEotvos_szakkozep_rendeleti_tabla_excel_Dim12">"="</definedName>
    <definedName name="csErkel_rendeleti_tabla_excel_Dim01">"="</definedName>
    <definedName name="csErkel_rendeleti_tabla_excel_Dim02">"="</definedName>
    <definedName name="csErkel_rendeleti_tabla_excel_Dim03">"="</definedName>
    <definedName name="csErkel_rendeleti_tabla_excel_Dim04">"="</definedName>
    <definedName name="csErkel_rendeleti_tabla_excel_Dim05">"="</definedName>
    <definedName name="csErkel_rendeleti_tabla_excel_Dim06">"="</definedName>
    <definedName name="csErkel_rendeleti_tabla_excel_Dim07">"="</definedName>
    <definedName name="csErkel_rendeleti_tabla_excel_Dim08">"="</definedName>
    <definedName name="csErkel_rendeleti_tabla_excel_Dim09">"="</definedName>
    <definedName name="csErkel_rendeleti_tabla_excel_Dim10">"="</definedName>
    <definedName name="csErkel_rendeleti_tabla_excel_Dim11">"="</definedName>
    <definedName name="csErkel_rendeleti_tabla_excel_Dim12">"="</definedName>
    <definedName name="csEsthajnal_rendeleti_tabla_excel_Dim01">"="</definedName>
    <definedName name="csEsthajnal_rendeleti_tabla_excel_Dim02">"="</definedName>
    <definedName name="csEsthajnal_rendeleti_tabla_excel_Dim03">"="</definedName>
    <definedName name="csEsthajnal_rendeleti_tabla_excel_Dim04">"="</definedName>
    <definedName name="csEsthajnal_rendeleti_tabla_excel_Dim05">"="</definedName>
    <definedName name="csEsthajnal_rendeleti_tabla_excel_Dim06">"="</definedName>
    <definedName name="csEsthajnal_rendeleti_tabla_excel_Dim07">"="</definedName>
    <definedName name="csEsthajnal_rendeleti_tabla_excel_Dim08">"="</definedName>
    <definedName name="csEsthajnal_rendeleti_tabla_excel_Dim09">"="</definedName>
    <definedName name="csEsthajnal_rendeleti_tabla_excel_Dim10">"="</definedName>
    <definedName name="csEsthajnal_rendeleti_tabla_excel_Dim11">"="</definedName>
    <definedName name="csEsthajnal_rendeleti_tabla_excel_Dim12">"="</definedName>
    <definedName name="csexcel_Cigany_rend_tabla_konc_Dim01">"="</definedName>
    <definedName name="csexcel_Cigany_rend_tabla_konc_Dim02">"="</definedName>
    <definedName name="csexcel_Cigany_rend_tabla_konc_Dim03">"="</definedName>
    <definedName name="csexcel_Cigany_rend_tabla_konc_Dim04">"="</definedName>
    <definedName name="csexcel_Cigany_rend_tabla_konc_Dim05">"="</definedName>
    <definedName name="csexcel_Cigany_rend_tabla_konc_Dim06">"="</definedName>
    <definedName name="csexcel_Cigany_rend_tabla_konc_Dim07">"="</definedName>
    <definedName name="csexcel_Cigany_rend_tabla_konc_Dim08">"="</definedName>
    <definedName name="csexcel_Cigany_rend_tabla_konc_Dim09">"="</definedName>
    <definedName name="csexcel_Cigany_rend_tabla_konc_Dim10">"="</definedName>
    <definedName name="csexcel_Cigany_rend_tabla_konc_Dim11">"="</definedName>
    <definedName name="csexcel_Cigany_rend_tabla_konc_Dim12">"="</definedName>
    <definedName name="csexcel_int_alapy_Dim01">"="</definedName>
    <definedName name="csexcel_int_alapy_Dim02">"="</definedName>
    <definedName name="csexcel_int_alapy_Dim03">"="</definedName>
    <definedName name="csexcel_int_alapy_Dim04">"="</definedName>
    <definedName name="csexcel_int_alapy_Dim05">"="</definedName>
    <definedName name="csexcel_int_alapy_Dim06">"="</definedName>
    <definedName name="csexcel_int_alapy_Dim07">"="</definedName>
    <definedName name="csexcel_int_alapy_Dim08">"="</definedName>
    <definedName name="csexcel_int_alapy_Dim09">"="</definedName>
    <definedName name="csexcel_int_alapy_Dim10">"="</definedName>
    <definedName name="csexcel_int_alapy_Dim11">"="</definedName>
    <definedName name="csexcel_int_alapy_Dim12">"="</definedName>
    <definedName name="csexcel_int_alapy_konc_Dim01">"="</definedName>
    <definedName name="csexcel_int_alapy_konc_Dim02">"="</definedName>
    <definedName name="csexcel_int_alapy_konc_Dim03">"="</definedName>
    <definedName name="csexcel_int_alapy_konc_Dim04">"="</definedName>
    <definedName name="csexcel_int_alapy_konc_Dim05">"="</definedName>
    <definedName name="csexcel_int_alapy_konc_Dim06">"="</definedName>
    <definedName name="csexcel_int_alapy_konc_Dim07">"="</definedName>
    <definedName name="csexcel_int_alapy_konc_Dim08">"="</definedName>
    <definedName name="csexcel_int_alapy_konc_Dim09">"="</definedName>
    <definedName name="csexcel_int_alapy_konc_Dim10">"="</definedName>
    <definedName name="csexcel_int_alapy_konc_Dim11">"="</definedName>
    <definedName name="csexcel_int_alapy_konc_Dim12">"="</definedName>
    <definedName name="csexcel_int_alapyAnchor">[1]Alapy!#REF!</definedName>
    <definedName name="csexcel_int_alt_spec_isk_Dim01">"="</definedName>
    <definedName name="csexcel_int_alt_spec_isk_Dim02">"="</definedName>
    <definedName name="csexcel_int_alt_spec_isk_Dim03">"="</definedName>
    <definedName name="csexcel_int_alt_spec_isk_Dim04">"="</definedName>
    <definedName name="csexcel_int_alt_spec_isk_Dim05">"="</definedName>
    <definedName name="csexcel_int_alt_spec_isk_Dim06">"="</definedName>
    <definedName name="csexcel_int_alt_spec_isk_Dim07">"="</definedName>
    <definedName name="csexcel_int_alt_spec_isk_Dim08">"="</definedName>
    <definedName name="csexcel_int_alt_spec_isk_Dim09">"="</definedName>
    <definedName name="csexcel_int_alt_spec_isk_Dim10">"="</definedName>
    <definedName name="csexcel_int_alt_spec_isk_Dim11">"="</definedName>
    <definedName name="csexcel_int_alt_spec_isk_Dim12">"="</definedName>
    <definedName name="csexcel_int_alt_spec_isk_konc_Dim01">"="</definedName>
    <definedName name="csexcel_int_alt_spec_isk_konc_Dim02">"="</definedName>
    <definedName name="csexcel_int_alt_spec_isk_konc_Dim03">"="</definedName>
    <definedName name="csexcel_int_alt_spec_isk_konc_Dim04">"="</definedName>
    <definedName name="csexcel_int_alt_spec_isk_konc_Dim05">"="</definedName>
    <definedName name="csexcel_int_alt_spec_isk_konc_Dim06">"="</definedName>
    <definedName name="csexcel_int_alt_spec_isk_konc_Dim07">"="</definedName>
    <definedName name="csexcel_int_alt_spec_isk_konc_Dim08">"="</definedName>
    <definedName name="csexcel_int_alt_spec_isk_konc_Dim09">"="</definedName>
    <definedName name="csexcel_int_alt_spec_isk_konc_Dim10">"="</definedName>
    <definedName name="csexcel_int_alt_spec_isk_konc_Dim11">"="</definedName>
    <definedName name="csexcel_int_alt_spec_isk_konc_Dim12">"="</definedName>
    <definedName name="csexcel_int_alt_spec_iskAnchor">'[1]Óvoda,Ált.spec.isk'!#REF!</definedName>
    <definedName name="csexcel_int_arany_janos_Dim01">"="</definedName>
    <definedName name="csexcel_int_arany_janos_Dim02">"="</definedName>
    <definedName name="csexcel_int_arany_janos_Dim03">"="</definedName>
    <definedName name="csexcel_int_arany_janos_Dim04">"="</definedName>
    <definedName name="csexcel_int_arany_janos_Dim05">"="</definedName>
    <definedName name="csexcel_int_arany_janos_Dim06">"="</definedName>
    <definedName name="csexcel_int_arany_janos_Dim07">"="</definedName>
    <definedName name="csexcel_int_arany_janos_Dim08">"="</definedName>
    <definedName name="csexcel_int_arany_janos_Dim09">"="</definedName>
    <definedName name="csexcel_int_arany_janos_Dim10">"="</definedName>
    <definedName name="csexcel_int_arany_janos_Dim11">"="</definedName>
    <definedName name="csexcel_int_arany_janos_Dim12">"="</definedName>
    <definedName name="csexcel_int_arany_janosAnchor">#REF!</definedName>
    <definedName name="csexcel_int_bottyan_Dim01">"="</definedName>
    <definedName name="csexcel_int_bottyan_Dim02">"="</definedName>
    <definedName name="csexcel_int_bottyan_Dim03">"="</definedName>
    <definedName name="csexcel_int_bottyan_Dim04">"="</definedName>
    <definedName name="csexcel_int_bottyan_Dim05">"="</definedName>
    <definedName name="csexcel_int_bottyan_Dim06">"="</definedName>
    <definedName name="csexcel_int_bottyan_Dim07">"="</definedName>
    <definedName name="csexcel_int_bottyan_Dim08">"="</definedName>
    <definedName name="csexcel_int_bottyan_Dim09">"="</definedName>
    <definedName name="csexcel_int_bottyan_Dim10">"="</definedName>
    <definedName name="csexcel_int_bottyan_Dim11">"="</definedName>
    <definedName name="csexcel_int_bottyan_Dim12">"="</definedName>
    <definedName name="csexcel_int_bottyan_konc_Dim01">"="</definedName>
    <definedName name="csexcel_int_bottyan_konc_Dim02">"="</definedName>
    <definedName name="csexcel_int_bottyan_konc_Dim03">"="</definedName>
    <definedName name="csexcel_int_bottyan_konc_Dim04">"="</definedName>
    <definedName name="csexcel_int_bottyan_konc_Dim05">"="</definedName>
    <definedName name="csexcel_int_bottyan_konc_Dim06">"="</definedName>
    <definedName name="csexcel_int_bottyan_konc_Dim07">"="</definedName>
    <definedName name="csexcel_int_bottyan_konc_Dim08">"="</definedName>
    <definedName name="csexcel_int_bottyan_konc_Dim09">"="</definedName>
    <definedName name="csexcel_int_bottyan_konc_Dim10">"="</definedName>
    <definedName name="csexcel_int_bottyan_konc_Dim11">"="</definedName>
    <definedName name="csexcel_int_bottyan_konc_Dim12">"="</definedName>
    <definedName name="csexcel_int_bottyan_koncAnchor">#REF!</definedName>
    <definedName name="csexcel_int_bottyanAnchor">#REF!</definedName>
    <definedName name="csexcel_int_eotvos_gimn_Dim01">"="</definedName>
    <definedName name="csexcel_int_eotvos_gimn_Dim02">"="</definedName>
    <definedName name="csexcel_int_eotvos_gimn_Dim03">"="</definedName>
    <definedName name="csexcel_int_eotvos_gimn_Dim04">"="</definedName>
    <definedName name="csexcel_int_eotvos_gimn_Dim05">"="</definedName>
    <definedName name="csexcel_int_eotvos_gimn_Dim06">"="</definedName>
    <definedName name="csexcel_int_eotvos_gimn_Dim07">"="</definedName>
    <definedName name="csexcel_int_eotvos_gimn_Dim08">"="</definedName>
    <definedName name="csexcel_int_eotvos_gimn_Dim09">"="</definedName>
    <definedName name="csexcel_int_eotvos_gimn_Dim10">"="</definedName>
    <definedName name="csexcel_int_eotvos_gimn_Dim11">"="</definedName>
    <definedName name="csexcel_int_eotvos_gimn_Dim12">"="</definedName>
    <definedName name="csexcel_int_eotvos_gimnAnchor">#REF!</definedName>
    <definedName name="csexcel_int_eotvos_szakk_Dim01">"="</definedName>
    <definedName name="csexcel_int_eotvos_szakk_Dim02">"="</definedName>
    <definedName name="csexcel_int_eotvos_szakk_Dim03">"="</definedName>
    <definedName name="csexcel_int_eotvos_szakk_Dim04">"="</definedName>
    <definedName name="csexcel_int_eotvos_szakk_Dim05">"="</definedName>
    <definedName name="csexcel_int_eotvos_szakk_Dim06">"="</definedName>
    <definedName name="csexcel_int_eotvos_szakk_Dim07">"="</definedName>
    <definedName name="csexcel_int_eotvos_szakk_Dim08">"="</definedName>
    <definedName name="csexcel_int_eotvos_szakk_Dim09">"="</definedName>
    <definedName name="csexcel_int_eotvos_szakk_Dim10">"="</definedName>
    <definedName name="csexcel_int_eotvos_szakk_Dim11">"="</definedName>
    <definedName name="csexcel_int_eotvos_szakk_Dim12">"="</definedName>
    <definedName name="csexcel_int_eotvos_szakk_konc_Dim01">"="</definedName>
    <definedName name="csexcel_int_eotvos_szakk_konc_Dim02">"="</definedName>
    <definedName name="csexcel_int_eotvos_szakk_konc_Dim03">"="</definedName>
    <definedName name="csexcel_int_eotvos_szakk_konc_Dim04">"="</definedName>
    <definedName name="csexcel_int_eotvos_szakk_konc_Dim05">"="</definedName>
    <definedName name="csexcel_int_eotvos_szakk_konc_Dim06">"="</definedName>
    <definedName name="csexcel_int_eotvos_szakk_konc_Dim07">"="</definedName>
    <definedName name="csexcel_int_eotvos_szakk_konc_Dim08">"="</definedName>
    <definedName name="csexcel_int_eotvos_szakk_konc_Dim09">"="</definedName>
    <definedName name="csexcel_int_eotvos_szakk_konc_Dim10">"="</definedName>
    <definedName name="csexcel_int_eotvos_szakk_konc_Dim11">"="</definedName>
    <definedName name="csexcel_int_eotvos_szakk_konc_Dim12">"="</definedName>
    <definedName name="csexcel_int_eotvos_szakkAnchor">'[1]Eötvös Szakk.'!#REF!</definedName>
    <definedName name="csexcel_int_erkel_Dim01">"="</definedName>
    <definedName name="csexcel_int_erkel_Dim02">"="</definedName>
    <definedName name="csexcel_int_erkel_Dim03">"="</definedName>
    <definedName name="csexcel_int_erkel_Dim04">"="</definedName>
    <definedName name="csexcel_int_erkel_Dim05">"="</definedName>
    <definedName name="csexcel_int_erkel_Dim06">"="</definedName>
    <definedName name="csexcel_int_erkel_Dim07">"="</definedName>
    <definedName name="csexcel_int_erkel_Dim08">"="</definedName>
    <definedName name="csexcel_int_erkel_Dim09">"="</definedName>
    <definedName name="csexcel_int_erkel_Dim10">"="</definedName>
    <definedName name="csexcel_int_erkel_Dim11">"="</definedName>
    <definedName name="csexcel_int_erkel_Dim12">"="</definedName>
    <definedName name="csexcel_int_erkel_konc_Dim01">"="</definedName>
    <definedName name="csexcel_int_erkel_konc_Dim02">"="</definedName>
    <definedName name="csexcel_int_erkel_konc_Dim03">"="</definedName>
    <definedName name="csexcel_int_erkel_konc_Dim04">"="</definedName>
    <definedName name="csexcel_int_erkel_konc_Dim05">"="</definedName>
    <definedName name="csexcel_int_erkel_konc_Dim06">"="</definedName>
    <definedName name="csexcel_int_erkel_konc_Dim07">"="</definedName>
    <definedName name="csexcel_int_erkel_konc_Dim08">"="</definedName>
    <definedName name="csexcel_int_erkel_konc_Dim09">"="</definedName>
    <definedName name="csexcel_int_erkel_konc_Dim10">"="</definedName>
    <definedName name="csexcel_int_erkel_konc_Dim11">"="</definedName>
    <definedName name="csexcel_int_erkel_konc_Dim12">"="</definedName>
    <definedName name="csexcel_int_erkelAnchor">[1]Erkel!#REF!</definedName>
    <definedName name="csexcel_int_esthajnal_Dim01">"="</definedName>
    <definedName name="csexcel_int_esthajnal_Dim02">"="</definedName>
    <definedName name="csexcel_int_esthajnal_Dim03">"="</definedName>
    <definedName name="csexcel_int_esthajnal_Dim04">"="</definedName>
    <definedName name="csexcel_int_esthajnal_Dim05">"="</definedName>
    <definedName name="csexcel_int_esthajnal_Dim06">"="</definedName>
    <definedName name="csexcel_int_esthajnal_Dim07">"="</definedName>
    <definedName name="csexcel_int_esthajnal_Dim08">"="</definedName>
    <definedName name="csexcel_int_esthajnal_Dim09">"="</definedName>
    <definedName name="csexcel_int_esthajnal_Dim10">"="</definedName>
    <definedName name="csexcel_int_esthajnal_Dim11">"="</definedName>
    <definedName name="csexcel_int_esthajnal_Dim12">"="</definedName>
    <definedName name="csexcel_int_esthajnalAnchor">#REF!</definedName>
    <definedName name="csexcel_int_feichtinger_Dim01">"="</definedName>
    <definedName name="csexcel_int_feichtinger_Dim02">"="</definedName>
    <definedName name="csexcel_int_feichtinger_Dim03">"="</definedName>
    <definedName name="csexcel_int_feichtinger_Dim04">"="</definedName>
    <definedName name="csexcel_int_feichtinger_Dim05">"="</definedName>
    <definedName name="csexcel_int_feichtinger_Dim06">"="</definedName>
    <definedName name="csexcel_int_feichtinger_Dim07">"="</definedName>
    <definedName name="csexcel_int_feichtinger_Dim08">"="</definedName>
    <definedName name="csexcel_int_feichtinger_Dim09">"="</definedName>
    <definedName name="csexcel_int_feichtinger_Dim10">"="</definedName>
    <definedName name="csexcel_int_feichtinger_Dim11">"="</definedName>
    <definedName name="csexcel_int_feichtinger_Dim12">"="</definedName>
    <definedName name="csexcel_int_feichtingerAnchor">#REF!</definedName>
    <definedName name="csexcel_int_fogy_o_tokodaltaro_Dim01">"="</definedName>
    <definedName name="csexcel_int_fogy_o_tokodaltaro_Dim02">"="</definedName>
    <definedName name="csexcel_int_fogy_o_tokodaltaro_Dim03">"="</definedName>
    <definedName name="csexcel_int_fogy_o_tokodaltaro_Dim04">"="</definedName>
    <definedName name="csexcel_int_fogy_o_tokodaltaro_Dim05">"="</definedName>
    <definedName name="csexcel_int_fogy_o_tokodaltaro_Dim06">"="</definedName>
    <definedName name="csexcel_int_fogy_o_tokodaltaro_Dim07">"="</definedName>
    <definedName name="csexcel_int_fogy_o_tokodaltaro_Dim08">"="</definedName>
    <definedName name="csexcel_int_fogy_o_tokodaltaro_Dim09">"="</definedName>
    <definedName name="csexcel_int_fogy_o_tokodaltaro_Dim10">"="</definedName>
    <definedName name="csexcel_int_fogy_o_tokodaltaro_Dim11">"="</definedName>
    <definedName name="csexcel_int_fogy_o_tokodaltaro_Dim12">"="</definedName>
    <definedName name="csexcel_int_fogy_o_tokodaltaroAnchor">#REF!</definedName>
    <definedName name="csexcel_int_geza_Dim01">"="</definedName>
    <definedName name="csexcel_int_geza_Dim02">"="</definedName>
    <definedName name="csexcel_int_geza_Dim03">"="</definedName>
    <definedName name="csexcel_int_geza_Dim04">"="</definedName>
    <definedName name="csexcel_int_geza_Dim05">"="</definedName>
    <definedName name="csexcel_int_geza_Dim06">"="</definedName>
    <definedName name="csexcel_int_geza_Dim07">"="</definedName>
    <definedName name="csexcel_int_geza_Dim08">"="</definedName>
    <definedName name="csexcel_int_geza_Dim09">"="</definedName>
    <definedName name="csexcel_int_geza_Dim10">"="</definedName>
    <definedName name="csexcel_int_geza_Dim11">"="</definedName>
    <definedName name="csexcel_int_geza_Dim12">"="</definedName>
    <definedName name="csexcel_int_geza_konc_Dim01">"="</definedName>
    <definedName name="csexcel_int_geza_konc_Dim02">"="</definedName>
    <definedName name="csexcel_int_geza_konc_Dim03">"="</definedName>
    <definedName name="csexcel_int_geza_konc_Dim04">"="</definedName>
    <definedName name="csexcel_int_geza_konc_Dim05">"="</definedName>
    <definedName name="csexcel_int_geza_konc_Dim06">"="</definedName>
    <definedName name="csexcel_int_geza_konc_Dim07">"="</definedName>
    <definedName name="csexcel_int_geza_konc_Dim08">"="</definedName>
    <definedName name="csexcel_int_geza_konc_Dim09">"="</definedName>
    <definedName name="csexcel_int_geza_konc_Dim10">"="</definedName>
    <definedName name="csexcel_int_geza_konc_Dim11">"="</definedName>
    <definedName name="csexcel_int_geza_konc_Dim12">"="</definedName>
    <definedName name="csexcel_int_gezaAnchor">[1]Géza!#REF!</definedName>
    <definedName name="csexcel_int_gyszgy_Dim01">"="</definedName>
    <definedName name="csexcel_int_gyszgy_Dim02">"="</definedName>
    <definedName name="csexcel_int_gyszgy_Dim03">"="</definedName>
    <definedName name="csexcel_int_gyszgy_Dim04">"="</definedName>
    <definedName name="csexcel_int_gyszgy_Dim05">"="</definedName>
    <definedName name="csexcel_int_gyszgy_Dim06">"="</definedName>
    <definedName name="csexcel_int_gyszgy_Dim07">"="</definedName>
    <definedName name="csexcel_int_gyszgy_Dim08">"="</definedName>
    <definedName name="csexcel_int_gyszgy_Dim09">"="</definedName>
    <definedName name="csexcel_int_gyszgy_Dim10">"="</definedName>
    <definedName name="csexcel_int_gyszgy_Dim11">"="</definedName>
    <definedName name="csexcel_int_gyszgy_Dim12">"="</definedName>
    <definedName name="csexcel_int_gyszgy_konc_Dim01">"="</definedName>
    <definedName name="csexcel_int_gyszgy_konc_Dim02">"="</definedName>
    <definedName name="csexcel_int_gyszgy_konc_Dim03">"="</definedName>
    <definedName name="csexcel_int_gyszgy_konc_Dim04">"="</definedName>
    <definedName name="csexcel_int_gyszgy_konc_Dim05">"="</definedName>
    <definedName name="csexcel_int_gyszgy_konc_Dim06">"="</definedName>
    <definedName name="csexcel_int_gyszgy_konc_Dim07">"="</definedName>
    <definedName name="csexcel_int_gyszgy_konc_Dim08">"="</definedName>
    <definedName name="csexcel_int_gyszgy_konc_Dim09">"="</definedName>
    <definedName name="csexcel_int_gyszgy_konc_Dim10">"="</definedName>
    <definedName name="csexcel_int_gyszgy_konc_Dim11">"="</definedName>
    <definedName name="csexcel_int_gyszgy_konc_Dim12">"="</definedName>
    <definedName name="csexcel_int_gyszgy_koncAnchor">#REF!</definedName>
    <definedName name="csexcel_int_gyszgyAnchor">#REF!</definedName>
    <definedName name="csexcel_int_hegyhati_Dim01">"="</definedName>
    <definedName name="csexcel_int_hegyhati_Dim02">"="</definedName>
    <definedName name="csexcel_int_hegyhati_Dim03">"="</definedName>
    <definedName name="csexcel_int_hegyhati_Dim04">"="</definedName>
    <definedName name="csexcel_int_hegyhati_Dim05">"="</definedName>
    <definedName name="csexcel_int_hegyhati_Dim06">"="</definedName>
    <definedName name="csexcel_int_hegyhati_Dim07">"="</definedName>
    <definedName name="csexcel_int_hegyhati_Dim08">"="</definedName>
    <definedName name="csexcel_int_hegyhati_Dim09">"="</definedName>
    <definedName name="csexcel_int_hegyhati_Dim10">"="</definedName>
    <definedName name="csexcel_int_hegyhati_Dim11">"="</definedName>
    <definedName name="csexcel_int_hegyhati_Dim12">"="</definedName>
    <definedName name="csexcel_int_hegyhati_konc_Dim01">"="</definedName>
    <definedName name="csexcel_int_hegyhati_konc_Dim02">"="</definedName>
    <definedName name="csexcel_int_hegyhati_konc_Dim03">"="</definedName>
    <definedName name="csexcel_int_hegyhati_konc_Dim04">"="</definedName>
    <definedName name="csexcel_int_hegyhati_konc_Dim05">"="</definedName>
    <definedName name="csexcel_int_hegyhati_konc_Dim06">"="</definedName>
    <definedName name="csexcel_int_hegyhati_konc_Dim07">"="</definedName>
    <definedName name="csexcel_int_hegyhati_konc_Dim08">"="</definedName>
    <definedName name="csexcel_int_hegyhati_konc_Dim09">"="</definedName>
    <definedName name="csexcel_int_hegyhati_konc_Dim10">"="</definedName>
    <definedName name="csexcel_int_hegyhati_konc_Dim11">"="</definedName>
    <definedName name="csexcel_int_hegyhati_konc_Dim12">"="</definedName>
    <definedName name="csexcel_int_hegyhati_koncAnchor">#REF!</definedName>
    <definedName name="csexcel_int_hegyhatiAnchor">#REF!</definedName>
    <definedName name="csexcel_int_integralt_szoc_Dim01">"="</definedName>
    <definedName name="csexcel_int_integralt_szoc_Dim02">"="</definedName>
    <definedName name="csexcel_int_integralt_szoc_Dim03">"="</definedName>
    <definedName name="csexcel_int_integralt_szoc_Dim04">"="</definedName>
    <definedName name="csexcel_int_integralt_szoc_Dim05">"="</definedName>
    <definedName name="csexcel_int_integralt_szoc_Dim06">"="</definedName>
    <definedName name="csexcel_int_integralt_szoc_Dim07">"="</definedName>
    <definedName name="csexcel_int_integralt_szoc_Dim08">"="</definedName>
    <definedName name="csexcel_int_integralt_szoc_Dim09">"="</definedName>
    <definedName name="csexcel_int_integralt_szoc_Dim10">"="</definedName>
    <definedName name="csexcel_int_integralt_szoc_Dim11">"="</definedName>
    <definedName name="csexcel_int_integralt_szoc_Dim12">"="</definedName>
    <definedName name="csexcel_int_integralt_szoc_konc_Dim01">"="</definedName>
    <definedName name="csexcel_int_integralt_szoc_konc_Dim02">"="</definedName>
    <definedName name="csexcel_int_integralt_szoc_konc_Dim03">"="</definedName>
    <definedName name="csexcel_int_integralt_szoc_konc_Dim04">"="</definedName>
    <definedName name="csexcel_int_integralt_szoc_konc_Dim05">"="</definedName>
    <definedName name="csexcel_int_integralt_szoc_konc_Dim06">"="</definedName>
    <definedName name="csexcel_int_integralt_szoc_konc_Dim07">"="</definedName>
    <definedName name="csexcel_int_integralt_szoc_konc_Dim08">"="</definedName>
    <definedName name="csexcel_int_integralt_szoc_konc_Dim09">"="</definedName>
    <definedName name="csexcel_int_integralt_szoc_konc_Dim10">"="</definedName>
    <definedName name="csexcel_int_integralt_szoc_konc_Dim11">"="</definedName>
    <definedName name="csexcel_int_integralt_szoc_konc_Dim12">"="</definedName>
    <definedName name="csexcel_int_integralt_szocAnchor">'[1]Integrált szoc'!#REF!</definedName>
    <definedName name="csexcel_int_javorka_Dim01">"="</definedName>
    <definedName name="csexcel_int_javorka_Dim02">"="</definedName>
    <definedName name="csexcel_int_javorka_Dim03">"="</definedName>
    <definedName name="csexcel_int_javorka_Dim04">"="</definedName>
    <definedName name="csexcel_int_javorka_Dim05">"="</definedName>
    <definedName name="csexcel_int_javorka_Dim06">"="</definedName>
    <definedName name="csexcel_int_javorka_Dim07">"="</definedName>
    <definedName name="csexcel_int_javorka_Dim08">"="</definedName>
    <definedName name="csexcel_int_javorka_Dim09">"="</definedName>
    <definedName name="csexcel_int_javorka_Dim10">"="</definedName>
    <definedName name="csexcel_int_javorka_Dim11">"="</definedName>
    <definedName name="csexcel_int_javorka_Dim12">"="</definedName>
    <definedName name="csexcel_int_javorka_konc_Dim01">"="</definedName>
    <definedName name="csexcel_int_javorka_konc_Dim02">"="</definedName>
    <definedName name="csexcel_int_javorka_konc_Dim03">"="</definedName>
    <definedName name="csexcel_int_javorka_konc_Dim04">"="</definedName>
    <definedName name="csexcel_int_javorka_konc_Dim05">"="</definedName>
    <definedName name="csexcel_int_javorka_konc_Dim06">"="</definedName>
    <definedName name="csexcel_int_javorka_konc_Dim07">"="</definedName>
    <definedName name="csexcel_int_javorka_konc_Dim08">"="</definedName>
    <definedName name="csexcel_int_javorka_konc_Dim09">"="</definedName>
    <definedName name="csexcel_int_javorka_konc_Dim10">"="</definedName>
    <definedName name="csexcel_int_javorka_konc_Dim11">"="</definedName>
    <definedName name="csexcel_int_javorka_konc_Dim12">"="</definedName>
    <definedName name="csexcel_int_Javorka_rendeleti_tabla_Dim01">"="</definedName>
    <definedName name="csexcel_int_Javorka_rendeleti_tabla_Dim02">"="</definedName>
    <definedName name="csexcel_int_Javorka_rendeleti_tabla_Dim03">"="</definedName>
    <definedName name="csexcel_int_Javorka_rendeleti_tabla_Dim04">"="</definedName>
    <definedName name="csexcel_int_Javorka_rendeleti_tabla_Dim05">"="</definedName>
    <definedName name="csexcel_int_Javorka_rendeleti_tabla_Dim06">"="</definedName>
    <definedName name="csexcel_int_Javorka_rendeleti_tabla_Dim07">"="</definedName>
    <definedName name="csexcel_int_Javorka_rendeleti_tabla_Dim08">"="</definedName>
    <definedName name="csexcel_int_Javorka_rendeleti_tabla_Dim09">"="</definedName>
    <definedName name="csexcel_int_Javorka_rendeleti_tabla_Dim10">"="</definedName>
    <definedName name="csexcel_int_Javorka_rendeleti_tabla_Dim11">"="</definedName>
    <definedName name="csexcel_int_Javorka_rendeleti_tabla_Dim12">"="</definedName>
    <definedName name="csexcel_int_Javorka_rendeleti_tablaAnchor">#REF!</definedName>
    <definedName name="csexcel_int_javorkaAnchor">[1]Jávorka!#REF!</definedName>
    <definedName name="csexcel_int_jokai_Dim01">"="</definedName>
    <definedName name="csexcel_int_jokai_Dim02">"="</definedName>
    <definedName name="csexcel_int_jokai_Dim03">"="</definedName>
    <definedName name="csexcel_int_jokai_Dim04">"="</definedName>
    <definedName name="csexcel_int_jokai_Dim05">"="</definedName>
    <definedName name="csexcel_int_jokai_Dim06">"="</definedName>
    <definedName name="csexcel_int_jokai_Dim07">"="</definedName>
    <definedName name="csexcel_int_jokai_Dim08">"="</definedName>
    <definedName name="csexcel_int_jokai_Dim09">"="</definedName>
    <definedName name="csexcel_int_jokai_Dim10">"="</definedName>
    <definedName name="csexcel_int_jokai_Dim11">"="</definedName>
    <definedName name="csexcel_int_jokai_Dim12">"="</definedName>
    <definedName name="csexcel_int_jokaiAnchor">#REF!</definedName>
    <definedName name="csexcel_int_konyvtar_Dim01">"="</definedName>
    <definedName name="csexcel_int_konyvtar_Dim02">"="</definedName>
    <definedName name="csexcel_int_konyvtar_Dim03">"="</definedName>
    <definedName name="csexcel_int_konyvtar_Dim04">"="</definedName>
    <definedName name="csexcel_int_konyvtar_Dim05">"="</definedName>
    <definedName name="csexcel_int_konyvtar_Dim06">"="</definedName>
    <definedName name="csexcel_int_konyvtar_Dim07">"="</definedName>
    <definedName name="csexcel_int_konyvtar_Dim08">"="</definedName>
    <definedName name="csexcel_int_konyvtar_Dim09">"="</definedName>
    <definedName name="csexcel_int_konyvtar_Dim10">"="</definedName>
    <definedName name="csexcel_int_konyvtar_Dim11">"="</definedName>
    <definedName name="csexcel_int_konyvtar_Dim12">"="</definedName>
    <definedName name="csexcel_int_konyvtar_konc_Dim01">"="</definedName>
    <definedName name="csexcel_int_konyvtar_konc_Dim02">"="</definedName>
    <definedName name="csexcel_int_konyvtar_konc_Dim03">"="</definedName>
    <definedName name="csexcel_int_konyvtar_konc_Dim04">"="</definedName>
    <definedName name="csexcel_int_konyvtar_konc_Dim05">"="</definedName>
    <definedName name="csexcel_int_konyvtar_konc_Dim06">"="</definedName>
    <definedName name="csexcel_int_konyvtar_konc_Dim07">"="</definedName>
    <definedName name="csexcel_int_konyvtar_konc_Dim08">"="</definedName>
    <definedName name="csexcel_int_konyvtar_konc_Dim09">"="</definedName>
    <definedName name="csexcel_int_konyvtar_konc_Dim10">"="</definedName>
    <definedName name="csexcel_int_konyvtar_konc_Dim11">"="</definedName>
    <definedName name="csexcel_int_konyvtar_konc_Dim12">"="</definedName>
    <definedName name="csexcel_int_konyvtarAnchor">[1]Könyvtár!#REF!</definedName>
    <definedName name="csexcel_int_korhaz_Dim01">"="</definedName>
    <definedName name="csexcel_int_korhaz_Dim02">"="</definedName>
    <definedName name="csexcel_int_korhaz_Dim03">"="</definedName>
    <definedName name="csexcel_int_korhaz_Dim04">"="</definedName>
    <definedName name="csexcel_int_korhaz_Dim05">"="</definedName>
    <definedName name="csexcel_int_korhaz_Dim06">"="</definedName>
    <definedName name="csexcel_int_korhaz_Dim07">"="</definedName>
    <definedName name="csexcel_int_korhaz_Dim08">"="</definedName>
    <definedName name="csexcel_int_korhaz_Dim09">"="</definedName>
    <definedName name="csexcel_int_korhaz_Dim10">"="</definedName>
    <definedName name="csexcel_int_korhaz_Dim11">"="</definedName>
    <definedName name="csexcel_int_korhaz_Dim12">"="</definedName>
    <definedName name="csexcel_int_korhaz_konc_Dim01">"="</definedName>
    <definedName name="csexcel_int_korhaz_konc_Dim02">"="</definedName>
    <definedName name="csexcel_int_korhaz_konc_Dim03">"="</definedName>
    <definedName name="csexcel_int_korhaz_konc_Dim04">"="</definedName>
    <definedName name="csexcel_int_korhaz_konc_Dim05">"="</definedName>
    <definedName name="csexcel_int_korhaz_konc_Dim06">"="</definedName>
    <definedName name="csexcel_int_korhaz_konc_Dim07">"="</definedName>
    <definedName name="csexcel_int_korhaz_konc_Dim08">"="</definedName>
    <definedName name="csexcel_int_korhaz_konc_Dim09">"="</definedName>
    <definedName name="csexcel_int_korhaz_konc_Dim10">"="</definedName>
    <definedName name="csexcel_int_korhaz_konc_Dim11">"="</definedName>
    <definedName name="csexcel_int_korhaz_konc_Dim12">"="</definedName>
    <definedName name="csexcel_int_korhazAnchor">[1]Kórház!#REF!</definedName>
    <definedName name="csexcel_int_kozepfoku_koll_Dim01">"="</definedName>
    <definedName name="csexcel_int_kozepfoku_koll_Dim02">"="</definedName>
    <definedName name="csexcel_int_kozepfoku_koll_Dim03">"="</definedName>
    <definedName name="csexcel_int_kozepfoku_koll_Dim04">"="</definedName>
    <definedName name="csexcel_int_kozepfoku_koll_Dim05">"="</definedName>
    <definedName name="csexcel_int_kozepfoku_koll_Dim06">"="</definedName>
    <definedName name="csexcel_int_kozepfoku_koll_Dim07">"="</definedName>
    <definedName name="csexcel_int_kozepfoku_koll_Dim08">"="</definedName>
    <definedName name="csexcel_int_kozepfoku_koll_Dim09">"="</definedName>
    <definedName name="csexcel_int_kozepfoku_koll_Dim10">"="</definedName>
    <definedName name="csexcel_int_kozepfoku_koll_Dim11">"="</definedName>
    <definedName name="csexcel_int_kozepfoku_koll_Dim12">"="</definedName>
    <definedName name="csexcel_int_kozepfoku_koll_konc_Dim01">"="</definedName>
    <definedName name="csexcel_int_kozepfoku_koll_konc_Dim02">"="</definedName>
    <definedName name="csexcel_int_kozepfoku_koll_konc_Dim03">"="</definedName>
    <definedName name="csexcel_int_kozepfoku_koll_konc_Dim04">"="</definedName>
    <definedName name="csexcel_int_kozepfoku_koll_konc_Dim05">"="</definedName>
    <definedName name="csexcel_int_kozepfoku_koll_konc_Dim06">"="</definedName>
    <definedName name="csexcel_int_kozepfoku_koll_konc_Dim07">"="</definedName>
    <definedName name="csexcel_int_kozepfoku_koll_konc_Dim08">"="</definedName>
    <definedName name="csexcel_int_kozepfoku_koll_konc_Dim09">"="</definedName>
    <definedName name="csexcel_int_kozepfoku_koll_konc_Dim10">"="</definedName>
    <definedName name="csexcel_int_kozepfoku_koll_konc_Dim11">"="</definedName>
    <definedName name="csexcel_int_kozepfoku_koll_konc_Dim12">"="</definedName>
    <definedName name="csexcel_int_kozepfoku_koll_koncAnchor">#REF!</definedName>
    <definedName name="csexcel_int_kozepfoku_kollAnchor">#REF!</definedName>
    <definedName name="csexcel_int_kultsar_Dim01">"="</definedName>
    <definedName name="csexcel_int_kultsar_Dim02">"="</definedName>
    <definedName name="csexcel_int_kultsar_Dim03">"="</definedName>
    <definedName name="csexcel_int_kultsar_Dim04">"="</definedName>
    <definedName name="csexcel_int_kultsar_Dim05">"="</definedName>
    <definedName name="csexcel_int_kultsar_Dim06">"="</definedName>
    <definedName name="csexcel_int_kultsar_Dim07">"="</definedName>
    <definedName name="csexcel_int_kultsar_Dim08">"="</definedName>
    <definedName name="csexcel_int_kultsar_Dim09">"="</definedName>
    <definedName name="csexcel_int_kultsar_Dim10">"="</definedName>
    <definedName name="csexcel_int_kultsar_Dim11">"="</definedName>
    <definedName name="csexcel_int_kultsar_Dim12">"="</definedName>
    <definedName name="csexcel_int_kultsar_konc_Dim01">"="</definedName>
    <definedName name="csexcel_int_kultsar_konc_Dim02">"="</definedName>
    <definedName name="csexcel_int_kultsar_konc_Dim03">"="</definedName>
    <definedName name="csexcel_int_kultsar_konc_Dim04">"="</definedName>
    <definedName name="csexcel_int_kultsar_konc_Dim05">"="</definedName>
    <definedName name="csexcel_int_kultsar_konc_Dim06">"="</definedName>
    <definedName name="csexcel_int_kultsar_konc_Dim07">"="</definedName>
    <definedName name="csexcel_int_kultsar_konc_Dim08">"="</definedName>
    <definedName name="csexcel_int_kultsar_konc_Dim09">"="</definedName>
    <definedName name="csexcel_int_kultsar_konc_Dim10">"="</definedName>
    <definedName name="csexcel_int_kultsar_konc_Dim11">"="</definedName>
    <definedName name="csexcel_int_kultsar_konc_Dim12">"="</definedName>
    <definedName name="csexcel_int_kultsarAnchor">[1]Kultsar!#REF!</definedName>
    <definedName name="csexcel_int_leveltar_Dim01">"="</definedName>
    <definedName name="csexcel_int_leveltar_Dim02">"="</definedName>
    <definedName name="csexcel_int_leveltar_Dim03">"="</definedName>
    <definedName name="csexcel_int_leveltar_Dim04">"="</definedName>
    <definedName name="csexcel_int_leveltar_Dim05">"="</definedName>
    <definedName name="csexcel_int_leveltar_Dim06">"="</definedName>
    <definedName name="csexcel_int_leveltar_Dim07">"="</definedName>
    <definedName name="csexcel_int_leveltar_Dim08">"="</definedName>
    <definedName name="csexcel_int_leveltar_Dim09">"="</definedName>
    <definedName name="csexcel_int_leveltar_Dim10">"="</definedName>
    <definedName name="csexcel_int_leveltar_Dim11">"="</definedName>
    <definedName name="csexcel_int_leveltar_Dim12">"="</definedName>
    <definedName name="csexcel_int_leveltar_konc_Dim01">"="</definedName>
    <definedName name="csexcel_int_leveltar_konc_Dim02">"="</definedName>
    <definedName name="csexcel_int_leveltar_konc_Dim03">"="</definedName>
    <definedName name="csexcel_int_leveltar_konc_Dim04">"="</definedName>
    <definedName name="csexcel_int_leveltar_konc_Dim05">"="</definedName>
    <definedName name="csexcel_int_leveltar_konc_Dim06">"="</definedName>
    <definedName name="csexcel_int_leveltar_konc_Dim07">"="</definedName>
    <definedName name="csexcel_int_leveltar_konc_Dim08">"="</definedName>
    <definedName name="csexcel_int_leveltar_konc_Dim09">"="</definedName>
    <definedName name="csexcel_int_leveltar_konc_Dim10">"="</definedName>
    <definedName name="csexcel_int_leveltar_konc_Dim11">"="</definedName>
    <definedName name="csexcel_int_leveltar_konc_Dim12">"="</definedName>
    <definedName name="csexcel_int_leveltarAnchor">[1]Levéltár!#REF!</definedName>
    <definedName name="csexcel_int_meri_Dim01">"="</definedName>
    <definedName name="csexcel_int_meri_Dim02">"="</definedName>
    <definedName name="csexcel_int_meri_Dim03">"="</definedName>
    <definedName name="csexcel_int_meri_Dim04">"="</definedName>
    <definedName name="csexcel_int_meri_Dim05">"="</definedName>
    <definedName name="csexcel_int_meri_Dim06">"="</definedName>
    <definedName name="csexcel_int_meri_Dim07">"="</definedName>
    <definedName name="csexcel_int_meri_Dim08">"="</definedName>
    <definedName name="csexcel_int_meri_Dim09">"="</definedName>
    <definedName name="csexcel_int_meri_Dim10">"="</definedName>
    <definedName name="csexcel_int_meri_Dim11">"="</definedName>
    <definedName name="csexcel_int_meri_Dim12">"="</definedName>
    <definedName name="csexcel_int_meri_konc_Dim01">"="</definedName>
    <definedName name="csexcel_int_meri_konc_Dim02">"="</definedName>
    <definedName name="csexcel_int_meri_konc_Dim03">"="</definedName>
    <definedName name="csexcel_int_meri_konc_Dim04">"="</definedName>
    <definedName name="csexcel_int_meri_konc_Dim05">"="</definedName>
    <definedName name="csexcel_int_meri_konc_Dim06">"="</definedName>
    <definedName name="csexcel_int_meri_konc_Dim07">"="</definedName>
    <definedName name="csexcel_int_meri_konc_Dim08">"="</definedName>
    <definedName name="csexcel_int_meri_konc_Dim09">"="</definedName>
    <definedName name="csexcel_int_meri_konc_Dim10">"="</definedName>
    <definedName name="csexcel_int_meri_konc_Dim11">"="</definedName>
    <definedName name="csexcel_int_meri_konc_Dim12">"="</definedName>
    <definedName name="csexcel_int_meriAnchor">[1]MERI!#REF!</definedName>
    <definedName name="csexcel_int_mora_Dim01">"="</definedName>
    <definedName name="csexcel_int_mora_Dim02">"="</definedName>
    <definedName name="csexcel_int_mora_Dim03">"="</definedName>
    <definedName name="csexcel_int_mora_Dim04">"="</definedName>
    <definedName name="csexcel_int_mora_Dim05">"="</definedName>
    <definedName name="csexcel_int_mora_Dim06">"="</definedName>
    <definedName name="csexcel_int_mora_Dim07">"="</definedName>
    <definedName name="csexcel_int_mora_Dim08">"="</definedName>
    <definedName name="csexcel_int_mora_Dim09">"="</definedName>
    <definedName name="csexcel_int_mora_Dim10">"="</definedName>
    <definedName name="csexcel_int_mora_Dim11">"="</definedName>
    <definedName name="csexcel_int_mora_Dim12">"="</definedName>
    <definedName name="csexcel_int_mora_konc_Dim01">"="</definedName>
    <definedName name="csexcel_int_mora_konc_Dim02">"="</definedName>
    <definedName name="csexcel_int_mora_konc_Dim03">"="</definedName>
    <definedName name="csexcel_int_mora_konc_Dim04">"="</definedName>
    <definedName name="csexcel_int_mora_konc_Dim05">"="</definedName>
    <definedName name="csexcel_int_mora_konc_Dim06">"="</definedName>
    <definedName name="csexcel_int_mora_konc_Dim07">"="</definedName>
    <definedName name="csexcel_int_mora_konc_Dim08">"="</definedName>
    <definedName name="csexcel_int_mora_konc_Dim09">"="</definedName>
    <definedName name="csexcel_int_mora_konc_Dim10">"="</definedName>
    <definedName name="csexcel_int_mora_konc_Dim11">"="</definedName>
    <definedName name="csexcel_int_mora_konc_Dim12">"="</definedName>
    <definedName name="csexcel_int_mora_koncAnchor">#REF!</definedName>
    <definedName name="csexcel_int_moraAnchor">#REF!</definedName>
    <definedName name="csexcel_int_muzeum_Dim01">"="</definedName>
    <definedName name="csexcel_int_muzeum_Dim02">"="</definedName>
    <definedName name="csexcel_int_muzeum_Dim03">"="</definedName>
    <definedName name="csexcel_int_muzeum_Dim04">"="</definedName>
    <definedName name="csexcel_int_muzeum_Dim05">"="</definedName>
    <definedName name="csexcel_int_muzeum_Dim06">"="</definedName>
    <definedName name="csexcel_int_muzeum_Dim07">"="</definedName>
    <definedName name="csexcel_int_muzeum_Dim08">"="</definedName>
    <definedName name="csexcel_int_muzeum_Dim09">"="</definedName>
    <definedName name="csexcel_int_muzeum_Dim10">"="</definedName>
    <definedName name="csexcel_int_muzeum_Dim11">"="</definedName>
    <definedName name="csexcel_int_muzeum_Dim12">"="</definedName>
    <definedName name="csexcel_int_muzeum_konc_Dim01">"="</definedName>
    <definedName name="csexcel_int_muzeum_konc_Dim02">"="</definedName>
    <definedName name="csexcel_int_muzeum_konc_Dim03">"="</definedName>
    <definedName name="csexcel_int_muzeum_konc_Dim04">"="</definedName>
    <definedName name="csexcel_int_muzeum_konc_Dim05">"="</definedName>
    <definedName name="csexcel_int_muzeum_konc_Dim06">"="</definedName>
    <definedName name="csexcel_int_muzeum_konc_Dim07">"="</definedName>
    <definedName name="csexcel_int_muzeum_konc_Dim08">"="</definedName>
    <definedName name="csexcel_int_muzeum_konc_Dim09">"="</definedName>
    <definedName name="csexcel_int_muzeum_konc_Dim10">"="</definedName>
    <definedName name="csexcel_int_muzeum_konc_Dim11">"="</definedName>
    <definedName name="csexcel_int_muzeum_konc_Dim12">"="</definedName>
    <definedName name="csexcel_int_muzeumAnchor">[1]Múzeum!#REF!</definedName>
    <definedName name="csexcel_int_pedagogiai_gyermekved_szaksz_konc_Dim01">"="</definedName>
    <definedName name="csexcel_int_pedagogiai_gyermekved_szaksz_konc_Dim02">"="</definedName>
    <definedName name="csexcel_int_pedagogiai_gyermekved_szaksz_konc_Dim03">"="</definedName>
    <definedName name="csexcel_int_pedagogiai_gyermekved_szaksz_konc_Dim04">"="</definedName>
    <definedName name="csexcel_int_pedagogiai_gyermekved_szaksz_konc_Dim05">"="</definedName>
    <definedName name="csexcel_int_pedagogiai_gyermekved_szaksz_konc_Dim06">"="</definedName>
    <definedName name="csexcel_int_pedagogiai_gyermekved_szaksz_konc_Dim07">"="</definedName>
    <definedName name="csexcel_int_pedagogiai_gyermekved_szaksz_konc_Dim08">"="</definedName>
    <definedName name="csexcel_int_pedagogiai_gyermekved_szaksz_konc_Dim09">"="</definedName>
    <definedName name="csexcel_int_pedagogiai_gyermekved_szaksz_konc_Dim10">"="</definedName>
    <definedName name="csexcel_int_pedagogiai_gyermekved_szaksz_konc_Dim11">"="</definedName>
    <definedName name="csexcel_int_pedagogiai_gyermekved_szaksz_konc_Dim12">"="</definedName>
    <definedName name="csexcel_int_pszichiatria_Dim01">"="</definedName>
    <definedName name="csexcel_int_pszichiatria_Dim02">"="</definedName>
    <definedName name="csexcel_int_pszichiatria_Dim03">"="</definedName>
    <definedName name="csexcel_int_pszichiatria_Dim04">"="</definedName>
    <definedName name="csexcel_int_pszichiatria_Dim05">"="</definedName>
    <definedName name="csexcel_int_pszichiatria_Dim06">"="</definedName>
    <definedName name="csexcel_int_pszichiatria_Dim07">"="</definedName>
    <definedName name="csexcel_int_pszichiatria_Dim08">"="</definedName>
    <definedName name="csexcel_int_pszichiatria_Dim09">"="</definedName>
    <definedName name="csexcel_int_pszichiatria_Dim10">"="</definedName>
    <definedName name="csexcel_int_pszichiatria_Dim11">"="</definedName>
    <definedName name="csexcel_int_pszichiatria_Dim12">"="</definedName>
    <definedName name="csexcel_int_pszichiatriaAnchor">#REF!</definedName>
    <definedName name="csexcel_int_szabolcsi_Dim01">"="</definedName>
    <definedName name="csexcel_int_szabolcsi_Dim02">"="</definedName>
    <definedName name="csexcel_int_szabolcsi_Dim03">"="</definedName>
    <definedName name="csexcel_int_szabolcsi_Dim04">"="</definedName>
    <definedName name="csexcel_int_szabolcsi_Dim05">"="</definedName>
    <definedName name="csexcel_int_szabolcsi_Dim06">"="</definedName>
    <definedName name="csexcel_int_szabolcsi_Dim07">"="</definedName>
    <definedName name="csexcel_int_szabolcsi_Dim08">"="</definedName>
    <definedName name="csexcel_int_szabolcsi_Dim09">"="</definedName>
    <definedName name="csexcel_int_szabolcsi_Dim10">"="</definedName>
    <definedName name="csexcel_int_szabolcsi_Dim11">"="</definedName>
    <definedName name="csexcel_int_szabolcsi_Dim12">"="</definedName>
    <definedName name="csexcel_int_szabolcsi_konc_Dim01">"="</definedName>
    <definedName name="csexcel_int_szabolcsi_konc_Dim02">"="</definedName>
    <definedName name="csexcel_int_szabolcsi_konc_Dim03">"="</definedName>
    <definedName name="csexcel_int_szabolcsi_konc_Dim04">"="</definedName>
    <definedName name="csexcel_int_szabolcsi_konc_Dim05">"="</definedName>
    <definedName name="csexcel_int_szabolcsi_konc_Dim06">"="</definedName>
    <definedName name="csexcel_int_szabolcsi_konc_Dim07">"="</definedName>
    <definedName name="csexcel_int_szabolcsi_konc_Dim08">"="</definedName>
    <definedName name="csexcel_int_szabolcsi_konc_Dim09">"="</definedName>
    <definedName name="csexcel_int_szabolcsi_konc_Dim10">"="</definedName>
    <definedName name="csexcel_int_szabolcsi_konc_Dim11">"="</definedName>
    <definedName name="csexcel_int_szabolcsi_konc_Dim12">"="</definedName>
    <definedName name="csexcel_int_szabolcsi_koncAnchor">#REF!</definedName>
    <definedName name="csexcel_int_szabolcsiAnchor">#REF!</definedName>
    <definedName name="csexcel_int_szakertoi_nev_konc_Dim01">"="</definedName>
    <definedName name="csexcel_int_szakertoi_nev_konc_Dim02">"="</definedName>
    <definedName name="csexcel_int_szakertoi_nev_konc_Dim03">"="</definedName>
    <definedName name="csexcel_int_szakertoi_nev_konc_Dim04">"="</definedName>
    <definedName name="csexcel_int_szakertoi_nev_konc_Dim05">"="</definedName>
    <definedName name="csexcel_int_szakertoi_nev_konc_Dim06">"="</definedName>
    <definedName name="csexcel_int_szakertoi_nev_konc_Dim07">"="</definedName>
    <definedName name="csexcel_int_szakertoi_nev_konc_Dim08">"="</definedName>
    <definedName name="csexcel_int_szakertoi_nev_konc_Dim09">"="</definedName>
    <definedName name="csexcel_int_szakertoi_nev_konc_Dim10">"="</definedName>
    <definedName name="csexcel_int_szakertoi_nev_konc_Dim11">"="</definedName>
    <definedName name="csexcel_int_szakertoi_nev_konc_Dim12">"="</definedName>
    <definedName name="csexcel_int_szakertoi_nev_koncAnchor">#REF!</definedName>
    <definedName name="csexcel_int_szakertoi_nev_tan_Dim01">"="</definedName>
    <definedName name="csexcel_int_szakertoi_nev_tan_Dim02">"="</definedName>
    <definedName name="csexcel_int_szakertoi_nev_tan_Dim03">"="</definedName>
    <definedName name="csexcel_int_szakertoi_nev_tan_Dim04">"="</definedName>
    <definedName name="csexcel_int_szakertoi_nev_tan_Dim05">"="</definedName>
    <definedName name="csexcel_int_szakertoi_nev_tan_Dim06">"="</definedName>
    <definedName name="csexcel_int_szakertoi_nev_tan_Dim07">"="</definedName>
    <definedName name="csexcel_int_szakertoi_nev_tan_Dim08">"="</definedName>
    <definedName name="csexcel_int_szakertoi_nev_tan_Dim09">"="</definedName>
    <definedName name="csexcel_int_szakertoi_nev_tan_Dim10">"="</definedName>
    <definedName name="csexcel_int_szakertoi_nev_tan_Dim11">"="</definedName>
    <definedName name="csexcel_int_szakertoi_nev_tan_Dim12">"="</definedName>
    <definedName name="csexcel_int_szakertoi_nev_tanAnchor">#REF!</definedName>
    <definedName name="csexcel_int_szechenyi_Dim01">"="</definedName>
    <definedName name="csexcel_int_szechenyi_Dim02">"="</definedName>
    <definedName name="csexcel_int_szechenyi_Dim03">"="</definedName>
    <definedName name="csexcel_int_szechenyi_Dim04">"="</definedName>
    <definedName name="csexcel_int_szechenyi_Dim05">"="</definedName>
    <definedName name="csexcel_int_szechenyi_Dim06">"="</definedName>
    <definedName name="csexcel_int_szechenyi_Dim07">"="</definedName>
    <definedName name="csexcel_int_szechenyi_Dim08">"="</definedName>
    <definedName name="csexcel_int_szechenyi_Dim09">"="</definedName>
    <definedName name="csexcel_int_szechenyi_Dim10">"="</definedName>
    <definedName name="csexcel_int_szechenyi_Dim11">"="</definedName>
    <definedName name="csexcel_int_szechenyi_Dim12">"="</definedName>
    <definedName name="csexcel_int_szechenyi_konc_Dim01">"="</definedName>
    <definedName name="csexcel_int_szechenyi_konc_Dim02">"="</definedName>
    <definedName name="csexcel_int_szechenyi_konc_Dim03">"="</definedName>
    <definedName name="csexcel_int_szechenyi_konc_Dim04">"="</definedName>
    <definedName name="csexcel_int_szechenyi_konc_Dim05">"="</definedName>
    <definedName name="csexcel_int_szechenyi_konc_Dim06">"="</definedName>
    <definedName name="csexcel_int_szechenyi_konc_Dim07">"="</definedName>
    <definedName name="csexcel_int_szechenyi_konc_Dim08">"="</definedName>
    <definedName name="csexcel_int_szechenyi_konc_Dim09">"="</definedName>
    <definedName name="csexcel_int_szechenyi_konc_Dim10">"="</definedName>
    <definedName name="csexcel_int_szechenyi_konc_Dim11">"="</definedName>
    <definedName name="csexcel_int_szechenyi_konc_Dim12">"="</definedName>
    <definedName name="csexcel_int_szechenyiAnchor">[1]Széchenyi!#REF!</definedName>
    <definedName name="csexcel_int_szt_rita_Dim01">"="</definedName>
    <definedName name="csexcel_int_szt_rita_Dim02">"="</definedName>
    <definedName name="csexcel_int_szt_rita_Dim03">"="</definedName>
    <definedName name="csexcel_int_szt_rita_Dim04">"="</definedName>
    <definedName name="csexcel_int_szt_rita_Dim05">"="</definedName>
    <definedName name="csexcel_int_szt_rita_Dim06">"="</definedName>
    <definedName name="csexcel_int_szt_rita_Dim07">"="</definedName>
    <definedName name="csexcel_int_szt_rita_Dim08">"="</definedName>
    <definedName name="csexcel_int_szt_rita_Dim09">"="</definedName>
    <definedName name="csexcel_int_szt_rita_Dim10">"="</definedName>
    <definedName name="csexcel_int_szt_rita_Dim11">"="</definedName>
    <definedName name="csexcel_int_szt_rita_Dim12">"="</definedName>
    <definedName name="csexcel_int_szt_ritaAnchor">#REF!</definedName>
    <definedName name="csexcel_int_tgszsz_Dim01">"="</definedName>
    <definedName name="csexcel_int_tgszsz_Dim02">"="</definedName>
    <definedName name="csexcel_int_tgszsz_Dim03">"="</definedName>
    <definedName name="csexcel_int_tgszsz_Dim04">"="</definedName>
    <definedName name="csexcel_int_tgszsz_Dim05">"="</definedName>
    <definedName name="csexcel_int_tgszsz_Dim06">"="</definedName>
    <definedName name="csexcel_int_tgszsz_Dim07">"="</definedName>
    <definedName name="csexcel_int_tgszsz_Dim08">"="</definedName>
    <definedName name="csexcel_int_tgszsz_Dim09">"="</definedName>
    <definedName name="csexcel_int_tgszsz_Dim10">"="</definedName>
    <definedName name="csexcel_int_tgszsz_Dim11">"="</definedName>
    <definedName name="csexcel_int_tgszsz_Dim12">"="</definedName>
    <definedName name="csexcel_int_tgszsz_konc_Dim01">"="</definedName>
    <definedName name="csexcel_int_tgszsz_konc_Dim02">"="</definedName>
    <definedName name="csexcel_int_tgszsz_konc_Dim03">"="</definedName>
    <definedName name="csexcel_int_tgszsz_konc_Dim04">"="</definedName>
    <definedName name="csexcel_int_tgszsz_konc_Dim05">"="</definedName>
    <definedName name="csexcel_int_tgszsz_konc_Dim06">"="</definedName>
    <definedName name="csexcel_int_tgszsz_konc_Dim07">"="</definedName>
    <definedName name="csexcel_int_tgszsz_konc_Dim08">"="</definedName>
    <definedName name="csexcel_int_tgszsz_konc_Dim09">"="</definedName>
    <definedName name="csexcel_int_tgszsz_konc_Dim10">"="</definedName>
    <definedName name="csexcel_int_tgszsz_konc_Dim11">"="</definedName>
    <definedName name="csexcel_int_tgszsz_konc_Dim12">"="</definedName>
    <definedName name="csexcel_int_tgszszAnchor">[1]TGSZSZ!#REF!</definedName>
    <definedName name="csexcel_int_zsigmondy_Dim01">"="</definedName>
    <definedName name="csexcel_int_zsigmondy_Dim02">"="</definedName>
    <definedName name="csexcel_int_zsigmondy_Dim03">"="</definedName>
    <definedName name="csexcel_int_zsigmondy_Dim04">"="</definedName>
    <definedName name="csexcel_int_zsigmondy_Dim05">"="</definedName>
    <definedName name="csexcel_int_zsigmondy_Dim06">"="</definedName>
    <definedName name="csexcel_int_zsigmondy_Dim07">"="</definedName>
    <definedName name="csexcel_int_zsigmondy_Dim08">"="</definedName>
    <definedName name="csexcel_int_zsigmondy_Dim09">"="</definedName>
    <definedName name="csexcel_int_zsigmondy_Dim10">"="</definedName>
    <definedName name="csexcel_int_zsigmondy_Dim11">"="</definedName>
    <definedName name="csexcel_int_zsigmondy_Dim12">"="</definedName>
    <definedName name="csexcel_int_zsigmondy_konc_Dim01">"="</definedName>
    <definedName name="csexcel_int_zsigmondy_konc_Dim02">"="</definedName>
    <definedName name="csexcel_int_zsigmondy_konc_Dim03">"="</definedName>
    <definedName name="csexcel_int_zsigmondy_konc_Dim04">"="</definedName>
    <definedName name="csexcel_int_zsigmondy_konc_Dim05">"="</definedName>
    <definedName name="csexcel_int_zsigmondy_konc_Dim06">"="</definedName>
    <definedName name="csexcel_int_zsigmondy_konc_Dim07">"="</definedName>
    <definedName name="csexcel_int_zsigmondy_konc_Dim08">"="</definedName>
    <definedName name="csexcel_int_zsigmondy_konc_Dim09">"="</definedName>
    <definedName name="csexcel_int_zsigmondy_konc_Dim10">"="</definedName>
    <definedName name="csexcel_int_zsigmondy_konc_Dim11">"="</definedName>
    <definedName name="csexcel_int_zsigmondy_konc_Dim12">"="</definedName>
    <definedName name="csexcel_int_zsigmondyAnchor">[1]Zsigmondy!#REF!</definedName>
    <definedName name="csexcel_intezmeny_ossz_Dim01">"="</definedName>
    <definedName name="csexcel_intezmeny_ossz_Dim02">"="</definedName>
    <definedName name="csexcel_intezmeny_ossz_Dim03">"="</definedName>
    <definedName name="csexcel_intezmeny_ossz_Dim04">"="</definedName>
    <definedName name="csexcel_intezmeny_ossz_Dim05">"="</definedName>
    <definedName name="csexcel_intezmeny_ossz_Dim06">"="</definedName>
    <definedName name="csexcel_intezmeny_ossz_Dim07">"="</definedName>
    <definedName name="csexcel_intezmeny_ossz_Dim08">"="</definedName>
    <definedName name="csexcel_intezmeny_ossz_Dim09">"="</definedName>
    <definedName name="csexcel_intezmeny_ossz_Dim10">"="</definedName>
    <definedName name="csexcel_intezmeny_ossz_Dim11">"="</definedName>
    <definedName name="csexcel_intezmeny_ossz_Dim12">"="</definedName>
    <definedName name="csexcel_intezmeny_ossz_konc_Dim01">"="</definedName>
    <definedName name="csexcel_intezmeny_ossz_konc_Dim02">"="</definedName>
    <definedName name="csexcel_intezmeny_ossz_konc_Dim03">"="</definedName>
    <definedName name="csexcel_intezmeny_ossz_konc_Dim04">"="</definedName>
    <definedName name="csexcel_intezmeny_ossz_konc_Dim05">"="</definedName>
    <definedName name="csexcel_intezmeny_ossz_konc_Dim06">"="</definedName>
    <definedName name="csexcel_intezmeny_ossz_konc_Dim07">"="</definedName>
    <definedName name="csexcel_intezmeny_ossz_konc_Dim08">"="</definedName>
    <definedName name="csexcel_intezmeny_ossz_konc_Dim09">"="</definedName>
    <definedName name="csexcel_intezmeny_ossz_konc_Dim10">"="</definedName>
    <definedName name="csexcel_intezmeny_ossz_konc_Dim11">"="</definedName>
    <definedName name="csexcel_intezmeny_ossz_konc_Dim12">"="</definedName>
    <definedName name="csexcel_intezmeny_osszAnchor">#REF!</definedName>
    <definedName name="csexcel_kim_hivatal_belso_penzeszkoz_teljesites_Dim01">"="</definedName>
    <definedName name="csexcel_kim_hivatal_belso_penzeszkoz_teljesites_Dim02">"="</definedName>
    <definedName name="csexcel_kim_hivatal_belso_penzeszkoz_teljesites_Dim03">"="</definedName>
    <definedName name="csexcel_kim_hivatal_belso_penzeszkoz_teljesites_Dim04">"="</definedName>
    <definedName name="csexcel_kim_hivatal_belso_penzeszkoz_teljesites_Dim05">"="</definedName>
    <definedName name="csexcel_kim_hivatal_belso_penzeszkoz_teljesites_Dim06">"="</definedName>
    <definedName name="csexcel_kim_hivatal_belso_penzeszkoz_teljesites_Dim07">"="</definedName>
    <definedName name="csexcel_kim_hivatal_belso_penzeszkoz_teljesites_Dim08">"="</definedName>
    <definedName name="csexcel_kim_hivatal_belso_penzeszkoz_teljesites_Dim09">"="</definedName>
    <definedName name="csexcel_kim_hivatal_belso_penzeszkoz_teljesites_Dim10">"="</definedName>
    <definedName name="csexcel_kim_hivatal_belso_penzeszkoz_teljesites_Dim11">"="</definedName>
    <definedName name="csexcel_kim_hivatal_belso_penzeszkoz_teljesites_Dim12">"="</definedName>
    <definedName name="csexcel_kim_hivatal_belso_penzeszkoz_teljesitesAnchor">#REF!</definedName>
    <definedName name="csexcel_kimutatas_9_sz_melleklet_Dim01">"="</definedName>
    <definedName name="csexcel_kimutatas_9_sz_melleklet_Dim02">"="</definedName>
    <definedName name="csexcel_kimutatas_9_sz_melleklet_Dim03">"="</definedName>
    <definedName name="csexcel_kimutatas_9_sz_melleklet_Dim04">"="</definedName>
    <definedName name="csexcel_kimutatas_9_sz_melleklet_Dim05">"="</definedName>
    <definedName name="csexcel_kimutatas_9_sz_melleklet_Dim06">"="</definedName>
    <definedName name="csexcel_kimutatas_9_sz_melleklet_Dim07">"="</definedName>
    <definedName name="csexcel_kimutatas_9_sz_melleklet_Dim08">"="</definedName>
    <definedName name="csexcel_kimutatas_9_sz_melleklet_Dim09">"="</definedName>
    <definedName name="csexcel_kimutatas_9_sz_melleklet_Dim10">"="</definedName>
    <definedName name="csexcel_kimutatas_9_sz_melleklet_Dim11">"="</definedName>
    <definedName name="csexcel_kimutatas_9_sz_melleklet_Dim12">"="</definedName>
    <definedName name="csexcel_kimutatas_9_sz_mellekletAnchor">#REF!</definedName>
    <definedName name="csexcel_kimutatas_beruhazas_felujitas_Dim01">"="</definedName>
    <definedName name="csexcel_kimutatas_beruhazas_felujitas_Dim02">"="</definedName>
    <definedName name="csexcel_kimutatas_beruhazas_felujitas_Dim03">"="</definedName>
    <definedName name="csexcel_kimutatas_beruhazas_felujitas_Dim04">"="</definedName>
    <definedName name="csexcel_kimutatas_beruhazas_felujitas_Dim05">"="</definedName>
    <definedName name="csexcel_kimutatas_beruhazas_felujitas_Dim06">"="</definedName>
    <definedName name="csexcel_kimutatas_beruhazas_felujitas_Dim07">"="</definedName>
    <definedName name="csexcel_kimutatas_beruhazas_felujitas_Dim08">"="</definedName>
    <definedName name="csexcel_kimutatas_beruhazas_felujitas_Dim09">"="</definedName>
    <definedName name="csexcel_kimutatas_beruhazas_felujitas_Dim10">"="</definedName>
    <definedName name="csexcel_kimutatas_beruhazas_felujitas_Dim11">"="</definedName>
    <definedName name="csexcel_kimutatas_beruhazas_felujitas_Dim12">"="</definedName>
    <definedName name="csexcel_kimutatas_beruhazas_felujitasAnchor">#REF!</definedName>
    <definedName name="csexcel_kimutatas_bev_fobb_jogcim_Dim01">"="</definedName>
    <definedName name="csexcel_kimutatas_bev_fobb_jogcim_Dim02">"="</definedName>
    <definedName name="csexcel_kimutatas_bev_fobb_jogcim_Dim03">"="</definedName>
    <definedName name="csexcel_kimutatas_bev_fobb_jogcim_Dim04">"="</definedName>
    <definedName name="csexcel_kimutatas_bev_fobb_jogcim_Dim05">"="</definedName>
    <definedName name="csexcel_kimutatas_bev_fobb_jogcim_Dim06">"="</definedName>
    <definedName name="csexcel_kimutatas_bev_fobb_jogcim_Dim07">"="</definedName>
    <definedName name="csexcel_kimutatas_bev_fobb_jogcim_Dim08">"="</definedName>
    <definedName name="csexcel_kimutatas_bev_fobb_jogcim_Dim09">"="</definedName>
    <definedName name="csexcel_kimutatas_bev_fobb_jogcim_Dim10">"="</definedName>
    <definedName name="csexcel_kimutatas_bev_fobb_jogcim_Dim11">"="</definedName>
    <definedName name="csexcel_kimutatas_bev_fobb_jogcim_Dim12">"="</definedName>
    <definedName name="csexcel_kimutatas_bev_fobb_jogcimAnchor">#REF!</definedName>
    <definedName name="csexcel_kimutatas_celtartalekok_Dim01">"="</definedName>
    <definedName name="csexcel_kimutatas_celtartalekok_Dim02">"="</definedName>
    <definedName name="csexcel_kimutatas_celtartalekok_Dim03">"="</definedName>
    <definedName name="csexcel_kimutatas_celtartalekok_Dim04">"="</definedName>
    <definedName name="csexcel_kimutatas_celtartalekok_Dim05">"="</definedName>
    <definedName name="csexcel_kimutatas_celtartalekok_Dim06">"="</definedName>
    <definedName name="csexcel_kimutatas_celtartalekok_Dim07">"="</definedName>
    <definedName name="csexcel_kimutatas_celtartalekok_Dim08">"="</definedName>
    <definedName name="csexcel_kimutatas_celtartalekok_Dim09">"="</definedName>
    <definedName name="csexcel_kimutatas_celtartalekok_Dim10">"="</definedName>
    <definedName name="csexcel_kimutatas_celtartalekok_Dim11">"="</definedName>
    <definedName name="csexcel_kimutatas_celtartalekok_Dim12">"="</definedName>
    <definedName name="csexcel_kimutatas_celtartalekokAnchor">#REF!</definedName>
    <definedName name="csexcel_kimutatas_Cigany_rend_tabla_Dim01">"="</definedName>
    <definedName name="csexcel_kimutatas_Cigany_rend_tabla_Dim02">"="</definedName>
    <definedName name="csexcel_kimutatas_Cigany_rend_tabla_Dim03">"="</definedName>
    <definedName name="csexcel_kimutatas_Cigany_rend_tabla_Dim04">"="</definedName>
    <definedName name="csexcel_kimutatas_Cigany_rend_tabla_Dim05">"="</definedName>
    <definedName name="csexcel_kimutatas_Cigany_rend_tabla_Dim06">"="</definedName>
    <definedName name="csexcel_kimutatas_Cigany_rend_tabla_Dim07">"="</definedName>
    <definedName name="csexcel_kimutatas_Cigany_rend_tabla_Dim08">"="</definedName>
    <definedName name="csexcel_kimutatas_Cigany_rend_tabla_Dim09">"="</definedName>
    <definedName name="csexcel_kimutatas_Cigany_rend_tabla_Dim10">"="</definedName>
    <definedName name="csexcel_kimutatas_Cigany_rend_tabla_Dim11">"="</definedName>
    <definedName name="csexcel_kimutatas_Cigany_rend_tabla_Dim12">"="</definedName>
    <definedName name="csexcel_kimutatas_Cigany_rend_tablaAnchor">#REF!</definedName>
    <definedName name="csexcel_kimutatas_Cigany_rendeleti_tabla_Dim01">"="</definedName>
    <definedName name="csexcel_kimutatas_Cigany_rendeleti_tabla_Dim02">"="</definedName>
    <definedName name="csexcel_kimutatas_Cigany_rendeleti_tabla_Dim03">"="</definedName>
    <definedName name="csexcel_kimutatas_Cigany_rendeleti_tabla_Dim04">"="</definedName>
    <definedName name="csexcel_kimutatas_Cigany_rendeleti_tabla_Dim05">"="</definedName>
    <definedName name="csexcel_kimutatas_Cigany_rendeleti_tabla_Dim06">"="</definedName>
    <definedName name="csexcel_kimutatas_Cigany_rendeleti_tabla_Dim07">"="</definedName>
    <definedName name="csexcel_kimutatas_Cigany_rendeleti_tabla_Dim08">"="</definedName>
    <definedName name="csexcel_kimutatas_Cigany_rendeleti_tabla_Dim09">"="</definedName>
    <definedName name="csexcel_kimutatas_Cigany_rendeleti_tabla_Dim10">"="</definedName>
    <definedName name="csexcel_kimutatas_Cigany_rendeleti_tabla_Dim11">"="</definedName>
    <definedName name="csexcel_kimutatas_Cigany_rendeleti_tabla_Dim12">"="</definedName>
    <definedName name="csexcel_kimutatas_felhalmozas_merleg_bev_Dim01">"="</definedName>
    <definedName name="csexcel_kimutatas_felhalmozas_merleg_bev_Dim02">"="</definedName>
    <definedName name="csexcel_kimutatas_felhalmozas_merleg_bev_Dim03">"="</definedName>
    <definedName name="csexcel_kimutatas_felhalmozas_merleg_bev_Dim04">"="</definedName>
    <definedName name="csexcel_kimutatas_felhalmozas_merleg_bev_Dim05">"="</definedName>
    <definedName name="csexcel_kimutatas_felhalmozas_merleg_bev_Dim06">"="</definedName>
    <definedName name="csexcel_kimutatas_felhalmozas_merleg_bev_Dim07">"="</definedName>
    <definedName name="csexcel_kimutatas_felhalmozas_merleg_bev_Dim08">"="</definedName>
    <definedName name="csexcel_kimutatas_felhalmozas_merleg_bev_Dim09">"="</definedName>
    <definedName name="csexcel_kimutatas_felhalmozas_merleg_bev_Dim10">"="</definedName>
    <definedName name="csexcel_kimutatas_felhalmozas_merleg_bev_Dim11">"="</definedName>
    <definedName name="csexcel_kimutatas_felhalmozas_merleg_bev_Dim12">"="</definedName>
    <definedName name="csexcel_kimutatas_felhalmozas_merleg_kiad_Dim01">"="</definedName>
    <definedName name="csexcel_kimutatas_felhalmozas_merleg_kiad_Dim02">"="</definedName>
    <definedName name="csexcel_kimutatas_felhalmozas_merleg_kiad_Dim03">"="</definedName>
    <definedName name="csexcel_kimutatas_felhalmozas_merleg_kiad_Dim04">"="</definedName>
    <definedName name="csexcel_kimutatas_felhalmozas_merleg_kiad_Dim05">"="</definedName>
    <definedName name="csexcel_kimutatas_felhalmozas_merleg_kiad_Dim06">"="</definedName>
    <definedName name="csexcel_kimutatas_felhalmozas_merleg_kiad_Dim07">"="</definedName>
    <definedName name="csexcel_kimutatas_felhalmozas_merleg_kiad_Dim08">"="</definedName>
    <definedName name="csexcel_kimutatas_felhalmozas_merleg_kiad_Dim09">"="</definedName>
    <definedName name="csexcel_kimutatas_felhalmozas_merleg_kiad_Dim10">"="</definedName>
    <definedName name="csexcel_kimutatas_felhalmozas_merleg_kiad_Dim11">"="</definedName>
    <definedName name="csexcel_kimutatas_felhalmozas_merleg_kiad_Dim12">"="</definedName>
    <definedName name="csexcel_kimutatas_fobbjogcim_bev_Dim01">"="</definedName>
    <definedName name="csexcel_kimutatas_fobbjogcim_bev_Dim02">"="</definedName>
    <definedName name="csexcel_kimutatas_fobbjogcim_bev_Dim03">"="</definedName>
    <definedName name="csexcel_kimutatas_fobbjogcim_bev_Dim04">"="</definedName>
    <definedName name="csexcel_kimutatas_fobbjogcim_bev_Dim05">"="</definedName>
    <definedName name="csexcel_kimutatas_fobbjogcim_bev_Dim06">"="</definedName>
    <definedName name="csexcel_kimutatas_fobbjogcim_bev_Dim07">"="</definedName>
    <definedName name="csexcel_kimutatas_fobbjogcim_bev_Dim08">"="</definedName>
    <definedName name="csexcel_kimutatas_fobbjogcim_bev_Dim09">"="</definedName>
    <definedName name="csexcel_kimutatas_fobbjogcim_bev_Dim10">"="</definedName>
    <definedName name="csexcel_kimutatas_fobbjogcim_bev_Dim11">"="</definedName>
    <definedName name="csexcel_kimutatas_fobbjogcim_bev_Dim12">"="</definedName>
    <definedName name="csexcel_kimutatas_fobbjogcim_bevAnchor">#REF!</definedName>
    <definedName name="csexcel_kimutatas_fobbjogcim_kiad_Dim01">"="</definedName>
    <definedName name="csexcel_kimutatas_fobbjogcim_kiad_Dim02">"="</definedName>
    <definedName name="csexcel_kimutatas_fobbjogcim_kiad_Dim03">"="</definedName>
    <definedName name="csexcel_kimutatas_fobbjogcim_kiad_Dim04">"="</definedName>
    <definedName name="csexcel_kimutatas_fobbjogcim_kiad_Dim05">"="</definedName>
    <definedName name="csexcel_kimutatas_fobbjogcim_kiad_Dim06">"="</definedName>
    <definedName name="csexcel_kimutatas_fobbjogcim_kiad_Dim07">"="</definedName>
    <definedName name="csexcel_kimutatas_fobbjogcim_kiad_Dim08">"="</definedName>
    <definedName name="csexcel_kimutatas_fobbjogcim_kiad_Dim09">"="</definedName>
    <definedName name="csexcel_kimutatas_fobbjogcim_kiad_Dim10">"="</definedName>
    <definedName name="csexcel_kimutatas_fobbjogcim_kiad_Dim11">"="</definedName>
    <definedName name="csexcel_kimutatas_fobbjogcim_kiad_Dim12">"="</definedName>
    <definedName name="csexcel_kimutatas_fobbjogcim_kiadAnchor">#REF!</definedName>
    <definedName name="csexcel_kimutatas_fomerleg_bev_Dim01">"="</definedName>
    <definedName name="csexcel_kimutatas_fomerleg_bev_Dim02">"="</definedName>
    <definedName name="csexcel_kimutatas_fomerleg_bev_Dim03">"="</definedName>
    <definedName name="csexcel_kimutatas_fomerleg_bev_Dim04">"="</definedName>
    <definedName name="csexcel_kimutatas_fomerleg_bev_Dim05">"="</definedName>
    <definedName name="csexcel_kimutatas_fomerleg_bev_Dim06">"="</definedName>
    <definedName name="csexcel_kimutatas_fomerleg_bev_Dim07">"="</definedName>
    <definedName name="csexcel_kimutatas_fomerleg_bev_Dim08">"="</definedName>
    <definedName name="csexcel_kimutatas_fomerleg_bev_Dim09">"="</definedName>
    <definedName name="csexcel_kimutatas_fomerleg_bev_Dim10">"="</definedName>
    <definedName name="csexcel_kimutatas_fomerleg_bev_Dim11">"="</definedName>
    <definedName name="csexcel_kimutatas_fomerleg_bev_Dim12">"="</definedName>
    <definedName name="csexcel_kimutatas_fomerleg_kiad_Dim01">"="</definedName>
    <definedName name="csexcel_kimutatas_fomerleg_kiad_Dim02">"="</definedName>
    <definedName name="csexcel_kimutatas_fomerleg_kiad_Dim03">"="</definedName>
    <definedName name="csexcel_kimutatas_fomerleg_kiad_Dim04">"="</definedName>
    <definedName name="csexcel_kimutatas_fomerleg_kiad_Dim05">"="</definedName>
    <definedName name="csexcel_kimutatas_fomerleg_kiad_Dim06">"="</definedName>
    <definedName name="csexcel_kimutatas_fomerleg_kiad_Dim07">"="</definedName>
    <definedName name="csexcel_kimutatas_fomerleg_kiad_Dim08">"="</definedName>
    <definedName name="csexcel_kimutatas_fomerleg_kiad_Dim09">"="</definedName>
    <definedName name="csexcel_kimutatas_fomerleg_kiad_Dim10">"="</definedName>
    <definedName name="csexcel_kimutatas_fomerleg_kiad_Dim11">"="</definedName>
    <definedName name="csexcel_kimutatas_fomerleg_kiad_Dim12">"="</definedName>
    <definedName name="csexcel_kimutatas_hivatal_belso_penzeszkoz_besz_Dim01">"="</definedName>
    <definedName name="csexcel_kimutatas_hivatal_belso_penzeszkoz_besz_Dim02">"="</definedName>
    <definedName name="csexcel_kimutatas_hivatal_belso_penzeszkoz_besz_Dim03">"="</definedName>
    <definedName name="csexcel_kimutatas_hivatal_belso_penzeszkoz_besz_Dim04">"="</definedName>
    <definedName name="csexcel_kimutatas_hivatal_belso_penzeszkoz_besz_Dim05">"="</definedName>
    <definedName name="csexcel_kimutatas_hivatal_belso_penzeszkoz_besz_Dim06">"="</definedName>
    <definedName name="csexcel_kimutatas_hivatal_belso_penzeszkoz_besz_Dim07">"="</definedName>
    <definedName name="csexcel_kimutatas_hivatal_belso_penzeszkoz_besz_Dim08">"="</definedName>
    <definedName name="csexcel_kimutatas_hivatal_belso_penzeszkoz_besz_Dim09">"="</definedName>
    <definedName name="csexcel_kimutatas_hivatal_belso_penzeszkoz_besz_Dim10">"="</definedName>
    <definedName name="csexcel_kimutatas_hivatal_belso_penzeszkoz_besz_Dim11">"="</definedName>
    <definedName name="csexcel_kimutatas_hivatal_belso_penzeszkoz_besz_Dim12">"="</definedName>
    <definedName name="csexcel_kimutatas_hivatal_belso_penzeszkoz_beszAnchor">#REF!</definedName>
    <definedName name="csexcel_kimutatas_hivatal_belso_penzeszkoz_Dim01">"="</definedName>
    <definedName name="csexcel_kimutatas_hivatal_belso_penzeszkoz_Dim02">"="</definedName>
    <definedName name="csexcel_kimutatas_hivatal_belso_penzeszkoz_Dim03">"="</definedName>
    <definedName name="csexcel_kimutatas_hivatal_belso_penzeszkoz_Dim04">"="</definedName>
    <definedName name="csexcel_kimutatas_hivatal_belso_penzeszkoz_Dim05">"="</definedName>
    <definedName name="csexcel_kimutatas_hivatal_belso_penzeszkoz_Dim06">"="</definedName>
    <definedName name="csexcel_kimutatas_hivatal_belso_penzeszkoz_Dim07">"="</definedName>
    <definedName name="csexcel_kimutatas_hivatal_belso_penzeszkoz_Dim08">"="</definedName>
    <definedName name="csexcel_kimutatas_hivatal_belso_penzeszkoz_Dim09">"="</definedName>
    <definedName name="csexcel_kimutatas_hivatal_belso_penzeszkoz_Dim10">"="</definedName>
    <definedName name="csexcel_kimutatas_hivatal_belso_penzeszkoz_Dim11">"="</definedName>
    <definedName name="csexcel_kimutatas_hivatal_belso_penzeszkoz_Dim12">"="</definedName>
    <definedName name="csexcel_kimutatas_hivatal_belso_penzeszkoz_jo_Dim01">"="</definedName>
    <definedName name="csexcel_kimutatas_hivatal_belso_penzeszkoz_jo_Dim02">"="</definedName>
    <definedName name="csexcel_kimutatas_hivatal_belso_penzeszkoz_jo_Dim03">"="</definedName>
    <definedName name="csexcel_kimutatas_hivatal_belso_penzeszkoz_jo_Dim04">"="</definedName>
    <definedName name="csexcel_kimutatas_hivatal_belso_penzeszkoz_jo_Dim05">"="</definedName>
    <definedName name="csexcel_kimutatas_hivatal_belso_penzeszkoz_jo_Dim06">"="</definedName>
    <definedName name="csexcel_kimutatas_hivatal_belso_penzeszkoz_jo_Dim07">"="</definedName>
    <definedName name="csexcel_kimutatas_hivatal_belso_penzeszkoz_jo_Dim08">"="</definedName>
    <definedName name="csexcel_kimutatas_hivatal_belso_penzeszkoz_jo_Dim09">"="</definedName>
    <definedName name="csexcel_kimutatas_hivatal_belso_penzeszkoz_jo_Dim10">"="</definedName>
    <definedName name="csexcel_kimutatas_hivatal_belso_penzeszkoz_jo_Dim11">"="</definedName>
    <definedName name="csexcel_kimutatas_hivatal_belso_penzeszkoz_jo_Dim12">"="</definedName>
    <definedName name="csexcel_kimutatas_hivatal_belso_penzeszkoz_jo1_Dim01">"="</definedName>
    <definedName name="csexcel_kimutatas_hivatal_belso_penzeszkoz_jo1_Dim02">"="</definedName>
    <definedName name="csexcel_kimutatas_hivatal_belso_penzeszkoz_jo1_Dim03">"="</definedName>
    <definedName name="csexcel_kimutatas_hivatal_belso_penzeszkoz_jo1_Dim04">"="</definedName>
    <definedName name="csexcel_kimutatas_hivatal_belso_penzeszkoz_jo1_Dim05">"="</definedName>
    <definedName name="csexcel_kimutatas_hivatal_belso_penzeszkoz_jo1_Dim06">"="</definedName>
    <definedName name="csexcel_kimutatas_hivatal_belso_penzeszkoz_jo1_Dim07">"="</definedName>
    <definedName name="csexcel_kimutatas_hivatal_belso_penzeszkoz_jo1_Dim08">"="</definedName>
    <definedName name="csexcel_kimutatas_hivatal_belso_penzeszkoz_jo1_Dim09">"="</definedName>
    <definedName name="csexcel_kimutatas_hivatal_belso_penzeszkoz_jo1_Dim10">"="</definedName>
    <definedName name="csexcel_kimutatas_hivatal_belso_penzeszkoz_jo1_Dim11">"="</definedName>
    <definedName name="csexcel_kimutatas_hivatal_belso_penzeszkoz_jo1_Dim12">"="</definedName>
    <definedName name="csexcel_kimutatas_hivatal_belso_penzeszkoz_joAnchor">#REF!</definedName>
    <definedName name="csexcel_kimutatas_hivatal_belso_penzeszkozAnchor">#REF!</definedName>
    <definedName name="csexcel_kimutatas_hivatal_rendeleti_tabla_Dim01">"="</definedName>
    <definedName name="csexcel_kimutatas_hivatal_rendeleti_tabla_Dim02">"="</definedName>
    <definedName name="csexcel_kimutatas_hivatal_rendeleti_tabla_Dim03">"="</definedName>
    <definedName name="csexcel_kimutatas_hivatal_rendeleti_tabla_Dim04">"="</definedName>
    <definedName name="csexcel_kimutatas_hivatal_rendeleti_tabla_Dim05">"="</definedName>
    <definedName name="csexcel_kimutatas_hivatal_rendeleti_tabla_Dim06">"="</definedName>
    <definedName name="csexcel_kimutatas_hivatal_rendeleti_tabla_Dim07">"="</definedName>
    <definedName name="csexcel_kimutatas_hivatal_rendeleti_tabla_Dim08">"="</definedName>
    <definedName name="csexcel_kimutatas_hivatal_rendeleti_tabla_Dim09">"="</definedName>
    <definedName name="csexcel_kimutatas_hivatal_rendeleti_tabla_Dim10">"="</definedName>
    <definedName name="csexcel_kimutatas_hivatal_rendeleti_tabla_Dim11">"="</definedName>
    <definedName name="csexcel_kimutatas_hivatal_rendeleti_tabla_Dim12">"="</definedName>
    <definedName name="csexcel_kimutatas_kiad_fobb_jogcim_Dim01">"="</definedName>
    <definedName name="csexcel_kimutatas_kiad_fobb_jogcim_Dim02">"="</definedName>
    <definedName name="csexcel_kimutatas_kiad_fobb_jogcim_Dim03">"="</definedName>
    <definedName name="csexcel_kimutatas_kiad_fobb_jogcim_Dim04">"="</definedName>
    <definedName name="csexcel_kimutatas_kiad_fobb_jogcim_Dim05">"="</definedName>
    <definedName name="csexcel_kimutatas_kiad_fobb_jogcim_Dim06">"="</definedName>
    <definedName name="csexcel_kimutatas_kiad_fobb_jogcim_Dim07">"="</definedName>
    <definedName name="csexcel_kimutatas_kiad_fobb_jogcim_Dim08">"="</definedName>
    <definedName name="csexcel_kimutatas_kiad_fobb_jogcim_Dim09">"="</definedName>
    <definedName name="csexcel_kimutatas_kiad_fobb_jogcim_Dim10">"="</definedName>
    <definedName name="csexcel_kimutatas_kiad_fobb_jogcim_Dim11">"="</definedName>
    <definedName name="csexcel_kimutatas_kiad_fobb_jogcim_Dim12">"="</definedName>
    <definedName name="csexcel_kimutatas_kiad_fobb_jogcimAnchor">#REF!</definedName>
    <definedName name="csexcel_kimutatas_kisebbsegi_rendeleti_tabla_Dim01">"="</definedName>
    <definedName name="csexcel_kimutatas_kisebbsegi_rendeleti_tabla_Dim02">"="</definedName>
    <definedName name="csexcel_kimutatas_kisebbsegi_rendeleti_tabla_Dim03">"="</definedName>
    <definedName name="csexcel_kimutatas_kisebbsegi_rendeleti_tabla_Dim04">"="</definedName>
    <definedName name="csexcel_kimutatas_kisebbsegi_rendeleti_tabla_Dim05">"="</definedName>
    <definedName name="csexcel_kimutatas_kisebbsegi_rendeleti_tabla_Dim06">"="</definedName>
    <definedName name="csexcel_kimutatas_kisebbsegi_rendeleti_tabla_Dim07">"="</definedName>
    <definedName name="csexcel_kimutatas_kisebbsegi_rendeleti_tabla_Dim08">"="</definedName>
    <definedName name="csexcel_kimutatas_kisebbsegi_rendeleti_tabla_Dim09">"="</definedName>
    <definedName name="csexcel_kimutatas_kisebbsegi_rendeleti_tabla_Dim10">"="</definedName>
    <definedName name="csexcel_kimutatas_kisebbsegi_rendeleti_tabla_Dim11">"="</definedName>
    <definedName name="csexcel_kimutatas_kisebbsegi_rendeleti_tabla_Dim12">"="</definedName>
    <definedName name="csexcel_kimutatas_kisebbsegi_rendeleti_tablaAnchor">#REF!</definedName>
    <definedName name="csexcel_kimutatas_likviditas_Dim01">"="</definedName>
    <definedName name="csexcel_kimutatas_likviditas_Dim02">"="</definedName>
    <definedName name="csexcel_kimutatas_likviditas_Dim03">"="</definedName>
    <definedName name="csexcel_kimutatas_likviditas_Dim04">"="</definedName>
    <definedName name="csexcel_kimutatas_likviditas_Dim05">"="</definedName>
    <definedName name="csexcel_kimutatas_likviditas_Dim06">"="</definedName>
    <definedName name="csexcel_kimutatas_likviditas_Dim07">"="</definedName>
    <definedName name="csexcel_kimutatas_likviditas_Dim08">"="</definedName>
    <definedName name="csexcel_kimutatas_likviditas_Dim09">"="</definedName>
    <definedName name="csexcel_kimutatas_likviditas_Dim10">"="</definedName>
    <definedName name="csexcel_kimutatas_likviditas_Dim11">"="</definedName>
    <definedName name="csexcel_kimutatas_likviditas_Dim12">"="</definedName>
    <definedName name="csexcel_kimutatas_likviditasAnchor">#REF!</definedName>
    <definedName name="csexcel_kimutatas_muk_fejl_bev_kiad_Dim01">"="</definedName>
    <definedName name="csexcel_kimutatas_muk_fejl_bev_kiad_Dim02">"="</definedName>
    <definedName name="csexcel_kimutatas_muk_fejl_bev_kiad_Dim03">"="</definedName>
    <definedName name="csexcel_kimutatas_muk_fejl_bev_kiad_Dim04">"="</definedName>
    <definedName name="csexcel_kimutatas_muk_fejl_bev_kiad_Dim05">"="</definedName>
    <definedName name="csexcel_kimutatas_muk_fejl_bev_kiad_Dim06">"="</definedName>
    <definedName name="csexcel_kimutatas_muk_fejl_bev_kiad_Dim07">"="</definedName>
    <definedName name="csexcel_kimutatas_muk_fejl_bev_kiad_Dim08">"="</definedName>
    <definedName name="csexcel_kimutatas_muk_fejl_bev_kiad_Dim09">"="</definedName>
    <definedName name="csexcel_kimutatas_muk_fejl_bev_kiad_Dim10">"="</definedName>
    <definedName name="csexcel_kimutatas_muk_fejl_bev_kiad_Dim11">"="</definedName>
    <definedName name="csexcel_kimutatas_muk_fejl_bev_kiad_Dim12">"="</definedName>
    <definedName name="csexcel_kimutatas_muk_fejl_bev_kiadAnchor">#REF!</definedName>
    <definedName name="csexcel_kimutatas_mukodesi_merleg_bev_Dim01">"="</definedName>
    <definedName name="csexcel_kimutatas_mukodesi_merleg_bev_Dim02">"="</definedName>
    <definedName name="csexcel_kimutatas_mukodesi_merleg_bev_Dim03">"="</definedName>
    <definedName name="csexcel_kimutatas_mukodesi_merleg_bev_Dim04">"="</definedName>
    <definedName name="csexcel_kimutatas_mukodesi_merleg_bev_Dim05">"="</definedName>
    <definedName name="csexcel_kimutatas_mukodesi_merleg_bev_Dim06">"="</definedName>
    <definedName name="csexcel_kimutatas_mukodesi_merleg_bev_Dim07">"="</definedName>
    <definedName name="csexcel_kimutatas_mukodesi_merleg_bev_Dim08">"="</definedName>
    <definedName name="csexcel_kimutatas_mukodesi_merleg_bev_Dim09">"="</definedName>
    <definedName name="csexcel_kimutatas_mukodesi_merleg_bev_Dim10">"="</definedName>
    <definedName name="csexcel_kimutatas_mukodesi_merleg_bev_Dim11">"="</definedName>
    <definedName name="csexcel_kimutatas_mukodesi_merleg_bev_Dim12">"="</definedName>
    <definedName name="csexcel_kimutatas_mukodesi_merleg_kiad_Dim01">"="</definedName>
    <definedName name="csexcel_kimutatas_mukodesi_merleg_kiad_Dim02">"="</definedName>
    <definedName name="csexcel_kimutatas_mukodesi_merleg_kiad_Dim03">"="</definedName>
    <definedName name="csexcel_kimutatas_mukodesi_merleg_kiad_Dim04">"="</definedName>
    <definedName name="csexcel_kimutatas_mukodesi_merleg_kiad_Dim05">"="</definedName>
    <definedName name="csexcel_kimutatas_mukodesi_merleg_kiad_Dim06">"="</definedName>
    <definedName name="csexcel_kimutatas_mukodesi_merleg_kiad_Dim07">"="</definedName>
    <definedName name="csexcel_kimutatas_mukodesi_merleg_kiad_Dim08">"="</definedName>
    <definedName name="csexcel_kimutatas_mukodesi_merleg_kiad_Dim09">"="</definedName>
    <definedName name="csexcel_kimutatas_mukodesi_merleg_kiad_Dim10">"="</definedName>
    <definedName name="csexcel_kimutatas_mukodesi_merleg_kiad_Dim11">"="</definedName>
    <definedName name="csexcel_kimutatas_mukodesi_merleg_kiad_Dim12">"="</definedName>
    <definedName name="csexcel_kimutatas_Nemet_rend_tabla_Dim01">"="</definedName>
    <definedName name="csexcel_kimutatas_Nemet_rend_tabla_Dim02">"="</definedName>
    <definedName name="csexcel_kimutatas_Nemet_rend_tabla_Dim03">"="</definedName>
    <definedName name="csexcel_kimutatas_Nemet_rend_tabla_Dim04">"="</definedName>
    <definedName name="csexcel_kimutatas_Nemet_rend_tabla_Dim05">"="</definedName>
    <definedName name="csexcel_kimutatas_Nemet_rend_tabla_Dim06">"="</definedName>
    <definedName name="csexcel_kimutatas_Nemet_rend_tabla_Dim07">"="</definedName>
    <definedName name="csexcel_kimutatas_Nemet_rend_tabla_Dim08">"="</definedName>
    <definedName name="csexcel_kimutatas_Nemet_rend_tabla_Dim09">"="</definedName>
    <definedName name="csexcel_kimutatas_Nemet_rend_tabla_Dim10">"="</definedName>
    <definedName name="csexcel_kimutatas_Nemet_rend_tabla_Dim11">"="</definedName>
    <definedName name="csexcel_kimutatas_Nemet_rend_tabla_Dim12">"="</definedName>
    <definedName name="csexcel_kimutatas_Nemet_rend_tablaAnchor">#REF!</definedName>
    <definedName name="csexcel_kimutatas_Nemet_rendeleti_tabla_Dim01">"="</definedName>
    <definedName name="csexcel_kimutatas_Nemet_rendeleti_tabla_Dim02">"="</definedName>
    <definedName name="csexcel_kimutatas_Nemet_rendeleti_tabla_Dim03">"="</definedName>
    <definedName name="csexcel_kimutatas_Nemet_rendeleti_tabla_Dim04">"="</definedName>
    <definedName name="csexcel_kimutatas_Nemet_rendeleti_tabla_Dim05">"="</definedName>
    <definedName name="csexcel_kimutatas_Nemet_rendeleti_tabla_Dim06">"="</definedName>
    <definedName name="csexcel_kimutatas_Nemet_rendeleti_tabla_Dim07">"="</definedName>
    <definedName name="csexcel_kimutatas_Nemet_rendeleti_tabla_Dim08">"="</definedName>
    <definedName name="csexcel_kimutatas_Nemet_rendeleti_tabla_Dim09">"="</definedName>
    <definedName name="csexcel_kimutatas_Nemet_rendeleti_tabla_Dim10">"="</definedName>
    <definedName name="csexcel_kimutatas_Nemet_rendeleti_tabla_Dim11">"="</definedName>
    <definedName name="csexcel_kimutatas_Nemet_rendeleti_tabla_Dim12">"="</definedName>
    <definedName name="csexcel_kimutatas_pm_jogcim_Dim01">"="</definedName>
    <definedName name="csexcel_kimutatas_pm_jogcim_Dim02">"="</definedName>
    <definedName name="csexcel_kimutatas_pm_jogcim_Dim03">"="</definedName>
    <definedName name="csexcel_kimutatas_pm_jogcim_Dim04">"="</definedName>
    <definedName name="csexcel_kimutatas_pm_jogcim_Dim05">"="</definedName>
    <definedName name="csexcel_kimutatas_pm_jogcim_Dim06">"="</definedName>
    <definedName name="csexcel_kimutatas_pm_jogcim_Dim07">"="</definedName>
    <definedName name="csexcel_kimutatas_pm_jogcim_Dim08">"="</definedName>
    <definedName name="csexcel_kimutatas_pm_jogcim_Dim09">"="</definedName>
    <definedName name="csexcel_kimutatas_pm_jogcim_Dim10">"="</definedName>
    <definedName name="csexcel_kimutatas_pm_jogcim_Dim11">"="</definedName>
    <definedName name="csexcel_kimutatas_pm_jogcim_Dim12">"="</definedName>
    <definedName name="csexcel_kimutatas_Szlovak_rend_tabla_Dim01">"="</definedName>
    <definedName name="csexcel_kimutatas_Szlovak_rend_tabla_Dim02">"="</definedName>
    <definedName name="csexcel_kimutatas_Szlovak_rend_tabla_Dim03">"="</definedName>
    <definedName name="csexcel_kimutatas_Szlovak_rend_tabla_Dim04">"="</definedName>
    <definedName name="csexcel_kimutatas_Szlovak_rend_tabla_Dim05">"="</definedName>
    <definedName name="csexcel_kimutatas_Szlovak_rend_tabla_Dim06">"="</definedName>
    <definedName name="csexcel_kimutatas_Szlovak_rend_tabla_Dim07">"="</definedName>
    <definedName name="csexcel_kimutatas_Szlovak_rend_tabla_Dim08">"="</definedName>
    <definedName name="csexcel_kimutatas_Szlovak_rend_tabla_Dim09">"="</definedName>
    <definedName name="csexcel_kimutatas_Szlovak_rend_tabla_Dim10">"="</definedName>
    <definedName name="csexcel_kimutatas_Szlovak_rend_tabla_Dim11">"="</definedName>
    <definedName name="csexcel_kimutatas_Szlovak_rend_tabla_Dim12">"="</definedName>
    <definedName name="csexcel_kimutatas_Szlovak_rend_tablaAnchor">#REF!</definedName>
    <definedName name="csexcel_kimutatas_Szlovak_rendeleti_tabla_Dim01">"="</definedName>
    <definedName name="csexcel_kimutatas_Szlovak_rendeleti_tabla_Dim02">"="</definedName>
    <definedName name="csexcel_kimutatas_Szlovak_rendeleti_tabla_Dim03">"="</definedName>
    <definedName name="csexcel_kimutatas_Szlovak_rendeleti_tabla_Dim04">"="</definedName>
    <definedName name="csexcel_kimutatas_Szlovak_rendeleti_tabla_Dim05">"="</definedName>
    <definedName name="csexcel_kimutatas_Szlovak_rendeleti_tabla_Dim06">"="</definedName>
    <definedName name="csexcel_kimutatas_Szlovak_rendeleti_tabla_Dim07">"="</definedName>
    <definedName name="csexcel_kimutatas_Szlovak_rendeleti_tabla_Dim08">"="</definedName>
    <definedName name="csexcel_kimutatas_Szlovak_rendeleti_tabla_Dim09">"="</definedName>
    <definedName name="csexcel_kimutatas_Szlovak_rendeleti_tabla_Dim10">"="</definedName>
    <definedName name="csexcel_kimutatas_Szlovak_rendeleti_tabla_Dim11">"="</definedName>
    <definedName name="csexcel_kimutatas_Szlovak_rendeleti_tabla_Dim12">"="</definedName>
    <definedName name="csexcel_kimutatas_Tiszk_rend_tabla_Dim01">"="</definedName>
    <definedName name="csexcel_kimutatas_Tiszk_rend_tabla_Dim02">"="</definedName>
    <definedName name="csexcel_kimutatas_Tiszk_rend_tabla_Dim03">"="</definedName>
    <definedName name="csexcel_kimutatas_Tiszk_rend_tabla_Dim04">"="</definedName>
    <definedName name="csexcel_kimutatas_Tiszk_rend_tabla_Dim05">"="</definedName>
    <definedName name="csexcel_kimutatas_Tiszk_rend_tabla_Dim06">"="</definedName>
    <definedName name="csexcel_kimutatas_Tiszk_rend_tabla_Dim07">"="</definedName>
    <definedName name="csexcel_kimutatas_Tiszk_rend_tabla_Dim08">"="</definedName>
    <definedName name="csexcel_kimutatas_Tiszk_rend_tabla_Dim09">"="</definedName>
    <definedName name="csexcel_kimutatas_Tiszk_rend_tabla_Dim10">"="</definedName>
    <definedName name="csexcel_kimutatas_Tiszk_rend_tabla_Dim11">"="</definedName>
    <definedName name="csexcel_kimutatas_Tiszk_rend_tabla_Dim12">"="</definedName>
    <definedName name="csexcel_kimutatas_Tiszk_rend_tablaAnchor">#REF!</definedName>
    <definedName name="csexcel_kimutatas_Tiszk_rendeleti_tabla_Dim01">"="</definedName>
    <definedName name="csexcel_kimutatas_Tiszk_rendeleti_tabla_Dim02">"="</definedName>
    <definedName name="csexcel_kimutatas_Tiszk_rendeleti_tabla_Dim03">"="</definedName>
    <definedName name="csexcel_kimutatas_Tiszk_rendeleti_tabla_Dim04">"="</definedName>
    <definedName name="csexcel_kimutatas_Tiszk_rendeleti_tabla_Dim05">"="</definedName>
    <definedName name="csexcel_kimutatas_Tiszk_rendeleti_tabla_Dim06">"="</definedName>
    <definedName name="csexcel_kimutatas_Tiszk_rendeleti_tabla_Dim07">"="</definedName>
    <definedName name="csexcel_kimutatas_Tiszk_rendeleti_tabla_Dim08">"="</definedName>
    <definedName name="csexcel_kimutatas_Tiszk_rendeleti_tabla_Dim09">"="</definedName>
    <definedName name="csexcel_kimutatas_Tiszk_rendeleti_tabla_Dim10">"="</definedName>
    <definedName name="csexcel_kimutatas_Tiszk_rendeleti_tabla_Dim11">"="</definedName>
    <definedName name="csexcel_kimutatas_Tiszk_rendeleti_tabla_Dim12">"="</definedName>
    <definedName name="csexcel_koltsegvetes_2007_bev_2szmell_Dim01">"="</definedName>
    <definedName name="csexcel_koltsegvetes_2007_bev_2szmell_Dim02">"="</definedName>
    <definedName name="csexcel_koltsegvetes_2007_bev_2szmell_Dim03">#REF!</definedName>
    <definedName name="csexcel_koltsegvetes_2007_bev_2szmell_Dim04">#REF!</definedName>
    <definedName name="csexcel_koltsegvetes_2007_bev_2szmell_Dim05">#REF!</definedName>
    <definedName name="csexcel_koltsegvetes_2007_bev_2szmell_Dim06">#REF!</definedName>
    <definedName name="csexcel_koltsegvetes_2007_bev_2szmell_Dim07">#REF!</definedName>
    <definedName name="csexcel_koltsegvetes_2007_bev_2szmell_Dim08">#REF!</definedName>
    <definedName name="csexcel_koltsegvetes_2007_bev_2szmell_Dim09">#REF!</definedName>
    <definedName name="csexcel_koltsegvetes_2007_bev_2szmell_Dim10">"="</definedName>
    <definedName name="csexcel_koltsegvetes_2007_bev_2szmell_Dim11">"="</definedName>
    <definedName name="csexcel_koltsegvetes_2007_bev_2szmellAnchor">#REF!</definedName>
    <definedName name="csexcel_koltsegvetes_2007_kiad_3szmell_Dim01">"="</definedName>
    <definedName name="csexcel_koltsegvetes_2007_kiad_3szmell_Dim02">"="</definedName>
    <definedName name="csexcel_koltsegvetes_2007_kiad_3szmell_Dim03">#REF!</definedName>
    <definedName name="csexcel_koltsegvetes_2007_kiad_3szmell_Dim04">#REF!</definedName>
    <definedName name="csexcel_koltsegvetes_2007_kiad_3szmell_Dim05">#REF!</definedName>
    <definedName name="csexcel_koltsegvetes_2007_kiad_3szmell_Dim06">#REF!</definedName>
    <definedName name="csexcel_koltsegvetes_2007_kiad_3szmell_Dim07">#REF!</definedName>
    <definedName name="csexcel_koltsegvetes_2007_kiad_3szmell_Dim08">#REF!</definedName>
    <definedName name="csexcel_koltsegvetes_2007_kiad_3szmell_Dim09">"="</definedName>
    <definedName name="csexcel_koltsegvetes_2007_kiad_3szmell_Dim10">#REF!</definedName>
    <definedName name="csexcel_koltsegvetes_2007_kiad_3szmell_Dim11">"="</definedName>
    <definedName name="csexcel_koltsegvetes_2007_kiad_3szmellAnchor">#REF!</definedName>
    <definedName name="csexcel_koncepcio_1szmell_bev_Dim01">"="</definedName>
    <definedName name="csexcel_koncepcio_1szmell_bev_Dim02">"="</definedName>
    <definedName name="csexcel_koncepcio_1szmell_bev_Dim03">#REF!</definedName>
    <definedName name="csexcel_koncepcio_1szmell_bev_Dim04">#REF!</definedName>
    <definedName name="csexcel_koncepcio_1szmell_bev_Dim05">"="</definedName>
    <definedName name="csexcel_koncepcio_1szmell_bev_Dim06">#REF!</definedName>
    <definedName name="csexcel_koncepcio_1szmell_bev_Dim07">"="</definedName>
    <definedName name="csexcel_koncepcio_1szmell_bev_Dim08">#REF!</definedName>
    <definedName name="csexcel_koncepcio_1szmell_bev_Dim09">#REF!</definedName>
    <definedName name="csexcel_koncepcio_1szmell_bev_Dim10">#REF!</definedName>
    <definedName name="csexcel_koncepcio_1szmell_bev_Dim11">#REF!</definedName>
    <definedName name="csexcel_koncepcio_1szmell_bevAnchor">#REF!</definedName>
    <definedName name="csexcel_koncepcio_1szmell_kiad_Dim01">"="</definedName>
    <definedName name="csexcel_koncepcio_1szmell_kiad_Dim02">"="</definedName>
    <definedName name="csexcel_koncepcio_1szmell_kiad_Dim03">#REF!</definedName>
    <definedName name="csexcel_koncepcio_1szmell_kiad_Dim04">#REF!</definedName>
    <definedName name="csexcel_koncepcio_1szmell_kiad_Dim05">"="</definedName>
    <definedName name="csexcel_koncepcio_1szmell_kiad_Dim06">#REF!</definedName>
    <definedName name="csexcel_koncepcio_1szmell_kiad_Dim07">"="</definedName>
    <definedName name="csexcel_koncepcio_1szmell_kiad_Dim08">#REF!</definedName>
    <definedName name="csexcel_koncepcio_1szmell_kiad_Dim09">#REF!</definedName>
    <definedName name="csexcel_koncepcio_1szmell_kiad_Dim10">#REF!</definedName>
    <definedName name="csexcel_koncepcio_1szmell_kiad_Dim11">#REF!</definedName>
    <definedName name="csexcel_koncepcio_1szmell_kiadAnchor">#REF!</definedName>
    <definedName name="csexcel_Nemet_rend_tabla_konc_Dim01">"="</definedName>
    <definedName name="csexcel_Nemet_rend_tabla_konc_Dim02">"="</definedName>
    <definedName name="csexcel_Nemet_rend_tabla_konc_Dim03">"="</definedName>
    <definedName name="csexcel_Nemet_rend_tabla_konc_Dim04">"="</definedName>
    <definedName name="csexcel_Nemet_rend_tabla_konc_Dim05">"="</definedName>
    <definedName name="csexcel_Nemet_rend_tabla_konc_Dim06">"="</definedName>
    <definedName name="csexcel_Nemet_rend_tabla_konc_Dim07">"="</definedName>
    <definedName name="csexcel_Nemet_rend_tabla_konc_Dim08">"="</definedName>
    <definedName name="csexcel_Nemet_rend_tabla_konc_Dim09">"="</definedName>
    <definedName name="csexcel_Nemet_rend_tabla_konc_Dim10">"="</definedName>
    <definedName name="csexcel_Nemet_rend_tabla_konc_Dim11">"="</definedName>
    <definedName name="csexcel_Nemet_rend_tabla_konc_Dim12">"="</definedName>
    <definedName name="csexcel_Szlovak_rend_tabla_konc_Dim01">"="</definedName>
    <definedName name="csexcel_Szlovak_rend_tabla_konc_Dim02">"="</definedName>
    <definedName name="csexcel_Szlovak_rend_tabla_konc_Dim03">"="</definedName>
    <definedName name="csexcel_Szlovak_rend_tabla_konc_Dim04">"="</definedName>
    <definedName name="csexcel_Szlovak_rend_tabla_konc_Dim05">"="</definedName>
    <definedName name="csexcel_Szlovak_rend_tabla_konc_Dim06">"="</definedName>
    <definedName name="csexcel_Szlovak_rend_tabla_konc_Dim07">"="</definedName>
    <definedName name="csexcel_Szlovak_rend_tabla_konc_Dim08">"="</definedName>
    <definedName name="csexcel_Szlovak_rend_tabla_konc_Dim09">"="</definedName>
    <definedName name="csexcel_Szlovak_rend_tabla_konc_Dim10">"="</definedName>
    <definedName name="csexcel_Szlovak_rend_tabla_konc_Dim11">"="</definedName>
    <definedName name="csexcel_Szlovak_rend_tabla_konc_Dim12">"="</definedName>
    <definedName name="csexcel_Tiszk_rend_tabla_konc_Dim01">"="</definedName>
    <definedName name="csexcel_Tiszk_rend_tabla_konc_Dim02">"="</definedName>
    <definedName name="csexcel_Tiszk_rend_tabla_konc_Dim03">"="</definedName>
    <definedName name="csexcel_Tiszk_rend_tabla_konc_Dim04">"="</definedName>
    <definedName name="csexcel_Tiszk_rend_tabla_konc_Dim05">"="</definedName>
    <definedName name="csexcel_Tiszk_rend_tabla_konc_Dim06">"="</definedName>
    <definedName name="csexcel_Tiszk_rend_tabla_konc_Dim07">"="</definedName>
    <definedName name="csexcel_Tiszk_rend_tabla_konc_Dim08">"="</definedName>
    <definedName name="csexcel_Tiszk_rend_tabla_konc_Dim09">"="</definedName>
    <definedName name="csexcel_Tiszk_rend_tabla_konc_Dim10">"="</definedName>
    <definedName name="csexcel_Tiszk_rend_tabla_konc_Dim11">"="</definedName>
    <definedName name="csexcel_Tiszk_rend_tabla_konc_Dim12">"="</definedName>
    <definedName name="csFeichtinger_rendeleti_tabla_excel_Dim01">"="</definedName>
    <definedName name="csFeichtinger_rendeleti_tabla_excel_Dim02">"="</definedName>
    <definedName name="csFeichtinger_rendeleti_tabla_excel_Dim03">"="</definedName>
    <definedName name="csFeichtinger_rendeleti_tabla_excel_Dim04">"="</definedName>
    <definedName name="csFeichtinger_rendeleti_tabla_excel_Dim05">"="</definedName>
    <definedName name="csFeichtinger_rendeleti_tabla_excel_Dim06">"="</definedName>
    <definedName name="csFeichtinger_rendeleti_tabla_excel_Dim07">"="</definedName>
    <definedName name="csFeichtinger_rendeleti_tabla_excel_Dim08">"="</definedName>
    <definedName name="csFeichtinger_rendeleti_tabla_excel_Dim09">"="</definedName>
    <definedName name="csFeichtinger_rendeleti_tabla_excel_Dim10">"="</definedName>
    <definedName name="csFeichtinger_rendeleti_tabla_excel_Dim11">"="</definedName>
    <definedName name="csFeichtinger_rendeleti_tabla_excel_Dim12">"="</definedName>
    <definedName name="csfelhalmozas_merleg_bev_excel_Dim01">"="</definedName>
    <definedName name="csfelhalmozas_merleg_bev_excel_Dim02">"="</definedName>
    <definedName name="csfelhalmozas_merleg_bev_excel_Dim03">"="</definedName>
    <definedName name="csfelhalmozas_merleg_bev_excel_Dim04">"="</definedName>
    <definedName name="csfelhalmozas_merleg_bev_excel_Dim05">"="</definedName>
    <definedName name="csfelhalmozas_merleg_bev_excel_Dim06">"="</definedName>
    <definedName name="csfelhalmozas_merleg_bev_excel_Dim07">"="</definedName>
    <definedName name="csfelhalmozas_merleg_bev_excel_Dim08">"="</definedName>
    <definedName name="csfelhalmozas_merleg_bev_excel_Dim09">"="</definedName>
    <definedName name="csfelhalmozas_merleg_bev_excel_Dim10">"="</definedName>
    <definedName name="csfelhalmozas_merleg_bev_excel_Dim11">"="</definedName>
    <definedName name="csfelhalmozas_merleg_bev_excel_Dim12">"="</definedName>
    <definedName name="csfelhalmozas_merleg_bev_excelAnchor">#REF!</definedName>
    <definedName name="csfelhalmozas_merleg_kiad_excel_Dim01">"="</definedName>
    <definedName name="csfelhalmozas_merleg_kiad_excel_Dim02">"="</definedName>
    <definedName name="csfelhalmozas_merleg_kiad_excel_Dim03">"="</definedName>
    <definedName name="csfelhalmozas_merleg_kiad_excel_Dim04">"="</definedName>
    <definedName name="csfelhalmozas_merleg_kiad_excel_Dim05">"="</definedName>
    <definedName name="csfelhalmozas_merleg_kiad_excel_Dim06">"="</definedName>
    <definedName name="csfelhalmozas_merleg_kiad_excel_Dim07">"="</definedName>
    <definedName name="csfelhalmozas_merleg_kiad_excel_Dim08">"="</definedName>
    <definedName name="csfelhalmozas_merleg_kiad_excel_Dim09">"="</definedName>
    <definedName name="csfelhalmozas_merleg_kiad_excel_Dim10">"="</definedName>
    <definedName name="csfelhalmozas_merleg_kiad_excel_Dim11">"="</definedName>
    <definedName name="csfelhalmozas_merleg_kiad_excel_Dim12">"="</definedName>
    <definedName name="csfelhalmozas_merleg_kiad_excelAnchor">#REF!</definedName>
    <definedName name="csfo_merleg_kiad_Dim01">"="</definedName>
    <definedName name="csfo_merleg_kiad_Dim02">"="</definedName>
    <definedName name="csfo_merleg_kiad_Dim03">"="</definedName>
    <definedName name="csfo_merleg_kiad_Dim04">"="</definedName>
    <definedName name="csfo_merleg_kiad_Dim05">"="</definedName>
    <definedName name="csfo_merleg_kiad_Dim06">"="</definedName>
    <definedName name="csfo_merleg_kiad_Dim07">"="</definedName>
    <definedName name="csfo_merleg_kiad_Dim08">"="</definedName>
    <definedName name="csfo_merleg_kiad_Dim09">"="</definedName>
    <definedName name="csfo_merleg_kiad_Dim10">"="</definedName>
    <definedName name="csfo_merleg_kiad_Dim11">"="</definedName>
    <definedName name="csfo_merleg_kiad_Dim12">"="</definedName>
    <definedName name="csfo_merleg_kiadAnchor">#REF!</definedName>
    <definedName name="csFogyatekos_tokodaltaro_rendeleti_tabla_excel_Dim01">"="</definedName>
    <definedName name="csFogyatekos_tokodaltaro_rendeleti_tabla_excel_Dim02">"="</definedName>
    <definedName name="csFogyatekos_tokodaltaro_rendeleti_tabla_excel_Dim03">"="</definedName>
    <definedName name="csFogyatekos_tokodaltaro_rendeleti_tabla_excel_Dim04">"="</definedName>
    <definedName name="csFogyatekos_tokodaltaro_rendeleti_tabla_excel_Dim05">"="</definedName>
    <definedName name="csFogyatekos_tokodaltaro_rendeleti_tabla_excel_Dim06">"="</definedName>
    <definedName name="csFogyatekos_tokodaltaro_rendeleti_tabla_excel_Dim07">"="</definedName>
    <definedName name="csFogyatekos_tokodaltaro_rendeleti_tabla_excel_Dim08">"="</definedName>
    <definedName name="csFogyatekos_tokodaltaro_rendeleti_tabla_excel_Dim09">"="</definedName>
    <definedName name="csFogyatekos_tokodaltaro_rendeleti_tabla_excel_Dim10">"="</definedName>
    <definedName name="csFogyatekos_tokodaltaro_rendeleti_tabla_excel_Dim11">"="</definedName>
    <definedName name="csFogyatekos_tokodaltaro_rendeleti_tabla_excel_Dim12">"="</definedName>
    <definedName name="csfomerleg_bev_Dim01">"="</definedName>
    <definedName name="csfomerleg_bev_Dim02">"="</definedName>
    <definedName name="csfomerleg_bev_Dim03">"="</definedName>
    <definedName name="csfomerleg_bev_Dim04">"="</definedName>
    <definedName name="csfomerleg_bev_Dim05">"="</definedName>
    <definedName name="csfomerleg_bev_Dim06">"="</definedName>
    <definedName name="csfomerleg_bev_Dim07">"="</definedName>
    <definedName name="csfomerleg_bev_Dim08">"="</definedName>
    <definedName name="csfomerleg_bev_Dim09">"="</definedName>
    <definedName name="csfomerleg_bev_Dim10">"="</definedName>
    <definedName name="csfomerleg_bev_Dim11">"="</definedName>
    <definedName name="csfomerleg_bev_Dim12">"="</definedName>
    <definedName name="csfomerleg_bev_mod_Dim01">"="</definedName>
    <definedName name="csfomerleg_bev_mod_Dim02">"="</definedName>
    <definedName name="csfomerleg_bev_mod_Dim03">"="</definedName>
    <definedName name="csfomerleg_bev_mod_Dim04">"="</definedName>
    <definedName name="csfomerleg_bev_mod_Dim05">"="</definedName>
    <definedName name="csfomerleg_bev_mod_Dim06">"="</definedName>
    <definedName name="csfomerleg_bev_mod_Dim07">"="</definedName>
    <definedName name="csfomerleg_bev_mod_Dim08">"="</definedName>
    <definedName name="csfomerleg_bev_mod_Dim09">"="</definedName>
    <definedName name="csfomerleg_bev_mod_Dim10">"="</definedName>
    <definedName name="csfomerleg_bev_mod_Dim11">"="</definedName>
    <definedName name="csfomerleg_bev_mod_Dim12">"="</definedName>
    <definedName name="csfomerleg_bevAnchor">#REF!</definedName>
    <definedName name="csGeza_fejedelem_rendeleti_tabla_excel_Dim01">"="</definedName>
    <definedName name="csGeza_fejedelem_rendeleti_tabla_excel_Dim02">"="</definedName>
    <definedName name="csGeza_fejedelem_rendeleti_tabla_excel_Dim03">"="</definedName>
    <definedName name="csGeza_fejedelem_rendeleti_tabla_excel_Dim04">"="</definedName>
    <definedName name="csGeza_fejedelem_rendeleti_tabla_excel_Dim05">"="</definedName>
    <definedName name="csGeza_fejedelem_rendeleti_tabla_excel_Dim06">"="</definedName>
    <definedName name="csGeza_fejedelem_rendeleti_tabla_excel_Dim07">"="</definedName>
    <definedName name="csGeza_fejedelem_rendeleti_tabla_excel_Dim08">"="</definedName>
    <definedName name="csGeza_fejedelem_rendeleti_tabla_excel_Dim09">"="</definedName>
    <definedName name="csGeza_fejedelem_rendeleti_tabla_excel_Dim10">"="</definedName>
    <definedName name="csGeza_fejedelem_rendeleti_tabla_excel_Dim11">"="</definedName>
    <definedName name="csGeza_fejedelem_rendeleti_tabla_excel_Dim12">"="</definedName>
    <definedName name="csGyermekvedelmi_rendeleti_tabla_excel_Dim01">"="</definedName>
    <definedName name="csGyermekvedelmi_rendeleti_tabla_excel_Dim02">"="</definedName>
    <definedName name="csGyermekvedelmi_rendeleti_tabla_excel_Dim03">"="</definedName>
    <definedName name="csGyermekvedelmi_rendeleti_tabla_excel_Dim04">"="</definedName>
    <definedName name="csGyermekvedelmi_rendeleti_tabla_excel_Dim05">"="</definedName>
    <definedName name="csGyermekvedelmi_rendeleti_tabla_excel_Dim06">"="</definedName>
    <definedName name="csGyermekvedelmi_rendeleti_tabla_excel_Dim07">"="</definedName>
    <definedName name="csGyermekvedelmi_rendeleti_tabla_excel_Dim08">"="</definedName>
    <definedName name="csGyermekvedelmi_rendeleti_tabla_excel_Dim09">"="</definedName>
    <definedName name="csGyermekvedelmi_rendeleti_tabla_excel_Dim10">"="</definedName>
    <definedName name="csGyermekvedelmi_rendeleti_tabla_excel_Dim11">"="</definedName>
    <definedName name="csGyermekvedelmi_rendeleti_tabla_excel_Dim12">"="</definedName>
    <definedName name="csHegyhati_rendeleti_tabla_excel_Dim01">"="</definedName>
    <definedName name="csHegyhati_rendeleti_tabla_excel_Dim02">"="</definedName>
    <definedName name="csHegyhati_rendeleti_tabla_excel_Dim03">"="</definedName>
    <definedName name="csHegyhati_rendeleti_tabla_excel_Dim04">"="</definedName>
    <definedName name="csHegyhati_rendeleti_tabla_excel_Dim05">"="</definedName>
    <definedName name="csHegyhati_rendeleti_tabla_excel_Dim06">"="</definedName>
    <definedName name="csHegyhati_rendeleti_tabla_excel_Dim07">"="</definedName>
    <definedName name="csHegyhati_rendeleti_tabla_excel_Dim08">"="</definedName>
    <definedName name="csHegyhati_rendeleti_tabla_excel_Dim09">"="</definedName>
    <definedName name="csHegyhati_rendeleti_tabla_excel_Dim10">"="</definedName>
    <definedName name="csHegyhati_rendeleti_tabla_excel_Dim11">"="</definedName>
    <definedName name="csHegyhati_rendeleti_tabla_excel_Dim12">"="</definedName>
    <definedName name="cshivatal_rendeleti_tabla_excel_Dim01">"="</definedName>
    <definedName name="cshivatal_rendeleti_tabla_excel_Dim02">"="</definedName>
    <definedName name="cshivatal_rendeleti_tabla_excel_Dim03">"="</definedName>
    <definedName name="cshivatal_rendeleti_tabla_excel_Dim04">"="</definedName>
    <definedName name="cshivatal_rendeleti_tabla_excel_Dim05">"="</definedName>
    <definedName name="cshivatal_rendeleti_tabla_excel_Dim06">"="</definedName>
    <definedName name="cshivatal_rendeleti_tabla_excel_Dim07">"="</definedName>
    <definedName name="cshivatal_rendeleti_tabla_excel_Dim08">"="</definedName>
    <definedName name="cshivatal_rendeleti_tabla_excel_Dim09">"="</definedName>
    <definedName name="cshivatal_rendeleti_tabla_excel_Dim10">"="</definedName>
    <definedName name="cshivatal_rendeleti_tabla_excel_Dim11">"="</definedName>
    <definedName name="cshivatal_rendeleti_tabla_excel_Dim12">"="</definedName>
    <definedName name="cshivatal_rendeleti_tabla_excelAnchor">#REF!</definedName>
    <definedName name="csIntegralt_szoc_int_rendeleti_tabla_excel_Dim01">"="</definedName>
    <definedName name="csIntegralt_szoc_int_rendeleti_tabla_excel_Dim02">"="</definedName>
    <definedName name="csIntegralt_szoc_int_rendeleti_tabla_excel_Dim03">"="</definedName>
    <definedName name="csIntegralt_szoc_int_rendeleti_tabla_excel_Dim04">"="</definedName>
    <definedName name="csIntegralt_szoc_int_rendeleti_tabla_excel_Dim05">"="</definedName>
    <definedName name="csIntegralt_szoc_int_rendeleti_tabla_excel_Dim06">"="</definedName>
    <definedName name="csIntegralt_szoc_int_rendeleti_tabla_excel_Dim07">"="</definedName>
    <definedName name="csIntegralt_szoc_int_rendeleti_tabla_excel_Dim08">"="</definedName>
    <definedName name="csIntegralt_szoc_int_rendeleti_tabla_excel_Dim09">"="</definedName>
    <definedName name="csIntegralt_szoc_int_rendeleti_tabla_excel_Dim10">"="</definedName>
    <definedName name="csIntegralt_szoc_int_rendeleti_tabla_excel_Dim11">"="</definedName>
    <definedName name="csIntegralt_szoc_int_rendeleti_tabla_excel_Dim12">"="</definedName>
    <definedName name="csintezmenyi_rendeleti_tabla_excel_Dim01">"="</definedName>
    <definedName name="csintezmenyi_rendeleti_tabla_excel_Dim02">"="</definedName>
    <definedName name="csintezmenyi_rendeleti_tabla_excel_Dim03">"="</definedName>
    <definedName name="csintezmenyi_rendeleti_tabla_excel_Dim04">"="</definedName>
    <definedName name="csintezmenyi_rendeleti_tabla_excel_Dim05">"="</definedName>
    <definedName name="csintezmenyi_rendeleti_tabla_excel_Dim06">"="</definedName>
    <definedName name="csintezmenyi_rendeleti_tabla_excel_Dim07">"="</definedName>
    <definedName name="csintezmenyi_rendeleti_tabla_excel_Dim08">"="</definedName>
    <definedName name="csintezmenyi_rendeleti_tabla_excel_Dim09">"="</definedName>
    <definedName name="csintezmenyi_rendeleti_tabla_excel_Dim10">"="</definedName>
    <definedName name="csintezmenyi_rendeleti_tabla_excel_Dim11">"="</definedName>
    <definedName name="csintezmenyi_rendeleti_tabla_excel_Dim12">"="</definedName>
    <definedName name="csJavorka_rendeleti_tabla_excel_Dim01">"="</definedName>
    <definedName name="csJavorka_rendeleti_tabla_excel_Dim02">"="</definedName>
    <definedName name="csJavorka_rendeleti_tabla_excel_Dim03">"="</definedName>
    <definedName name="csJavorka_rendeleti_tabla_excel_Dim04">"="</definedName>
    <definedName name="csJavorka_rendeleti_tabla_excel_Dim05">"="</definedName>
    <definedName name="csJavorka_rendeleti_tabla_excel_Dim06">"="</definedName>
    <definedName name="csJavorka_rendeleti_tabla_excel_Dim07">"="</definedName>
    <definedName name="csJavorka_rendeleti_tabla_excel_Dim08">"="</definedName>
    <definedName name="csJavorka_rendeleti_tabla_excel_Dim09">"="</definedName>
    <definedName name="csJavorka_rendeleti_tabla_excel_Dim10">"="</definedName>
    <definedName name="csJavorka_rendeleti_tabla_excel_Dim11">"="</definedName>
    <definedName name="csJavorka_rendeleti_tabla_excel_Dim12">"="</definedName>
    <definedName name="csJokai_rendeleti_tabla_excel_Dim01">"="</definedName>
    <definedName name="csJokai_rendeleti_tabla_excel_Dim02">"="</definedName>
    <definedName name="csJokai_rendeleti_tabla_excel_Dim03">"="</definedName>
    <definedName name="csJokai_rendeleti_tabla_excel_Dim04">"="</definedName>
    <definedName name="csJokai_rendeleti_tabla_excel_Dim05">"="</definedName>
    <definedName name="csJokai_rendeleti_tabla_excel_Dim06">"="</definedName>
    <definedName name="csJokai_rendeleti_tabla_excel_Dim07">"="</definedName>
    <definedName name="csJokai_rendeleti_tabla_excel_Dim08">"="</definedName>
    <definedName name="csJokai_rendeleti_tabla_excel_Dim09">"="</definedName>
    <definedName name="csJokai_rendeleti_tabla_excel_Dim10">"="</definedName>
    <definedName name="csJokai_rendeleti_tabla_excel_Dim11">"="</definedName>
    <definedName name="csJokai_rendeleti_tabla_excel_Dim12">"="</definedName>
    <definedName name="csJozsef_A_konyvtar_rendeleti_tabla_excel_Dim01">"="</definedName>
    <definedName name="csJozsef_A_konyvtar_rendeleti_tabla_excel_Dim02">"="</definedName>
    <definedName name="csJozsef_A_konyvtar_rendeleti_tabla_excel_Dim03">"="</definedName>
    <definedName name="csJozsef_A_konyvtar_rendeleti_tabla_excel_Dim04">"="</definedName>
    <definedName name="csJozsef_A_konyvtar_rendeleti_tabla_excel_Dim05">"="</definedName>
    <definedName name="csJozsef_A_konyvtar_rendeleti_tabla_excel_Dim06">"="</definedName>
    <definedName name="csJozsef_A_konyvtar_rendeleti_tabla_excel_Dim07">"="</definedName>
    <definedName name="csJozsef_A_konyvtar_rendeleti_tabla_excel_Dim08">"="</definedName>
    <definedName name="csJozsef_A_konyvtar_rendeleti_tabla_excel_Dim09">"="</definedName>
    <definedName name="csJozsef_A_konyvtar_rendeleti_tabla_excel_Dim10">"="</definedName>
    <definedName name="csJozsef_A_konyvtar_rendeleti_tabla_excel_Dim11">"="</definedName>
    <definedName name="csJozsef_A_konyvtar_rendeleti_tabla_excel_Dim12">"="</definedName>
    <definedName name="csKeepAlive">5</definedName>
    <definedName name="cskimutatas_2009_kv_Dim01">"="</definedName>
    <definedName name="cskimutatas_2009_kv_Dim02">"="</definedName>
    <definedName name="cskimutatas_2009_kv_Dim03">"="</definedName>
    <definedName name="cskimutatas_2009_kv_Dim04">"="</definedName>
    <definedName name="cskimutatas_2009_kv_Dim05">"="</definedName>
    <definedName name="cskimutatas_2009_kv_Dim06">"="</definedName>
    <definedName name="cskimutatas_2009_kv_Dim07">"="</definedName>
    <definedName name="cskimutatas_2009_kv_Dim08">"="</definedName>
    <definedName name="cskimutatas_2009_kv_Dim09">#REF!</definedName>
    <definedName name="cskimutatas_2009_kv_Dim10">"="</definedName>
    <definedName name="cskimutatas_2009_kv_Dim11">#REF!</definedName>
    <definedName name="cskimutatas_2009_kv_Dim12">"="</definedName>
    <definedName name="cskimutatas_2009_kvAnchor">#REF!</definedName>
    <definedName name="cskimutatas_bev_fobb_jogcim_Dim01">"="</definedName>
    <definedName name="cskimutatas_bev_fobb_jogcim_Dim02">"="</definedName>
    <definedName name="cskimutatas_bev_fobb_jogcim_Dim03">"="</definedName>
    <definedName name="cskimutatas_bev_fobb_jogcim_Dim04">"="</definedName>
    <definedName name="cskimutatas_bev_fobb_jogcim_Dim05">"="</definedName>
    <definedName name="cskimutatas_bev_fobb_jogcim_Dim06">"="</definedName>
    <definedName name="cskimutatas_bev_fobb_jogcim_Dim07">"="</definedName>
    <definedName name="cskimutatas_bev_fobb_jogcim_Dim08">"="</definedName>
    <definedName name="cskimutatas_bev_fobb_jogcim_Dim09">"="</definedName>
    <definedName name="cskimutatas_bev_fobb_jogcim_Dim10">"="</definedName>
    <definedName name="cskimutatas_bev_fobb_jogcim_Dim11">"="</definedName>
    <definedName name="cskimutatas_bev_fobb_jogcim_Dim12">"="</definedName>
    <definedName name="cskimutatas_bev_fobb_jogcimAnchor">[2]Bevétel!$A$10</definedName>
    <definedName name="cskimutatas_felhalmmerleg_bev_Dim01">"="</definedName>
    <definedName name="cskimutatas_felhalmmerleg_bev_Dim02">"="</definedName>
    <definedName name="cskimutatas_felhalmmerleg_bev_Dim03">"="</definedName>
    <definedName name="cskimutatas_felhalmmerleg_bev_Dim04">"="</definedName>
    <definedName name="cskimutatas_felhalmmerleg_bev_Dim05">"="</definedName>
    <definedName name="cskimutatas_felhalmmerleg_bev_Dim06">"="</definedName>
    <definedName name="cskimutatas_felhalmmerleg_bev_Dim07">"="</definedName>
    <definedName name="cskimutatas_felhalmmerleg_bev_Dim08">"="</definedName>
    <definedName name="cskimutatas_felhalmmerleg_bev_Dim09">"="</definedName>
    <definedName name="cskimutatas_felhalmmerleg_bev_Dim10">"="</definedName>
    <definedName name="cskimutatas_felhalmmerleg_bev_Dim11">"="</definedName>
    <definedName name="cskimutatas_felhalmmerleg_bev_Dim12">"="</definedName>
    <definedName name="cskimutatas_felhalmmerleg_bevAnchor">#REF!</definedName>
    <definedName name="cskimutatas_felhalmmerleg_kiad_Dim01">"="</definedName>
    <definedName name="cskimutatas_felhalmmerleg_kiad_Dim02">"="</definedName>
    <definedName name="cskimutatas_felhalmmerleg_kiad_Dim03">"="</definedName>
    <definedName name="cskimutatas_felhalmmerleg_kiad_Dim04">"="</definedName>
    <definedName name="cskimutatas_felhalmmerleg_kiad_Dim05">"="</definedName>
    <definedName name="cskimutatas_felhalmmerleg_kiad_Dim06">"="</definedName>
    <definedName name="cskimutatas_felhalmmerleg_kiad_Dim07">"="</definedName>
    <definedName name="cskimutatas_felhalmmerleg_kiad_Dim08">"="</definedName>
    <definedName name="cskimutatas_felhalmmerleg_kiad_Dim09">"="</definedName>
    <definedName name="cskimutatas_felhalmmerleg_kiad_Dim10">"="</definedName>
    <definedName name="cskimutatas_felhalmmerleg_kiad_Dim11">"="</definedName>
    <definedName name="cskimutatas_felhalmmerleg_kiad_Dim12">"="</definedName>
    <definedName name="cskimutatas_felhalmmerleg_kiadAnchor">#REF!</definedName>
    <definedName name="cskimutatas_felhalmozas_bev_merleg_jo_Dim01">"="</definedName>
    <definedName name="cskimutatas_felhalmozas_bev_merleg_jo_Dim02">"="</definedName>
    <definedName name="cskimutatas_felhalmozas_bev_merleg_jo_Dim03">"="</definedName>
    <definedName name="cskimutatas_felhalmozas_bev_merleg_jo_Dim04">"="</definedName>
    <definedName name="cskimutatas_felhalmozas_bev_merleg_jo_Dim05">"="</definedName>
    <definedName name="cskimutatas_felhalmozas_bev_merleg_jo_Dim06">"="</definedName>
    <definedName name="cskimutatas_felhalmozas_bev_merleg_jo_Dim07">"="</definedName>
    <definedName name="cskimutatas_felhalmozas_bev_merleg_jo_Dim08">"="</definedName>
    <definedName name="cskimutatas_felhalmozas_bev_merleg_jo_Dim09">"="</definedName>
    <definedName name="cskimutatas_felhalmozas_bev_merleg_jo_Dim10">"="</definedName>
    <definedName name="cskimutatas_felhalmozas_bev_merleg_jo_Dim11">"="</definedName>
    <definedName name="cskimutatas_felhalmozas_bev_merleg_jo_Dim12">"="</definedName>
    <definedName name="cskimutatas_felhalmozas_bev_merleg_joAnchor">#REF!</definedName>
    <definedName name="cskimutatas_felhalmozas_bev_merleg_konc_Dim01">"="</definedName>
    <definedName name="cskimutatas_felhalmozas_bev_merleg_konc_Dim02">"="</definedName>
    <definedName name="cskimutatas_felhalmozas_bev_merleg_konc_Dim03">"="</definedName>
    <definedName name="cskimutatas_felhalmozas_bev_merleg_konc_Dim04">"="</definedName>
    <definedName name="cskimutatas_felhalmozas_bev_merleg_konc_Dim05">"="</definedName>
    <definedName name="cskimutatas_felhalmozas_bev_merleg_konc_Dim06">"="</definedName>
    <definedName name="cskimutatas_felhalmozas_bev_merleg_konc_Dim07">"="</definedName>
    <definedName name="cskimutatas_felhalmozas_bev_merleg_konc_Dim08">"="</definedName>
    <definedName name="cskimutatas_felhalmozas_bev_merleg_konc_Dim09">"="</definedName>
    <definedName name="cskimutatas_felhalmozas_bev_merleg_konc_Dim10">"="</definedName>
    <definedName name="cskimutatas_felhalmozas_bev_merleg_konc_Dim11">"="</definedName>
    <definedName name="cskimutatas_felhalmozas_bev_merleg_konc_Dim12">"="</definedName>
    <definedName name="cskimutatas_felhalmozas_bev_merleg_koncAnchor">#REF!</definedName>
    <definedName name="cskimutatas_felhalmozas_kiad_merleg_jo_Dim01">"="</definedName>
    <definedName name="cskimutatas_felhalmozas_kiad_merleg_jo_Dim02">"="</definedName>
    <definedName name="cskimutatas_felhalmozas_kiad_merleg_jo_Dim03">"="</definedName>
    <definedName name="cskimutatas_felhalmozas_kiad_merleg_jo_Dim04">"="</definedName>
    <definedName name="cskimutatas_felhalmozas_kiad_merleg_jo_Dim05">"="</definedName>
    <definedName name="cskimutatas_felhalmozas_kiad_merleg_jo_Dim06">"="</definedName>
    <definedName name="cskimutatas_felhalmozas_kiad_merleg_jo_Dim07">"="</definedName>
    <definedName name="cskimutatas_felhalmozas_kiad_merleg_jo_Dim08">"="</definedName>
    <definedName name="cskimutatas_felhalmozas_kiad_merleg_jo_Dim09">"="</definedName>
    <definedName name="cskimutatas_felhalmozas_kiad_merleg_jo_Dim10">"="</definedName>
    <definedName name="cskimutatas_felhalmozas_kiad_merleg_jo_Dim11">"="</definedName>
    <definedName name="cskimutatas_felhalmozas_kiad_merleg_jo_Dim12">"="</definedName>
    <definedName name="cskimutatas_felhalmozas_kiad_merleg_joAnchor">#REF!</definedName>
    <definedName name="cskimutatas_felhalmozas_kiad_merleg_konc_Dim01">"="</definedName>
    <definedName name="cskimutatas_felhalmozas_kiad_merleg_konc_Dim02">"="</definedName>
    <definedName name="cskimutatas_felhalmozas_kiad_merleg_konc_Dim03">"="</definedName>
    <definedName name="cskimutatas_felhalmozas_kiad_merleg_konc_Dim04">"="</definedName>
    <definedName name="cskimutatas_felhalmozas_kiad_merleg_konc_Dim05">"="</definedName>
    <definedName name="cskimutatas_felhalmozas_kiad_merleg_konc_Dim06">"="</definedName>
    <definedName name="cskimutatas_felhalmozas_kiad_merleg_konc_Dim07">"="</definedName>
    <definedName name="cskimutatas_felhalmozas_kiad_merleg_konc_Dim08">"="</definedName>
    <definedName name="cskimutatas_felhalmozas_kiad_merleg_konc_Dim09">"="</definedName>
    <definedName name="cskimutatas_felhalmozas_kiad_merleg_konc_Dim10">"="</definedName>
    <definedName name="cskimutatas_felhalmozas_kiad_merleg_konc_Dim11">"="</definedName>
    <definedName name="cskimutatas_felhalmozas_kiad_merleg_konc_Dim12">"="</definedName>
    <definedName name="cskimutatas_felhalmozas_kiad_merleg_koncAnchor">#REF!</definedName>
    <definedName name="cskimutatas_fomerleg_bev_Dim01">"="</definedName>
    <definedName name="cskimutatas_fomerleg_bev_Dim02">"="</definedName>
    <definedName name="cskimutatas_fomerleg_bev_Dim03">"="</definedName>
    <definedName name="cskimutatas_fomerleg_bev_Dim04">"="</definedName>
    <definedName name="cskimutatas_fomerleg_bev_Dim05">"="</definedName>
    <definedName name="cskimutatas_fomerleg_bev_Dim06">"="</definedName>
    <definedName name="cskimutatas_fomerleg_bev_Dim07">"="</definedName>
    <definedName name="cskimutatas_fomerleg_bev_Dim08">"="</definedName>
    <definedName name="cskimutatas_fomerleg_bev_Dim09">"="</definedName>
    <definedName name="cskimutatas_fomerleg_bev_Dim10">"="</definedName>
    <definedName name="cskimutatas_fomerleg_bev_Dim11">"="</definedName>
    <definedName name="cskimutatas_fomerleg_bev_Dim12">"="</definedName>
    <definedName name="cskimutatas_fomerleg_bev_jo_Dim01">"="</definedName>
    <definedName name="cskimutatas_fomerleg_bev_jo_Dim02">"="</definedName>
    <definedName name="cskimutatas_fomerleg_bev_jo_Dim03">"="</definedName>
    <definedName name="cskimutatas_fomerleg_bev_jo_Dim04">"="</definedName>
    <definedName name="cskimutatas_fomerleg_bev_jo_Dim05">"="</definedName>
    <definedName name="cskimutatas_fomerleg_bev_jo_Dim06">"="</definedName>
    <definedName name="cskimutatas_fomerleg_bev_jo_Dim07">"="</definedName>
    <definedName name="cskimutatas_fomerleg_bev_jo_Dim08">"="</definedName>
    <definedName name="cskimutatas_fomerleg_bev_jo_Dim09">"="</definedName>
    <definedName name="cskimutatas_fomerleg_bev_jo_Dim10">"="</definedName>
    <definedName name="cskimutatas_fomerleg_bev_jo_Dim11">"="</definedName>
    <definedName name="cskimutatas_fomerleg_bev_jo_Dim12">"="</definedName>
    <definedName name="cskimutatas_fomerleg_bev_joAnchor">#REF!</definedName>
    <definedName name="cskimutatas_fomerleg_bev_konc_Dim01">"="</definedName>
    <definedName name="cskimutatas_fomerleg_bev_konc_Dim02">"="</definedName>
    <definedName name="cskimutatas_fomerleg_bev_konc_Dim03">"="</definedName>
    <definedName name="cskimutatas_fomerleg_bev_konc_Dim04">"="</definedName>
    <definedName name="cskimutatas_fomerleg_bev_konc_Dim05">"="</definedName>
    <definedName name="cskimutatas_fomerleg_bev_konc_Dim06">"="</definedName>
    <definedName name="cskimutatas_fomerleg_bev_konc_Dim07">"="</definedName>
    <definedName name="cskimutatas_fomerleg_bev_konc_Dim08">"="</definedName>
    <definedName name="cskimutatas_fomerleg_bev_konc_Dim09">"="</definedName>
    <definedName name="cskimutatas_fomerleg_bev_konc_Dim10">"="</definedName>
    <definedName name="cskimutatas_fomerleg_bev_konc_Dim11">"="</definedName>
    <definedName name="cskimutatas_fomerleg_bev_konc_Dim12">"="</definedName>
    <definedName name="cskimutatas_fomerleg_bev_koncAnchor">#REF!</definedName>
    <definedName name="cskimutatas_fomerleg_bevAnchor">#REF!</definedName>
    <definedName name="cskimutatas_fomerleg_kiad_Dim01">"="</definedName>
    <definedName name="cskimutatas_fomerleg_kiad_Dim02">"="</definedName>
    <definedName name="cskimutatas_fomerleg_kiad_Dim03">"="</definedName>
    <definedName name="cskimutatas_fomerleg_kiad_Dim04">"="</definedName>
    <definedName name="cskimutatas_fomerleg_kiad_Dim05">"="</definedName>
    <definedName name="cskimutatas_fomerleg_kiad_Dim06">"="</definedName>
    <definedName name="cskimutatas_fomerleg_kiad_Dim07">"="</definedName>
    <definedName name="cskimutatas_fomerleg_kiad_Dim08">"="</definedName>
    <definedName name="cskimutatas_fomerleg_kiad_Dim09">"="</definedName>
    <definedName name="cskimutatas_fomerleg_kiad_Dim10">"="</definedName>
    <definedName name="cskimutatas_fomerleg_kiad_Dim11">"="</definedName>
    <definedName name="cskimutatas_fomerleg_kiad_Dim12">"="</definedName>
    <definedName name="cskimutatas_fomerleg_kiad_jo_Dim01">"="</definedName>
    <definedName name="cskimutatas_fomerleg_kiad_jo_Dim02">"="</definedName>
    <definedName name="cskimutatas_fomerleg_kiad_jo_Dim03">"="</definedName>
    <definedName name="cskimutatas_fomerleg_kiad_jo_Dim04">"="</definedName>
    <definedName name="cskimutatas_fomerleg_kiad_jo_Dim05">"="</definedName>
    <definedName name="cskimutatas_fomerleg_kiad_jo_Dim06">"="</definedName>
    <definedName name="cskimutatas_fomerleg_kiad_jo_Dim07">"="</definedName>
    <definedName name="cskimutatas_fomerleg_kiad_jo_Dim08">"="</definedName>
    <definedName name="cskimutatas_fomerleg_kiad_jo_Dim09">"="</definedName>
    <definedName name="cskimutatas_fomerleg_kiad_jo_Dim10">"="</definedName>
    <definedName name="cskimutatas_fomerleg_kiad_jo_Dim11">"="</definedName>
    <definedName name="cskimutatas_fomerleg_kiad_jo_Dim12">"="</definedName>
    <definedName name="cskimutatas_fomerleg_kiad_joAnchor">#REF!</definedName>
    <definedName name="cskimutatas_fomerleg_kiad_konc_Dim01">"="</definedName>
    <definedName name="cskimutatas_fomerleg_kiad_konc_Dim02">"="</definedName>
    <definedName name="cskimutatas_fomerleg_kiad_konc_Dim03">"="</definedName>
    <definedName name="cskimutatas_fomerleg_kiad_konc_Dim04">"="</definedName>
    <definedName name="cskimutatas_fomerleg_kiad_konc_Dim05">"="</definedName>
    <definedName name="cskimutatas_fomerleg_kiad_konc_Dim06">"="</definedName>
    <definedName name="cskimutatas_fomerleg_kiad_konc_Dim07">"="</definedName>
    <definedName name="cskimutatas_fomerleg_kiad_konc_Dim08">"="</definedName>
    <definedName name="cskimutatas_fomerleg_kiad_konc_Dim09">"="</definedName>
    <definedName name="cskimutatas_fomerleg_kiad_konc_Dim10">"="</definedName>
    <definedName name="cskimutatas_fomerleg_kiad_konc_Dim11">"="</definedName>
    <definedName name="cskimutatas_fomerleg_kiad_konc_Dim12">"="</definedName>
    <definedName name="cskimutatas_fomerleg_kiad_koncAnchor">#REF!</definedName>
    <definedName name="cskimutatas_fomerleg_kiadAnchor">#REF!</definedName>
    <definedName name="cskimutatas_hivatal_belso_penzeszkoz_Dim01">"="</definedName>
    <definedName name="cskimutatas_hivatal_belso_penzeszkoz_Dim02">"="</definedName>
    <definedName name="cskimutatas_hivatal_belso_penzeszkoz_Dim03">"="</definedName>
    <definedName name="cskimutatas_hivatal_belso_penzeszkoz_Dim04">"="</definedName>
    <definedName name="cskimutatas_hivatal_belso_penzeszkoz_Dim05">"="</definedName>
    <definedName name="cskimutatas_hivatal_belso_penzeszkoz_Dim06">"="</definedName>
    <definedName name="cskimutatas_hivatal_belso_penzeszkoz_Dim07">"="</definedName>
    <definedName name="cskimutatas_hivatal_belso_penzeszkoz_Dim08">"="</definedName>
    <definedName name="cskimutatas_hivatal_belso_penzeszkoz_Dim09">"="</definedName>
    <definedName name="cskimutatas_hivatal_belso_penzeszkoz_Dim10">"="</definedName>
    <definedName name="cskimutatas_hivatal_belso_penzeszkoz_Dim11">"="</definedName>
    <definedName name="cskimutatas_hivatal_belso_penzeszkoz_Dim12">"="</definedName>
    <definedName name="cskimutatas_hivatal_belso_penzeszkozAnchor">#REF!</definedName>
    <definedName name="cskimutatas_hivatal_rend_tabla_Dim01">"="</definedName>
    <definedName name="cskimutatas_hivatal_rend_tabla_Dim02">"="</definedName>
    <definedName name="cskimutatas_hivatal_rend_tabla_Dim03">"="</definedName>
    <definedName name="cskimutatas_hivatal_rend_tabla_Dim04">"="</definedName>
    <definedName name="cskimutatas_hivatal_rend_tabla_Dim05">"="</definedName>
    <definedName name="cskimutatas_hivatal_rend_tabla_Dim06">"="</definedName>
    <definedName name="cskimutatas_hivatal_rend_tabla_Dim07">"="</definedName>
    <definedName name="cskimutatas_hivatal_rend_tabla_Dim08">"="</definedName>
    <definedName name="cskimutatas_hivatal_rend_tabla_Dim09">"="</definedName>
    <definedName name="cskimutatas_hivatal_rend_tabla_Dim10">"="</definedName>
    <definedName name="cskimutatas_hivatal_rend_tabla_Dim11">"="</definedName>
    <definedName name="cskimutatas_hivatal_rend_tabla_Dim12">"="</definedName>
    <definedName name="cskimutatas_hivatal_rend_tablaAnchor">#REF!</definedName>
    <definedName name="cskimutatas_hivatal_rendeleti_tabla_jo_Dim01">"="</definedName>
    <definedName name="cskimutatas_hivatal_rendeleti_tabla_jo_Dim02">"="</definedName>
    <definedName name="cskimutatas_hivatal_rendeleti_tabla_jo_Dim03">"="</definedName>
    <definedName name="cskimutatas_hivatal_rendeleti_tabla_jo_Dim04">"="</definedName>
    <definedName name="cskimutatas_hivatal_rendeleti_tabla_jo_Dim05">"="</definedName>
    <definedName name="cskimutatas_hivatal_rendeleti_tabla_jo_Dim06">"="</definedName>
    <definedName name="cskimutatas_hivatal_rendeleti_tabla_jo_Dim07">"="</definedName>
    <definedName name="cskimutatas_hivatal_rendeleti_tabla_jo_Dim08">"="</definedName>
    <definedName name="cskimutatas_hivatal_rendeleti_tabla_jo_Dim09">"="</definedName>
    <definedName name="cskimutatas_hivatal_rendeleti_tabla_jo_Dim10">"="</definedName>
    <definedName name="cskimutatas_hivatal_rendeleti_tabla_jo_Dim11">"="</definedName>
    <definedName name="cskimutatas_hivatal_rendeleti_tabla_jo_Dim12">"="</definedName>
    <definedName name="cskimutatas_hivatal_rendeleti_tabla_joAnchor">#REF!</definedName>
    <definedName name="cskimutatas_hivatal_rendeleti_tabla_konc_Dim01">"="</definedName>
    <definedName name="cskimutatas_hivatal_rendeleti_tabla_konc_Dim02">"="</definedName>
    <definedName name="cskimutatas_hivatal_rendeleti_tabla_konc_Dim03">"="</definedName>
    <definedName name="cskimutatas_hivatal_rendeleti_tabla_konc_Dim04">"="</definedName>
    <definedName name="cskimutatas_hivatal_rendeleti_tabla_konc_Dim05">"="</definedName>
    <definedName name="cskimutatas_hivatal_rendeleti_tabla_konc_Dim06">"="</definedName>
    <definedName name="cskimutatas_hivatal_rendeleti_tabla_konc_Dim07">"="</definedName>
    <definedName name="cskimutatas_hivatal_rendeleti_tabla_konc_Dim08">"="</definedName>
    <definedName name="cskimutatas_hivatal_rendeleti_tabla_konc_Dim09">"="</definedName>
    <definedName name="cskimutatas_hivatal_rendeleti_tabla_konc_Dim10">"="</definedName>
    <definedName name="cskimutatas_hivatal_rendeleti_tabla_konc_Dim11">"="</definedName>
    <definedName name="cskimutatas_hivatal_rendeleti_tabla_konc_Dim12">"="</definedName>
    <definedName name="cskimutatas_hivatal_szakmai_igenyek_Dim01">"="</definedName>
    <definedName name="cskimutatas_hivatal_szakmai_igenyek_Dim02">"="</definedName>
    <definedName name="cskimutatas_hivatal_szakmai_igenyek_Dim03">"="</definedName>
    <definedName name="cskimutatas_hivatal_szakmai_igenyek_Dim04">"="</definedName>
    <definedName name="cskimutatas_hivatal_szakmai_igenyek_Dim05">"="</definedName>
    <definedName name="cskimutatas_hivatal_szakmai_igenyek_Dim06" localSheetId="13">'[3]összes igény'!#REF!</definedName>
    <definedName name="cskimutatas_hivatal_szakmai_igenyek_Dim06" localSheetId="14">'[3]összes igény'!#REF!</definedName>
    <definedName name="cskimutatas_hivatal_szakmai_igenyek_Dim06" localSheetId="15">'[3]összes igény'!#REF!</definedName>
    <definedName name="cskimutatas_hivatal_szakmai_igenyek_Dim06" localSheetId="16">'[3]összes igény'!#REF!</definedName>
    <definedName name="cskimutatas_hivatal_szakmai_igenyek_Dim06" localSheetId="17">'[3]összes igény'!#REF!</definedName>
    <definedName name="cskimutatas_hivatal_szakmai_igenyek_Dim06" localSheetId="18">'[3]összes igény'!#REF!</definedName>
    <definedName name="cskimutatas_hivatal_szakmai_igenyek_Dim06" localSheetId="19">'[3]összes igény'!#REF!</definedName>
    <definedName name="cskimutatas_hivatal_szakmai_igenyek_Dim06" localSheetId="20">'[3]összes igény'!#REF!</definedName>
    <definedName name="cskimutatas_hivatal_szakmai_igenyek_Dim06" localSheetId="10">'[3]összes igény'!#REF!</definedName>
    <definedName name="cskimutatas_hivatal_szakmai_igenyek_Dim06" localSheetId="11">'[3]összes igény'!#REF!</definedName>
    <definedName name="cskimutatas_hivatal_szakmai_igenyek_Dim06" localSheetId="12">'[3]összes igény'!#REF!</definedName>
    <definedName name="cskimutatas_hivatal_szakmai_igenyek_Dim06">'[4]összes igény'!#REF!</definedName>
    <definedName name="cskimutatas_hivatal_szakmai_igenyek_Dim07">"="</definedName>
    <definedName name="cskimutatas_hivatal_szakmai_igenyek_Dim08">"="</definedName>
    <definedName name="cskimutatas_hivatal_szakmai_igenyek_Dim09" localSheetId="13">'[3]összes igény'!#REF!</definedName>
    <definedName name="cskimutatas_hivatal_szakmai_igenyek_Dim09" localSheetId="14">'[3]összes igény'!#REF!</definedName>
    <definedName name="cskimutatas_hivatal_szakmai_igenyek_Dim09" localSheetId="15">'[3]összes igény'!#REF!</definedName>
    <definedName name="cskimutatas_hivatal_szakmai_igenyek_Dim09" localSheetId="16">'[3]összes igény'!#REF!</definedName>
    <definedName name="cskimutatas_hivatal_szakmai_igenyek_Dim09" localSheetId="17">'[3]összes igény'!#REF!</definedName>
    <definedName name="cskimutatas_hivatal_szakmai_igenyek_Dim09" localSheetId="18">'[3]összes igény'!#REF!</definedName>
    <definedName name="cskimutatas_hivatal_szakmai_igenyek_Dim09" localSheetId="19">'[3]összes igény'!#REF!</definedName>
    <definedName name="cskimutatas_hivatal_szakmai_igenyek_Dim09" localSheetId="20">'[3]összes igény'!#REF!</definedName>
    <definedName name="cskimutatas_hivatal_szakmai_igenyek_Dim09" localSheetId="10">'[3]összes igény'!#REF!</definedName>
    <definedName name="cskimutatas_hivatal_szakmai_igenyek_Dim09" localSheetId="11">'[3]összes igény'!#REF!</definedName>
    <definedName name="cskimutatas_hivatal_szakmai_igenyek_Dim09" localSheetId="12">'[3]összes igény'!#REF!</definedName>
    <definedName name="cskimutatas_hivatal_szakmai_igenyek_Dim09">'[4]összes igény'!#REF!</definedName>
    <definedName name="cskimutatas_hivatal_szakmai_igenyek_Dim10">"="</definedName>
    <definedName name="cskimutatas_hivatal_szakmai_igenyek_Dim11">"="</definedName>
    <definedName name="cskimutatas_hivatal_szakmai_igenyekAnchor" localSheetId="13">'[3]összes igény'!#REF!</definedName>
    <definedName name="cskimutatas_hivatal_szakmai_igenyekAnchor" localSheetId="14">'[3]összes igény'!#REF!</definedName>
    <definedName name="cskimutatas_hivatal_szakmai_igenyekAnchor" localSheetId="15">'[3]összes igény'!#REF!</definedName>
    <definedName name="cskimutatas_hivatal_szakmai_igenyekAnchor" localSheetId="16">'[3]összes igény'!#REF!</definedName>
    <definedName name="cskimutatas_hivatal_szakmai_igenyekAnchor" localSheetId="17">'[3]összes igény'!#REF!</definedName>
    <definedName name="cskimutatas_hivatal_szakmai_igenyekAnchor" localSheetId="18">'[3]összes igény'!#REF!</definedName>
    <definedName name="cskimutatas_hivatal_szakmai_igenyekAnchor" localSheetId="19">'[3]összes igény'!#REF!</definedName>
    <definedName name="cskimutatas_hivatal_szakmai_igenyekAnchor" localSheetId="20">'[3]összes igény'!#REF!</definedName>
    <definedName name="cskimutatas_hivatal_szakmai_igenyekAnchor" localSheetId="10">'[3]összes igény'!#REF!</definedName>
    <definedName name="cskimutatas_hivatal_szakmai_igenyekAnchor" localSheetId="11">'[3]összes igény'!#REF!</definedName>
    <definedName name="cskimutatas_hivatal_szakmai_igenyekAnchor" localSheetId="12">'[3]összes igény'!#REF!</definedName>
    <definedName name="cskimutatas_hivatal_szakmai_igenyekAnchor">'[4]összes igény'!#REF!</definedName>
    <definedName name="cskimutatas_intezmenyi_rendeleti_tabla_Dim01">"="</definedName>
    <definedName name="cskimutatas_intezmenyi_rendeleti_tabla_Dim02">#REF!</definedName>
    <definedName name="cskimutatas_intezmenyi_rendeleti_tabla_Dim03">"="</definedName>
    <definedName name="cskimutatas_intezmenyi_rendeleti_tabla_Dim04">#REF!</definedName>
    <definedName name="cskimutatas_intezmenyi_rendeleti_tabla_Dim05">"="</definedName>
    <definedName name="cskimutatas_intezmenyi_rendeleti_tabla_Dim06">"="</definedName>
    <definedName name="cskimutatas_intezmenyi_rendeleti_tabla_Dim07">"="</definedName>
    <definedName name="cskimutatas_intezmenyi_rendeleti_tabla_Dim08">"="</definedName>
    <definedName name="cskimutatas_intezmenyi_rendeleti_tabla_Dim09">"="</definedName>
    <definedName name="cskimutatas_intezmenyi_rendeleti_tabla_Dim10">"="</definedName>
    <definedName name="cskimutatas_intezmenyi_rendeleti_tabla_Dim11">"="</definedName>
    <definedName name="cskimutatas_intezmenyi_rendeleti_tabla_Dim12">"="</definedName>
    <definedName name="cskimutatas_intezmenyi_rendeleti_tablaAnchor">#REF!</definedName>
    <definedName name="cskimutatas_kiad_fobb_jogcim_Dim01">"="</definedName>
    <definedName name="cskimutatas_kiad_fobb_jogcim_Dim02">"="</definedName>
    <definedName name="cskimutatas_kiad_fobb_jogcim_Dim03">"="</definedName>
    <definedName name="cskimutatas_kiad_fobb_jogcim_Dim04">"="</definedName>
    <definedName name="cskimutatas_kiad_fobb_jogcim_Dim05">"="</definedName>
    <definedName name="cskimutatas_kiad_fobb_jogcim_Dim06">"="</definedName>
    <definedName name="cskimutatas_kiad_fobb_jogcim_Dim07">"="</definedName>
    <definedName name="cskimutatas_kiad_fobb_jogcim_Dim08">"="</definedName>
    <definedName name="cskimutatas_kiad_fobb_jogcim_Dim09">"="</definedName>
    <definedName name="cskimutatas_kiad_fobb_jogcim_Dim10">"="</definedName>
    <definedName name="cskimutatas_kiad_fobb_jogcim_Dim11">"="</definedName>
    <definedName name="cskimutatas_kiad_fobb_jogcim_Dim12">"="</definedName>
    <definedName name="cskimutatas_kiad_fobb_jogcimAnchor">[2]Kiadás!$A$8</definedName>
    <definedName name="cskimutatas_mukod_merleg_bev_Dim01">"="</definedName>
    <definedName name="cskimutatas_mukod_merleg_bev_Dim02">"="</definedName>
    <definedName name="cskimutatas_mukod_merleg_bev_Dim03">"="</definedName>
    <definedName name="cskimutatas_mukod_merleg_bev_Dim04">"="</definedName>
    <definedName name="cskimutatas_mukod_merleg_bev_Dim05">"="</definedName>
    <definedName name="cskimutatas_mukod_merleg_bev_Dim06">"="</definedName>
    <definedName name="cskimutatas_mukod_merleg_bev_Dim07">"="</definedName>
    <definedName name="cskimutatas_mukod_merleg_bev_Dim08">"="</definedName>
    <definedName name="cskimutatas_mukod_merleg_bev_Dim09">"="</definedName>
    <definedName name="cskimutatas_mukod_merleg_bev_Dim10">"="</definedName>
    <definedName name="cskimutatas_mukod_merleg_bev_Dim11">"="</definedName>
    <definedName name="cskimutatas_mukod_merleg_bev_Dim12">"="</definedName>
    <definedName name="cskimutatas_mukod_merleg_bevAnchor">#REF!</definedName>
    <definedName name="cskimutatas_mukod_merleg_kiad_Dim01">"="</definedName>
    <definedName name="cskimutatas_mukod_merleg_kiad_Dim02">"="</definedName>
    <definedName name="cskimutatas_mukod_merleg_kiad_Dim03">"="</definedName>
    <definedName name="cskimutatas_mukod_merleg_kiad_Dim04">"="</definedName>
    <definedName name="cskimutatas_mukod_merleg_kiad_Dim05">"="</definedName>
    <definedName name="cskimutatas_mukod_merleg_kiad_Dim06">"="</definedName>
    <definedName name="cskimutatas_mukod_merleg_kiad_Dim07">"="</definedName>
    <definedName name="cskimutatas_mukod_merleg_kiad_Dim08">"="</definedName>
    <definedName name="cskimutatas_mukod_merleg_kiad_Dim09">"="</definedName>
    <definedName name="cskimutatas_mukod_merleg_kiad_Dim10">"="</definedName>
    <definedName name="cskimutatas_mukod_merleg_kiad_Dim11">"="</definedName>
    <definedName name="cskimutatas_mukod_merleg_kiad_Dim12">"="</definedName>
    <definedName name="cskimutatas_mukod_merleg_kiadAnchor">#REF!</definedName>
    <definedName name="cskimutatas_mukodesi_bev_merleg_jo_Dim01">"="</definedName>
    <definedName name="cskimutatas_mukodesi_bev_merleg_jo_Dim02">"="</definedName>
    <definedName name="cskimutatas_mukodesi_bev_merleg_jo_Dim03">"="</definedName>
    <definedName name="cskimutatas_mukodesi_bev_merleg_jo_Dim04">"="</definedName>
    <definedName name="cskimutatas_mukodesi_bev_merleg_jo_Dim05">"="</definedName>
    <definedName name="cskimutatas_mukodesi_bev_merleg_jo_Dim06">"="</definedName>
    <definedName name="cskimutatas_mukodesi_bev_merleg_jo_Dim07">"="</definedName>
    <definedName name="cskimutatas_mukodesi_bev_merleg_jo_Dim08">"="</definedName>
    <definedName name="cskimutatas_mukodesi_bev_merleg_jo_Dim09">"="</definedName>
    <definedName name="cskimutatas_mukodesi_bev_merleg_jo_Dim10">"="</definedName>
    <definedName name="cskimutatas_mukodesi_bev_merleg_jo_Dim11">"="</definedName>
    <definedName name="cskimutatas_mukodesi_bev_merleg_jo_Dim12">"="</definedName>
    <definedName name="cskimutatas_mukodesi_bev_merleg_joAnchor">#REF!</definedName>
    <definedName name="cskimutatas_mukodesi_bev_merleg_konc_Dim01">"="</definedName>
    <definedName name="cskimutatas_mukodesi_bev_merleg_konc_Dim02">"="</definedName>
    <definedName name="cskimutatas_mukodesi_bev_merleg_konc_Dim03">"="</definedName>
    <definedName name="cskimutatas_mukodesi_bev_merleg_konc_Dim04">"="</definedName>
    <definedName name="cskimutatas_mukodesi_bev_merleg_konc_Dim05">"="</definedName>
    <definedName name="cskimutatas_mukodesi_bev_merleg_konc_Dim06">"="</definedName>
    <definedName name="cskimutatas_mukodesi_bev_merleg_konc_Dim07">"="</definedName>
    <definedName name="cskimutatas_mukodesi_bev_merleg_konc_Dim08">"="</definedName>
    <definedName name="cskimutatas_mukodesi_bev_merleg_konc_Dim09">"="</definedName>
    <definedName name="cskimutatas_mukodesi_bev_merleg_konc_Dim10">"="</definedName>
    <definedName name="cskimutatas_mukodesi_bev_merleg_konc_Dim11">"="</definedName>
    <definedName name="cskimutatas_mukodesi_bev_merleg_konc_Dim12">"="</definedName>
    <definedName name="cskimutatas_mukodesi_bev_merleg_koncAnchor">#REF!</definedName>
    <definedName name="cskimutatas_mukodesi_kiad_merleg_jo_Dim01">"="</definedName>
    <definedName name="cskimutatas_mukodesi_kiad_merleg_jo_Dim02">"="</definedName>
    <definedName name="cskimutatas_mukodesi_kiad_merleg_jo_Dim03">"="</definedName>
    <definedName name="cskimutatas_mukodesi_kiad_merleg_jo_Dim04">"="</definedName>
    <definedName name="cskimutatas_mukodesi_kiad_merleg_jo_Dim05">"="</definedName>
    <definedName name="cskimutatas_mukodesi_kiad_merleg_jo_Dim06">"="</definedName>
    <definedName name="cskimutatas_mukodesi_kiad_merleg_jo_Dim07">"="</definedName>
    <definedName name="cskimutatas_mukodesi_kiad_merleg_jo_Dim08">"="</definedName>
    <definedName name="cskimutatas_mukodesi_kiad_merleg_jo_Dim09">"="</definedName>
    <definedName name="cskimutatas_mukodesi_kiad_merleg_jo_Dim10">"="</definedName>
    <definedName name="cskimutatas_mukodesi_kiad_merleg_jo_Dim11">"="</definedName>
    <definedName name="cskimutatas_mukodesi_kiad_merleg_jo_Dim12">"="</definedName>
    <definedName name="cskimutatas_mukodesi_kiad_merleg_joAnchor">#REF!</definedName>
    <definedName name="cskimutatas_mukodesi_kiad_merleg_konc_Dim01">"="</definedName>
    <definedName name="cskimutatas_mukodesi_kiad_merleg_konc_Dim02">"="</definedName>
    <definedName name="cskimutatas_mukodesi_kiad_merleg_konc_Dim03">"="</definedName>
    <definedName name="cskimutatas_mukodesi_kiad_merleg_konc_Dim04">"="</definedName>
    <definedName name="cskimutatas_mukodesi_kiad_merleg_konc_Dim05">"="</definedName>
    <definedName name="cskimutatas_mukodesi_kiad_merleg_konc_Dim06">"="</definedName>
    <definedName name="cskimutatas_mukodesi_kiad_merleg_konc_Dim07">"="</definedName>
    <definedName name="cskimutatas_mukodesi_kiad_merleg_konc_Dim08">"="</definedName>
    <definedName name="cskimutatas_mukodesi_kiad_merleg_konc_Dim09">"="</definedName>
    <definedName name="cskimutatas_mukodesi_kiad_merleg_konc_Dim10">"="</definedName>
    <definedName name="cskimutatas_mukodesi_kiad_merleg_konc_Dim11">"="</definedName>
    <definedName name="cskimutatas_mukodesi_kiad_merleg_konc_Dim12">"="</definedName>
    <definedName name="cskimutatas_mukodesi_kiad_merleg_koncAnchor">#REF!</definedName>
    <definedName name="cskimutatas_pm_jogcim_Dim01">"="</definedName>
    <definedName name="cskimutatas_pm_jogcim_Dim02">"="</definedName>
    <definedName name="cskimutatas_pm_jogcim_Dim03">"="</definedName>
    <definedName name="cskimutatas_pm_jogcim_Dim04">"="</definedName>
    <definedName name="cskimutatas_pm_jogcim_Dim05">"="</definedName>
    <definedName name="cskimutatas_pm_jogcim_Dim06">"="</definedName>
    <definedName name="cskimutatas_pm_jogcim_Dim07">"="</definedName>
    <definedName name="cskimutatas_pm_jogcim_Dim08">"="</definedName>
    <definedName name="cskimutatas_pm_jogcim_Dim09">"="</definedName>
    <definedName name="cskimutatas_pm_jogcim_Dim10">"="</definedName>
    <definedName name="cskimutatas_pm_jogcim_Dim11">"="</definedName>
    <definedName name="cskimutatas_pm_jogcim_Dim12">"="</definedName>
    <definedName name="cskimutatas_pm_jogcim_jo_Dim01">"="</definedName>
    <definedName name="cskimutatas_pm_jogcim_jo_Dim02">"="</definedName>
    <definedName name="cskimutatas_pm_jogcim_jo_Dim03">"="</definedName>
    <definedName name="cskimutatas_pm_jogcim_jo_Dim04">"="</definedName>
    <definedName name="cskimutatas_pm_jogcim_jo_Dim05">"="</definedName>
    <definedName name="cskimutatas_pm_jogcim_jo_Dim06">"="</definedName>
    <definedName name="cskimutatas_pm_jogcim_jo_Dim07">"="</definedName>
    <definedName name="cskimutatas_pm_jogcim_jo_Dim08">"="</definedName>
    <definedName name="cskimutatas_pm_jogcim_jo_Dim09">"="</definedName>
    <definedName name="cskimutatas_pm_jogcim_jo_Dim10">"="</definedName>
    <definedName name="cskimutatas_pm_jogcim_jo_Dim11">"="</definedName>
    <definedName name="cskimutatas_pm_jogcim_jo_Dim12">"="</definedName>
    <definedName name="cskimutatas_pm_jogcim_joAnchor">#REF!</definedName>
    <definedName name="cskimutatas_pm_jogcim_konc_Dim01">"="</definedName>
    <definedName name="cskimutatas_pm_jogcim_konc_Dim02">"="</definedName>
    <definedName name="cskimutatas_pm_jogcim_konc_Dim03">"="</definedName>
    <definedName name="cskimutatas_pm_jogcim_konc_Dim04">"="</definedName>
    <definedName name="cskimutatas_pm_jogcim_konc_Dim05">"="</definedName>
    <definedName name="cskimutatas_pm_jogcim_konc_Dim06">"="</definedName>
    <definedName name="cskimutatas_pm_jogcim_konc_Dim07">"="</definedName>
    <definedName name="cskimutatas_pm_jogcim_konc_Dim08">"="</definedName>
    <definedName name="cskimutatas_pm_jogcim_konc_Dim09">"="</definedName>
    <definedName name="cskimutatas_pm_jogcim_konc_Dim10">"="</definedName>
    <definedName name="cskimutatas_pm_jogcim_konc_Dim11">"="</definedName>
    <definedName name="cskimutatas_pm_jogcim_konc_Dim12">"="</definedName>
    <definedName name="cskimutatas_pm_jogcim_koncAnchor">#REF!</definedName>
    <definedName name="cskimutatas_pm_jogcimAnchor">#REF!</definedName>
    <definedName name="cskisebbsegi_rendeleti_tabla_Dim01">"="</definedName>
    <definedName name="cskisebbsegi_rendeleti_tabla_Dim02">"="</definedName>
    <definedName name="cskisebbsegi_rendeleti_tabla_Dim03">"="</definedName>
    <definedName name="cskisebbsegi_rendeleti_tabla_Dim04">"="</definedName>
    <definedName name="cskisebbsegi_rendeleti_tabla_Dim05">"="</definedName>
    <definedName name="cskisebbsegi_rendeleti_tabla_Dim06">"="</definedName>
    <definedName name="cskisebbsegi_rendeleti_tabla_Dim07">"="</definedName>
    <definedName name="cskisebbsegi_rendeleti_tabla_Dim08">"="</definedName>
    <definedName name="cskisebbsegi_rendeleti_tabla_Dim09">"="</definedName>
    <definedName name="cskisebbsegi_rendeleti_tabla_Dim10">"="</definedName>
    <definedName name="cskisebbsegi_rendeleti_tabla_Dim11">"="</definedName>
    <definedName name="cskisebbsegi_rendeleti_tabla_Dim12">"="</definedName>
    <definedName name="cskisebbsegi_rendeleti_tablaAnchor">#REF!</definedName>
    <definedName name="csKozepfoku_kolegium_rendeleti_tabla_excel_Dim01">"="</definedName>
    <definedName name="csKozepfoku_kolegium_rendeleti_tabla_excel_Dim02">"="</definedName>
    <definedName name="csKozepfoku_kolegium_rendeleti_tabla_excel_Dim03">"="</definedName>
    <definedName name="csKozepfoku_kolegium_rendeleti_tabla_excel_Dim04">"="</definedName>
    <definedName name="csKozepfoku_kolegium_rendeleti_tabla_excel_Dim05">"="</definedName>
    <definedName name="csKozepfoku_kolegium_rendeleti_tabla_excel_Dim06">"="</definedName>
    <definedName name="csKozepfoku_kolegium_rendeleti_tabla_excel_Dim07">"="</definedName>
    <definedName name="csKozepfoku_kolegium_rendeleti_tabla_excel_Dim08">"="</definedName>
    <definedName name="csKozepfoku_kolegium_rendeleti_tabla_excel_Dim09">"="</definedName>
    <definedName name="csKozepfoku_kolegium_rendeleti_tabla_excel_Dim10">"="</definedName>
    <definedName name="csKozepfoku_kolegium_rendeleti_tabla_excel_Dim11">"="</definedName>
    <definedName name="csKozepfoku_kolegium_rendeleti_tabla_excel_Dim12">"="</definedName>
    <definedName name="csKultsar_rendeleti_tabla_excel_Dim01">"="</definedName>
    <definedName name="csKultsar_rendeleti_tabla_excel_Dim02">"="</definedName>
    <definedName name="csKultsar_rendeleti_tabla_excel_Dim03">"="</definedName>
    <definedName name="csKultsar_rendeleti_tabla_excel_Dim04">"="</definedName>
    <definedName name="csKultsar_rendeleti_tabla_excel_Dim05">"="</definedName>
    <definedName name="csKultsar_rendeleti_tabla_excel_Dim06">"="</definedName>
    <definedName name="csKultsar_rendeleti_tabla_excel_Dim07">"="</definedName>
    <definedName name="csKultsar_rendeleti_tabla_excel_Dim08">"="</definedName>
    <definedName name="csKultsar_rendeleti_tabla_excel_Dim09">"="</definedName>
    <definedName name="csKultsar_rendeleti_tabla_excel_Dim10">"="</definedName>
    <definedName name="csKultsar_rendeleti_tabla_excel_Dim11">"="</definedName>
    <definedName name="csKultsar_rendeleti_tabla_excel_Dim12">"="</definedName>
    <definedName name="csLocalConsolidationOnSubmit">1</definedName>
    <definedName name="csMegyei_leveltar_rendeleti_tabla_excel_Dim01">"="</definedName>
    <definedName name="csMegyei_leveltar_rendeleti_tabla_excel_Dim02">"="</definedName>
    <definedName name="csMegyei_leveltar_rendeleti_tabla_excel_Dim03">"="</definedName>
    <definedName name="csMegyei_leveltar_rendeleti_tabla_excel_Dim04">"="</definedName>
    <definedName name="csMegyei_leveltar_rendeleti_tabla_excel_Dim05">"="</definedName>
    <definedName name="csMegyei_leveltar_rendeleti_tabla_excel_Dim06">"="</definedName>
    <definedName name="csMegyei_leveltar_rendeleti_tabla_excel_Dim07">"="</definedName>
    <definedName name="csMegyei_leveltar_rendeleti_tabla_excel_Dim08">"="</definedName>
    <definedName name="csMegyei_leveltar_rendeleti_tabla_excel_Dim09">"="</definedName>
    <definedName name="csMegyei_leveltar_rendeleti_tabla_excel_Dim10">"="</definedName>
    <definedName name="csMegyei_leveltar_rendeleti_tabla_excel_Dim11">"="</definedName>
    <definedName name="csMegyei_leveltar_rendeleti_tabla_excel_Dim12">"="</definedName>
    <definedName name="csMentalhighiene_rendeleti_tabla_excel_Dim01">"="</definedName>
    <definedName name="csMentalhighiene_rendeleti_tabla_excel_Dim02">"="</definedName>
    <definedName name="csMentalhighiene_rendeleti_tabla_excel_Dim03">"="</definedName>
    <definedName name="csMentalhighiene_rendeleti_tabla_excel_Dim04">"="</definedName>
    <definedName name="csMentalhighiene_rendeleti_tabla_excel_Dim05">"="</definedName>
    <definedName name="csMentalhighiene_rendeleti_tabla_excel_Dim06">"="</definedName>
    <definedName name="csMentalhighiene_rendeleti_tabla_excel_Dim07">"="</definedName>
    <definedName name="csMentalhighiene_rendeleti_tabla_excel_Dim08">"="</definedName>
    <definedName name="csMentalhighiene_rendeleti_tabla_excel_Dim09">"="</definedName>
    <definedName name="csMentalhighiene_rendeleti_tabla_excel_Dim10">"="</definedName>
    <definedName name="csMentalhighiene_rendeleti_tabla_excel_Dim11">"="</definedName>
    <definedName name="csMentalhighiene_rendeleti_tabla_excel_Dim12">"="</definedName>
    <definedName name="csMora_rendeleti_tabla_excel_Dim01">"="</definedName>
    <definedName name="csMora_rendeleti_tabla_excel_Dim02">"="</definedName>
    <definedName name="csMora_rendeleti_tabla_excel_Dim03">"="</definedName>
    <definedName name="csMora_rendeleti_tabla_excel_Dim04">"="</definedName>
    <definedName name="csMora_rendeleti_tabla_excel_Dim05">"="</definedName>
    <definedName name="csMora_rendeleti_tabla_excel_Dim06">"="</definedName>
    <definedName name="csMora_rendeleti_tabla_excel_Dim07">"="</definedName>
    <definedName name="csMora_rendeleti_tabla_excel_Dim08">"="</definedName>
    <definedName name="csMora_rendeleti_tabla_excel_Dim09">"="</definedName>
    <definedName name="csMora_rendeleti_tabla_excel_Dim10">"="</definedName>
    <definedName name="csMora_rendeleti_tabla_excel_Dim11">"="</definedName>
    <definedName name="csMora_rendeleti_tabla_excel_Dim12">"="</definedName>
    <definedName name="csmukodesi_merleg_bev_excel_Dim01">"="</definedName>
    <definedName name="csmukodesi_merleg_bev_excel_Dim02">"="</definedName>
    <definedName name="csmukodesi_merleg_bev_excel_Dim03">"="</definedName>
    <definedName name="csmukodesi_merleg_bev_excel_Dim04">"="</definedName>
    <definedName name="csmukodesi_merleg_bev_excel_Dim05">"="</definedName>
    <definedName name="csmukodesi_merleg_bev_excel_Dim06">"="</definedName>
    <definedName name="csmukodesi_merleg_bev_excel_Dim07">"="</definedName>
    <definedName name="csmukodesi_merleg_bev_excel_Dim08">"="</definedName>
    <definedName name="csmukodesi_merleg_bev_excel_Dim09">"="</definedName>
    <definedName name="csmukodesi_merleg_bev_excel_Dim10">"="</definedName>
    <definedName name="csmukodesi_merleg_bev_excel_Dim11">"="</definedName>
    <definedName name="csmukodesi_merleg_bev_excel_Dim12">"="</definedName>
    <definedName name="csmukodesi_merleg_bev_excelAnchor">#REF!</definedName>
    <definedName name="csmukodesi_merleg_kiad_excel_Dim01">"="</definedName>
    <definedName name="csmukodesi_merleg_kiad_excel_Dim02">"="</definedName>
    <definedName name="csmukodesi_merleg_kiad_excel_Dim03">"="</definedName>
    <definedName name="csmukodesi_merleg_kiad_excel_Dim04">"="</definedName>
    <definedName name="csmukodesi_merleg_kiad_excel_Dim05">"="</definedName>
    <definedName name="csmukodesi_merleg_kiad_excel_Dim06">"="</definedName>
    <definedName name="csmukodesi_merleg_kiad_excel_Dim07">"="</definedName>
    <definedName name="csmukodesi_merleg_kiad_excel_Dim08">"="</definedName>
    <definedName name="csmukodesi_merleg_kiad_excel_Dim09">"="</definedName>
    <definedName name="csmukodesi_merleg_kiad_excel_Dim10">"="</definedName>
    <definedName name="csmukodesi_merleg_kiad_excel_Dim11">"="</definedName>
    <definedName name="csmukodesi_merleg_kiad_excel_Dim12">"="</definedName>
    <definedName name="csmukodesi_merleg_kiad_excelAnchor">#REF!</definedName>
    <definedName name="csMuzeum_igazg_tabla_excel_Dim01">"="</definedName>
    <definedName name="csMuzeum_igazg_tabla_excel_Dim02">"="</definedName>
    <definedName name="csMuzeum_igazg_tabla_excel_Dim03">"="</definedName>
    <definedName name="csMuzeum_igazg_tabla_excel_Dim04">"="</definedName>
    <definedName name="csMuzeum_igazg_tabla_excel_Dim05">"="</definedName>
    <definedName name="csMuzeum_igazg_tabla_excel_Dim06">"="</definedName>
    <definedName name="csMuzeum_igazg_tabla_excel_Dim07">"="</definedName>
    <definedName name="csMuzeum_igazg_tabla_excel_Dim08">"="</definedName>
    <definedName name="csMuzeum_igazg_tabla_excel_Dim09">"="</definedName>
    <definedName name="csMuzeum_igazg_tabla_excel_Dim10">"="</definedName>
    <definedName name="csMuzeum_igazg_tabla_excel_Dim11">"="</definedName>
    <definedName name="csMuzeum_igazg_tabla_excel_Dim12">"="</definedName>
    <definedName name="csNemet_rendeleti_tabla_Dim01">"="</definedName>
    <definedName name="csNemet_rendeleti_tabla_Dim02">"="</definedName>
    <definedName name="csNemet_rendeleti_tabla_Dim03">"="</definedName>
    <definedName name="csNemet_rendeleti_tabla_Dim04">"="</definedName>
    <definedName name="csNemet_rendeleti_tabla_Dim05">"="</definedName>
    <definedName name="csNemet_rendeleti_tabla_Dim06">"="</definedName>
    <definedName name="csNemet_rendeleti_tabla_Dim07">"="</definedName>
    <definedName name="csNemet_rendeleti_tabla_Dim08">"="</definedName>
    <definedName name="csNemet_rendeleti_tabla_Dim09">"="</definedName>
    <definedName name="csNemet_rendeleti_tabla_Dim10">"="</definedName>
    <definedName name="csNemet_rendeleti_tabla_Dim11">"="</definedName>
    <definedName name="csNemet_rendeleti_tabla_Dim12">"="</definedName>
    <definedName name="csNemet_rendeleti_tablaAnchor">#REF!</definedName>
    <definedName name="csPszichiatriai_Esztergom_rendeleti_tabla_excel_Dim01">"="</definedName>
    <definedName name="csPszichiatriai_Esztergom_rendeleti_tabla_excel_Dim02">"="</definedName>
    <definedName name="csPszichiatriai_Esztergom_rendeleti_tabla_excel_Dim03">"="</definedName>
    <definedName name="csPszichiatriai_Esztergom_rendeleti_tabla_excel_Dim04">"="</definedName>
    <definedName name="csPszichiatriai_Esztergom_rendeleti_tabla_excel_Dim05">"="</definedName>
    <definedName name="csPszichiatriai_Esztergom_rendeleti_tabla_excel_Dim06">"="</definedName>
    <definedName name="csPszichiatriai_Esztergom_rendeleti_tabla_excel_Dim07">"="</definedName>
    <definedName name="csPszichiatriai_Esztergom_rendeleti_tabla_excel_Dim08">"="</definedName>
    <definedName name="csPszichiatriai_Esztergom_rendeleti_tabla_excel_Dim09">"="</definedName>
    <definedName name="csPszichiatriai_Esztergom_rendeleti_tabla_excel_Dim10">"="</definedName>
    <definedName name="csPszichiatriai_Esztergom_rendeleti_tabla_excel_Dim11">"="</definedName>
    <definedName name="csPszichiatriai_Esztergom_rendeleti_tabla_excel_Dim12">"="</definedName>
    <definedName name="csRefreshOnOpen">1</definedName>
    <definedName name="csRefreshOnRotate">1</definedName>
    <definedName name="csSzabolcsi_rendeleti_tabla_excel_Dim01">"="</definedName>
    <definedName name="csSzabolcsi_rendeleti_tabla_excel_Dim02">"="</definedName>
    <definedName name="csSzabolcsi_rendeleti_tabla_excel_Dim03">"="</definedName>
    <definedName name="csSzabolcsi_rendeleti_tabla_excel_Dim04">"="</definedName>
    <definedName name="csSzabolcsi_rendeleti_tabla_excel_Dim05">"="</definedName>
    <definedName name="csSzabolcsi_rendeleti_tabla_excel_Dim06">"="</definedName>
    <definedName name="csSzabolcsi_rendeleti_tabla_excel_Dim07">"="</definedName>
    <definedName name="csSzabolcsi_rendeleti_tabla_excel_Dim08">"="</definedName>
    <definedName name="csSzabolcsi_rendeleti_tabla_excel_Dim09">"="</definedName>
    <definedName name="csSzabolcsi_rendeleti_tabla_excel_Dim10">"="</definedName>
    <definedName name="csSzabolcsi_rendeleti_tabla_excel_Dim11">"="</definedName>
    <definedName name="csSzabolcsi_rendeleti_tabla_excel_Dim12">"="</definedName>
    <definedName name="csSzechenyi_rendeleti_tabla_excel_Dim01">"="</definedName>
    <definedName name="csSzechenyi_rendeleti_tabla_excel_Dim02">"="</definedName>
    <definedName name="csSzechenyi_rendeleti_tabla_excel_Dim03">"="</definedName>
    <definedName name="csSzechenyi_rendeleti_tabla_excel_Dim04">"="</definedName>
    <definedName name="csSzechenyi_rendeleti_tabla_excel_Dim05">"="</definedName>
    <definedName name="csSzechenyi_rendeleti_tabla_excel_Dim06">"="</definedName>
    <definedName name="csSzechenyi_rendeleti_tabla_excel_Dim07">"="</definedName>
    <definedName name="csSzechenyi_rendeleti_tabla_excel_Dim08">"="</definedName>
    <definedName name="csSzechenyi_rendeleti_tabla_excel_Dim09">"="</definedName>
    <definedName name="csSzechenyi_rendeleti_tabla_excel_Dim10">"="</definedName>
    <definedName name="csSzechenyi_rendeleti_tabla_excel_Dim11">"="</definedName>
    <definedName name="csSzechenyi_rendeleti_tabla_excel_Dim12">"="</definedName>
    <definedName name="csSzent_Rita_int_rendeleti_tabla_excel_Dim01">"="</definedName>
    <definedName name="csSzent_Rita_int_rendeleti_tabla_excel_Dim02">"="</definedName>
    <definedName name="csSzent_Rita_int_rendeleti_tabla_excel_Dim03">"="</definedName>
    <definedName name="csSzent_Rita_int_rendeleti_tabla_excel_Dim04">"="</definedName>
    <definedName name="csSzent_Rita_int_rendeleti_tabla_excel_Dim05">"="</definedName>
    <definedName name="csSzent_Rita_int_rendeleti_tabla_excel_Dim06">"="</definedName>
    <definedName name="csSzent_Rita_int_rendeleti_tabla_excel_Dim07">"="</definedName>
    <definedName name="csSzent_Rita_int_rendeleti_tabla_excel_Dim08">"="</definedName>
    <definedName name="csSzent_Rita_int_rendeleti_tabla_excel_Dim09">"="</definedName>
    <definedName name="csSzent_Rita_int_rendeleti_tabla_excel_Dim10">"="</definedName>
    <definedName name="csSzent_Rita_int_rendeleti_tabla_excel_Dim11">"="</definedName>
    <definedName name="csSzent_Rita_int_rendeleti_tabla_excel_Dim12">"="</definedName>
    <definedName name="csSzlovak_rendeleti_tabla_Dim01">"="</definedName>
    <definedName name="csSzlovak_rendeleti_tabla_Dim02">"="</definedName>
    <definedName name="csSzlovak_rendeleti_tabla_Dim03">"="</definedName>
    <definedName name="csSzlovak_rendeleti_tabla_Dim04">"="</definedName>
    <definedName name="csSzlovak_rendeleti_tabla_Dim05">"="</definedName>
    <definedName name="csSzlovak_rendeleti_tabla_Dim06">"="</definedName>
    <definedName name="csSzlovak_rendeleti_tabla_Dim07">"="</definedName>
    <definedName name="csSzlovak_rendeleti_tabla_Dim08">"="</definedName>
    <definedName name="csSzlovak_rendeleti_tabla_Dim09">"="</definedName>
    <definedName name="csSzlovak_rendeleti_tabla_Dim10">"="</definedName>
    <definedName name="csSzlovak_rendeleti_tabla_Dim11">"="</definedName>
    <definedName name="csSzlovak_rendeleti_tabla_Dim12">"="</definedName>
    <definedName name="csSzlovak_rendeleti_tablaAnchor">#REF!</definedName>
    <definedName name="csSzt_Borbala_rendeleti_tabla_excel_Dim01">"="</definedName>
    <definedName name="csSzt_Borbala_rendeleti_tabla_excel_Dim02">"="</definedName>
    <definedName name="csSzt_Borbala_rendeleti_tabla_excel_Dim03">"="</definedName>
    <definedName name="csSzt_Borbala_rendeleti_tabla_excel_Dim04">"="</definedName>
    <definedName name="csSzt_Borbala_rendeleti_tabla_excel_Dim05">"="</definedName>
    <definedName name="csSzt_Borbala_rendeleti_tabla_excel_Dim06">"="</definedName>
    <definedName name="csSzt_Borbala_rendeleti_tabla_excel_Dim07">"="</definedName>
    <definedName name="csSzt_Borbala_rendeleti_tabla_excel_Dim08">"="</definedName>
    <definedName name="csSzt_Borbala_rendeleti_tabla_excel_Dim09">"="</definedName>
    <definedName name="csSzt_Borbala_rendeleti_tabla_excel_Dim10">"="</definedName>
    <definedName name="csSzt_Borbala_rendeleti_tabla_excel_Dim11">"="</definedName>
    <definedName name="csSzt_Borbala_rendeleti_tabla_excel_Dim12">"="</definedName>
    <definedName name="csTanulasi_tata_rendeleti_tabla_excel_Dim01">"="</definedName>
    <definedName name="csTanulasi_tata_rendeleti_tabla_excel_Dim02">"="</definedName>
    <definedName name="csTanulasi_tata_rendeleti_tabla_excel_Dim03">"="</definedName>
    <definedName name="csTanulasi_tata_rendeleti_tabla_excel_Dim04">"="</definedName>
    <definedName name="csTanulasi_tata_rendeleti_tabla_excel_Dim05">"="</definedName>
    <definedName name="csTanulasi_tata_rendeleti_tabla_excel_Dim06">"="</definedName>
    <definedName name="csTanulasi_tata_rendeleti_tabla_excel_Dim07">"="</definedName>
    <definedName name="csTanulasi_tata_rendeleti_tabla_excel_Dim08">"="</definedName>
    <definedName name="csTanulasi_tata_rendeleti_tabla_excel_Dim09">"="</definedName>
    <definedName name="csTanulasi_tata_rendeleti_tabla_excel_Dim10">"="</definedName>
    <definedName name="csTanulasi_tata_rendeleti_tabla_excel_Dim11">"="</definedName>
    <definedName name="csTanulasi_tata_rendeleti_tabla_excel_Dim12">"="</definedName>
    <definedName name="csTGSZ_rendeleti_tabla_excel_Dim01">"="</definedName>
    <definedName name="csTGSZ_rendeleti_tabla_excel_Dim02">"="</definedName>
    <definedName name="csTGSZ_rendeleti_tabla_excel_Dim03">"="</definedName>
    <definedName name="csTGSZ_rendeleti_tabla_excel_Dim04">"="</definedName>
    <definedName name="csTGSZ_rendeleti_tabla_excel_Dim05">"="</definedName>
    <definedName name="csTGSZ_rendeleti_tabla_excel_Dim06">"="</definedName>
    <definedName name="csTGSZ_rendeleti_tabla_excel_Dim07">"="</definedName>
    <definedName name="csTGSZ_rendeleti_tabla_excel_Dim08">"="</definedName>
    <definedName name="csTGSZ_rendeleti_tabla_excel_Dim09">"="</definedName>
    <definedName name="csTGSZ_rendeleti_tabla_excel_Dim10">"="</definedName>
    <definedName name="csTGSZ_rendeleti_tabla_excel_Dim11">"="</definedName>
    <definedName name="csTGSZ_rendeleti_tabla_excel_Dim12">"="</definedName>
    <definedName name="cstiszk_mod_Dim01">"="</definedName>
    <definedName name="cstiszk_mod_Dim02">"="</definedName>
    <definedName name="cstiszk_mod_Dim03">"="</definedName>
    <definedName name="cstiszk_mod_Dim04">"="</definedName>
    <definedName name="cstiszk_mod_Dim05">"="</definedName>
    <definedName name="cstiszk_mod_Dim06">"="</definedName>
    <definedName name="cstiszk_mod_Dim07">"="</definedName>
    <definedName name="cstiszk_mod_Dim08">"="</definedName>
    <definedName name="cstiszk_mod_Dim09">"="</definedName>
    <definedName name="cstiszk_mod_Dim10">"="</definedName>
    <definedName name="cstiszk_mod_Dim11">"="</definedName>
    <definedName name="cstiszk_mod_Dim12">"="</definedName>
    <definedName name="cstiszk_modAnchor">#REF!</definedName>
    <definedName name="csTiszk_rendeleti_tabla_Dim01">"="</definedName>
    <definedName name="csTiszk_rendeleti_tabla_Dim02">"="</definedName>
    <definedName name="csTiszk_rendeleti_tabla_Dim03">"="</definedName>
    <definedName name="csTiszk_rendeleti_tabla_Dim04">"="</definedName>
    <definedName name="csTiszk_rendeleti_tabla_Dim05">"="</definedName>
    <definedName name="csTiszk_rendeleti_tabla_Dim06">"="</definedName>
    <definedName name="csTiszk_rendeleti_tabla_Dim07">"="</definedName>
    <definedName name="csTiszk_rendeleti_tabla_Dim08">"="</definedName>
    <definedName name="csTiszk_rendeleti_tabla_Dim09">"="</definedName>
    <definedName name="csTiszk_rendeleti_tabla_Dim10">"="</definedName>
    <definedName name="csTiszk_rendeleti_tabla_Dim11">"="</definedName>
    <definedName name="csTiszk_rendeleti_tabla_Dim12">"="</definedName>
    <definedName name="csTiszk_rendeleti_tablaAnchor">#REF!</definedName>
    <definedName name="csZsigmondi_rendeleti_tabla_excel_Dim01">"="</definedName>
    <definedName name="csZsigmondi_rendeleti_tabla_excel_Dim02">"="</definedName>
    <definedName name="csZsigmondi_rendeleti_tabla_excel_Dim03">"="</definedName>
    <definedName name="csZsigmondi_rendeleti_tabla_excel_Dim04">"="</definedName>
    <definedName name="csZsigmondi_rendeleti_tabla_excel_Dim05">"="</definedName>
    <definedName name="csZsigmondi_rendeleti_tabla_excel_Dim06">"="</definedName>
    <definedName name="csZsigmondi_rendeleti_tabla_excel_Dim07">"="</definedName>
    <definedName name="csZsigmondi_rendeleti_tabla_excel_Dim08">"="</definedName>
    <definedName name="csZsigmondi_rendeleti_tabla_excel_Dim09">"="</definedName>
    <definedName name="csZsigmondi_rendeleti_tabla_excel_Dim10">"="</definedName>
    <definedName name="csZsigmondi_rendeleti_tabla_excel_Dim11">"="</definedName>
    <definedName name="csZsigmondi_rendeleti_tabla_excel_Dim12">"="</definedName>
    <definedName name="felúj">'[5]10intberuh-felúj'!$A$10</definedName>
    <definedName name="Hiv.felújtás">1</definedName>
    <definedName name="kkkkk">#REF!</definedName>
    <definedName name="kkkkkkk" localSheetId="13">'[3]összes igény'!#REF!</definedName>
    <definedName name="kkkkkkk" localSheetId="14">'[3]összes igény'!#REF!</definedName>
    <definedName name="kkkkkkk" localSheetId="15">'[3]összes igény'!#REF!</definedName>
    <definedName name="kkkkkkk" localSheetId="16">'[3]összes igény'!#REF!</definedName>
    <definedName name="kkkkkkk" localSheetId="17">'[3]összes igény'!#REF!</definedName>
    <definedName name="kkkkkkk" localSheetId="18">'[3]összes igény'!#REF!</definedName>
    <definedName name="kkkkkkk" localSheetId="19">'[3]összes igény'!#REF!</definedName>
    <definedName name="kkkkkkk" localSheetId="20">'[3]összes igény'!#REF!</definedName>
    <definedName name="kkkkkkk" localSheetId="10">'[3]összes igény'!#REF!</definedName>
    <definedName name="kkkkkkk" localSheetId="11">'[3]összes igény'!#REF!</definedName>
    <definedName name="kkkkkkk" localSheetId="12">'[3]összes igény'!#REF!</definedName>
    <definedName name="kkkkkkk">'[4]összes igény'!#REF!</definedName>
    <definedName name="l" localSheetId="13">#REF!</definedName>
    <definedName name="l" localSheetId="14">#REF!</definedName>
    <definedName name="l" localSheetId="15">#REF!</definedName>
    <definedName name="l" localSheetId="16">#REF!</definedName>
    <definedName name="l" localSheetId="17">#REF!</definedName>
    <definedName name="l" localSheetId="18">#REF!</definedName>
    <definedName name="l" localSheetId="19">#REF!</definedName>
    <definedName name="l" localSheetId="20">#REF!</definedName>
    <definedName name="l" localSheetId="10">#REF!</definedName>
    <definedName name="l" localSheetId="11">#REF!</definedName>
    <definedName name="l" localSheetId="12">#REF!</definedName>
    <definedName name="l">#REF!</definedName>
    <definedName name="nem">1</definedName>
    <definedName name="nnn">'[3]összes igény'!#REF!</definedName>
    <definedName name="_xlnm.Print_Titles" localSheetId="14">'11.mell'!$8:$9</definedName>
    <definedName name="_xlnm.Print_Titles" localSheetId="15">'12.mell'!$5:$6</definedName>
    <definedName name="_xlnm.Print_Titles" localSheetId="1">'1b.mell '!$5:$7</definedName>
    <definedName name="_xlnm.Print_Titles" localSheetId="2">'1c.mell '!$4:$8</definedName>
    <definedName name="_xlnm.Print_Titles" localSheetId="3">'2.mell'!$1:$8</definedName>
    <definedName name="_xlnm.Print_Titles" localSheetId="4">'3a.m.'!$3:$7</definedName>
    <definedName name="_xlnm.Print_Titles" localSheetId="5">'3c.m.'!$4:$8</definedName>
    <definedName name="_xlnm.Print_Titles" localSheetId="6">'3d.m.'!$4:$8</definedName>
    <definedName name="_xlnm.Print_Titles" localSheetId="7">'4.mell.'!$3:$7</definedName>
    <definedName name="_xlnm.Print_Titles" localSheetId="8">'5.mell. '!$4:$8</definedName>
    <definedName name="_xlnm.Print_Titles" localSheetId="9">'6.mell. '!$7:$10</definedName>
    <definedName name="_xlnm.Print_Titles" localSheetId="12">'9.mell. '!$8:$11</definedName>
    <definedName name="_xlnm.Print_Area" localSheetId="0">'1a.mell '!$A$1:$J$57</definedName>
    <definedName name="_xlnm.Print_Area" localSheetId="1">'1b.mell '!$A$1:$G$257</definedName>
    <definedName name="_xlnm.Print_Area" localSheetId="2">'1c.mell '!$A$1:$H$147</definedName>
    <definedName name="_xlnm.Print_Area" localSheetId="3">'2.mell'!$A$1:$G$733</definedName>
    <definedName name="_xlnm.Print_Area" localSheetId="11">'8.mell. '!$A$1:$N$48</definedName>
    <definedName name="székház" localSheetId="13">#REF!</definedName>
    <definedName name="székház" localSheetId="14">#REF!</definedName>
    <definedName name="székház" localSheetId="15">#REF!</definedName>
    <definedName name="székház" localSheetId="16">#REF!</definedName>
    <definedName name="székház" localSheetId="17">#REF!</definedName>
    <definedName name="székház" localSheetId="18">#REF!</definedName>
    <definedName name="székház" localSheetId="19">#REF!</definedName>
    <definedName name="székház" localSheetId="20">#REF!</definedName>
    <definedName name="székház" localSheetId="10">#REF!</definedName>
    <definedName name="székház" localSheetId="11">#REF!</definedName>
    <definedName name="székház" localSheetId="12">#REF!</definedName>
    <definedName name="székház">#REF!</definedName>
    <definedName name="székházbérlők" localSheetId="13">'[6]3-aBevétel'!#REF!</definedName>
    <definedName name="székházbérlők" localSheetId="14">'[6]3-aBevétel'!#REF!</definedName>
    <definedName name="székházbérlők" localSheetId="15">'[6]3-aBevétel'!#REF!</definedName>
    <definedName name="székházbérlők" localSheetId="16">'[6]3-aBevétel'!#REF!</definedName>
    <definedName name="székházbérlők" localSheetId="17">'[6]3-aBevétel'!#REF!</definedName>
    <definedName name="székházbérlők" localSheetId="18">'[6]3-aBevétel'!#REF!</definedName>
    <definedName name="székházbérlők" localSheetId="19">'[6]3-aBevétel'!#REF!</definedName>
    <definedName name="székházbérlők" localSheetId="20">'[6]3-aBevétel'!#REF!</definedName>
    <definedName name="székházbérlők" localSheetId="10">'[6]3-aBevétel'!#REF!</definedName>
    <definedName name="székházbérlők" localSheetId="11">'[6]3-aBevétel'!#REF!</definedName>
    <definedName name="székházbérlők" localSheetId="12">'[6]3-aBevétel'!#REF!</definedName>
    <definedName name="székházbérlők">'[6]3-aBevétel'!#REF!</definedName>
    <definedName name="szintrehotzás" localSheetId="13">#REF!</definedName>
    <definedName name="szintrehotzás" localSheetId="14">#REF!</definedName>
    <definedName name="szintrehotzás" localSheetId="15">#REF!</definedName>
    <definedName name="szintrehotzás" localSheetId="16">#REF!</definedName>
    <definedName name="szintrehotzás" localSheetId="17">#REF!</definedName>
    <definedName name="szintrehotzás" localSheetId="18">#REF!</definedName>
    <definedName name="szintrehotzás" localSheetId="19">#REF!</definedName>
    <definedName name="szintrehotzás" localSheetId="20">#REF!</definedName>
    <definedName name="szintrehotzás" localSheetId="10">#REF!</definedName>
    <definedName name="szintrehotzás" localSheetId="11">#REF!</definedName>
    <definedName name="szintrehotzás" localSheetId="12">#REF!</definedName>
    <definedName name="szintrehotzás">#REF!</definedName>
    <definedName name="szintrehozás2" localSheetId="13">#REF!</definedName>
    <definedName name="szintrehozás2" localSheetId="14">#REF!</definedName>
    <definedName name="szintrehozás2" localSheetId="15">#REF!</definedName>
    <definedName name="szintrehozás2" localSheetId="16">#REF!</definedName>
    <definedName name="szintrehozás2" localSheetId="17">#REF!</definedName>
    <definedName name="szintrehozás2" localSheetId="18">#REF!</definedName>
    <definedName name="szintrehozás2" localSheetId="19">#REF!</definedName>
    <definedName name="szintrehozás2" localSheetId="20">#REF!</definedName>
    <definedName name="szintrehozás2" localSheetId="10">#REF!</definedName>
    <definedName name="szintrehozás2" localSheetId="11">#REF!</definedName>
    <definedName name="szintrehozás2" localSheetId="12">#REF!</definedName>
    <definedName name="szintrehozás2">#REF!</definedName>
    <definedName name="szintrhozás2" localSheetId="13">#REF!</definedName>
    <definedName name="szintrhozás2" localSheetId="14">#REF!</definedName>
    <definedName name="szintrhozás2" localSheetId="15">#REF!</definedName>
    <definedName name="szintrhozás2" localSheetId="16">#REF!</definedName>
    <definedName name="szintrhozás2" localSheetId="17">#REF!</definedName>
    <definedName name="szintrhozás2" localSheetId="18">#REF!</definedName>
    <definedName name="szintrhozás2" localSheetId="19">#REF!</definedName>
    <definedName name="szintrhozás2" localSheetId="20">#REF!</definedName>
    <definedName name="szintrhozás2" localSheetId="10">#REF!</definedName>
    <definedName name="szintrhozás2" localSheetId="11">#REF!</definedName>
    <definedName name="szintrhozás2" localSheetId="12">#REF!</definedName>
    <definedName name="szintrhozás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" i="146" l="1"/>
  <c r="D87" i="142"/>
  <c r="C87" i="142"/>
  <c r="F71" i="48"/>
  <c r="F40" i="48" l="1"/>
  <c r="F12" i="49"/>
  <c r="F53" i="47"/>
  <c r="M26" i="144" l="1"/>
  <c r="L26" i="144"/>
  <c r="F106" i="147"/>
  <c r="F105" i="147"/>
  <c r="F104" i="147"/>
  <c r="F103" i="147"/>
  <c r="F102" i="147"/>
  <c r="F101" i="147"/>
  <c r="F100" i="147"/>
  <c r="F85" i="147"/>
  <c r="F84" i="147"/>
  <c r="F83" i="147"/>
  <c r="F82" i="147"/>
  <c r="F81" i="147"/>
  <c r="F80" i="147"/>
  <c r="F79" i="147"/>
  <c r="F78" i="147"/>
  <c r="F77" i="147"/>
  <c r="F69" i="147"/>
  <c r="F67" i="147"/>
  <c r="F65" i="147"/>
  <c r="F63" i="147"/>
  <c r="F62" i="147"/>
  <c r="F47" i="147"/>
  <c r="F43" i="147"/>
  <c r="F42" i="147"/>
  <c r="F41" i="147"/>
  <c r="F40" i="147"/>
  <c r="F39" i="147"/>
  <c r="F38" i="147"/>
  <c r="F36" i="147"/>
  <c r="F35" i="147"/>
  <c r="F34" i="147"/>
  <c r="F33" i="147"/>
  <c r="F32" i="147"/>
  <c r="F31" i="147"/>
  <c r="F30" i="147"/>
  <c r="F29" i="147"/>
  <c r="F28" i="147"/>
  <c r="F26" i="147"/>
  <c r="F25" i="147"/>
  <c r="F24" i="147"/>
  <c r="F23" i="147"/>
  <c r="F21" i="147"/>
  <c r="F20" i="147"/>
  <c r="F19" i="147"/>
  <c r="F18" i="147"/>
  <c r="F17" i="147"/>
  <c r="F16" i="147"/>
  <c r="F15" i="147"/>
  <c r="F14" i="147"/>
  <c r="F13" i="147"/>
  <c r="F12" i="147"/>
  <c r="F11" i="147"/>
  <c r="F10" i="147"/>
  <c r="F9" i="147"/>
  <c r="F416" i="146"/>
  <c r="F417" i="146"/>
  <c r="F418" i="146"/>
  <c r="F412" i="146"/>
  <c r="F408" i="146"/>
  <c r="F400" i="146"/>
  <c r="F283" i="146"/>
  <c r="F271" i="146"/>
  <c r="F269" i="146"/>
  <c r="F268" i="146"/>
  <c r="F259" i="146"/>
  <c r="F258" i="146"/>
  <c r="F257" i="146"/>
  <c r="F256" i="146"/>
  <c r="F255" i="146"/>
  <c r="F254" i="146"/>
  <c r="F253" i="146"/>
  <c r="F252" i="146"/>
  <c r="F251" i="146"/>
  <c r="F250" i="146"/>
  <c r="F249" i="146"/>
  <c r="F236" i="146"/>
  <c r="F235" i="146"/>
  <c r="F221" i="146"/>
  <c r="F171" i="146"/>
  <c r="F169" i="146"/>
  <c r="F166" i="146"/>
  <c r="F163" i="146"/>
  <c r="F162" i="146"/>
  <c r="F157" i="146"/>
  <c r="F156" i="146"/>
  <c r="F116" i="146"/>
  <c r="F98" i="146"/>
  <c r="F89" i="146"/>
  <c r="F80" i="146"/>
  <c r="F70" i="146"/>
  <c r="F69" i="146"/>
  <c r="F65" i="146"/>
  <c r="F63" i="146"/>
  <c r="F62" i="146"/>
  <c r="F61" i="146"/>
  <c r="F58" i="146"/>
  <c r="F56" i="146"/>
  <c r="F55" i="146"/>
  <c r="F54" i="146"/>
  <c r="F52" i="146"/>
  <c r="F47" i="146"/>
  <c r="F46" i="146"/>
  <c r="F24" i="146"/>
  <c r="F23" i="146"/>
  <c r="E155" i="141"/>
  <c r="F68" i="98"/>
  <c r="F87" i="47"/>
  <c r="F785" i="44"/>
  <c r="F784" i="44"/>
  <c r="F752" i="44"/>
  <c r="F746" i="44"/>
  <c r="F741" i="44"/>
  <c r="F733" i="44"/>
  <c r="F732" i="44"/>
  <c r="F681" i="44"/>
  <c r="F680" i="44"/>
  <c r="F679" i="44"/>
  <c r="F428" i="44"/>
  <c r="F427" i="44"/>
  <c r="F426" i="44"/>
  <c r="L29" i="138" s="1"/>
  <c r="F288" i="44"/>
  <c r="F278" i="44"/>
  <c r="F275" i="44"/>
  <c r="F249" i="44"/>
  <c r="F248" i="44"/>
  <c r="F247" i="44"/>
  <c r="F238" i="44"/>
  <c r="F237" i="44"/>
  <c r="F236" i="44"/>
  <c r="F96" i="44"/>
  <c r="F93" i="44"/>
  <c r="F29" i="44"/>
  <c r="C92" i="142"/>
  <c r="C91" i="142"/>
  <c r="C90" i="142"/>
  <c r="C89" i="142"/>
  <c r="C84" i="142"/>
  <c r="C80" i="142"/>
  <c r="C79" i="142"/>
  <c r="C78" i="142"/>
  <c r="C77" i="142"/>
  <c r="C76" i="142"/>
  <c r="C72" i="142"/>
  <c r="C71" i="142"/>
  <c r="C70" i="142"/>
  <c r="C69" i="142"/>
  <c r="C68" i="142"/>
  <c r="C67" i="142"/>
  <c r="C66" i="142"/>
  <c r="C65" i="142"/>
  <c r="C64" i="142"/>
  <c r="C63" i="142"/>
  <c r="C60" i="142"/>
  <c r="C57" i="142"/>
  <c r="C56" i="142"/>
  <c r="C54" i="142"/>
  <c r="C53" i="142"/>
  <c r="C52" i="142"/>
  <c r="C48" i="142"/>
  <c r="C152" i="141"/>
  <c r="C151" i="141"/>
  <c r="C147" i="141"/>
  <c r="C146" i="141"/>
  <c r="C143" i="141"/>
  <c r="C142" i="141"/>
  <c r="C141" i="141"/>
  <c r="C112" i="141"/>
  <c r="C111" i="141"/>
  <c r="C109" i="141"/>
  <c r="C107" i="141"/>
  <c r="C106" i="141"/>
  <c r="C105" i="141"/>
  <c r="C101" i="141"/>
  <c r="C99" i="141"/>
  <c r="C98" i="141"/>
  <c r="C97" i="141"/>
  <c r="C96" i="141"/>
  <c r="C95" i="141"/>
  <c r="C83" i="141"/>
  <c r="C82" i="141"/>
  <c r="C35" i="141"/>
  <c r="C32" i="141"/>
  <c r="C27" i="141"/>
  <c r="C25" i="141"/>
  <c r="C24" i="141"/>
  <c r="C20" i="141"/>
  <c r="F45" i="125"/>
  <c r="F22" i="125"/>
  <c r="F21" i="125"/>
  <c r="F44" i="47"/>
  <c r="F43" i="47"/>
  <c r="F28" i="47"/>
  <c r="F24" i="47"/>
  <c r="F23" i="47"/>
  <c r="F11" i="47"/>
  <c r="F67" i="47"/>
  <c r="F66" i="47"/>
  <c r="F75" i="47"/>
  <c r="F74" i="47"/>
  <c r="F31" i="125"/>
  <c r="C55" i="142" s="1"/>
  <c r="F17" i="125"/>
  <c r="C50" i="142" s="1"/>
  <c r="F663" i="44"/>
  <c r="F350" i="44"/>
  <c r="F243" i="44"/>
  <c r="F245" i="44"/>
  <c r="F244" i="44"/>
  <c r="F240" i="135"/>
  <c r="F48" i="146" l="1"/>
  <c r="C21" i="141"/>
  <c r="F160" i="44"/>
  <c r="F112" i="44"/>
  <c r="F109" i="44"/>
  <c r="F648" i="135" l="1"/>
  <c r="F647" i="135"/>
  <c r="F538" i="135"/>
  <c r="F537" i="135"/>
  <c r="F239" i="135"/>
  <c r="F238" i="135"/>
  <c r="F171" i="135"/>
  <c r="F170" i="135"/>
  <c r="F67" i="135"/>
  <c r="F68" i="135"/>
  <c r="F33" i="43"/>
  <c r="F32" i="43"/>
  <c r="F31" i="43"/>
  <c r="F649" i="135"/>
  <c r="F612" i="135"/>
  <c r="F611" i="135"/>
  <c r="F610" i="135"/>
  <c r="F605" i="135"/>
  <c r="F539" i="135"/>
  <c r="F532" i="135"/>
  <c r="F504" i="135"/>
  <c r="F503" i="135"/>
  <c r="F502" i="135"/>
  <c r="F496" i="135"/>
  <c r="F379" i="135"/>
  <c r="F378" i="135"/>
  <c r="F377" i="135"/>
  <c r="F372" i="135"/>
  <c r="F371" i="135"/>
  <c r="F273" i="135"/>
  <c r="F272" i="135"/>
  <c r="F267" i="135"/>
  <c r="F233" i="135"/>
  <c r="F307" i="135"/>
  <c r="F306" i="135"/>
  <c r="F301" i="135"/>
  <c r="F205" i="135"/>
  <c r="F204" i="135"/>
  <c r="F199" i="135"/>
  <c r="F165" i="135"/>
  <c r="F137" i="135"/>
  <c r="F136" i="135"/>
  <c r="F131" i="135"/>
  <c r="F102" i="135"/>
  <c r="F101" i="135"/>
  <c r="F96" i="135"/>
  <c r="F62" i="135"/>
  <c r="F33" i="135"/>
  <c r="F32" i="135"/>
  <c r="F27" i="135"/>
  <c r="F97" i="98"/>
  <c r="C150" i="141" s="1"/>
  <c r="F62" i="98"/>
  <c r="F218" i="135"/>
  <c r="F319" i="135" s="1"/>
  <c r="F320" i="135" s="1"/>
  <c r="F450" i="135"/>
  <c r="F550" i="135"/>
  <c r="F551" i="135" s="1"/>
  <c r="F516" i="135"/>
  <c r="F523" i="135"/>
  <c r="F486" i="135"/>
  <c r="F485" i="135"/>
  <c r="F632" i="135"/>
  <c r="F631" i="135"/>
  <c r="F627" i="135"/>
  <c r="F368" i="135"/>
  <c r="F456" i="135" s="1"/>
  <c r="F713" i="135" s="1"/>
  <c r="F363" i="135"/>
  <c r="F361" i="135"/>
  <c r="F359" i="135"/>
  <c r="F357" i="135"/>
  <c r="F591" i="135"/>
  <c r="F587" i="135"/>
  <c r="F588" i="135" s="1"/>
  <c r="F595" i="135"/>
  <c r="F122" i="136"/>
  <c r="F111" i="136"/>
  <c r="F97" i="136"/>
  <c r="F86" i="147" s="1"/>
  <c r="F30" i="136"/>
  <c r="F66" i="147" s="1"/>
  <c r="F13" i="136"/>
  <c r="F12" i="136"/>
  <c r="F21" i="146" l="1"/>
  <c r="C144" i="141"/>
  <c r="F73" i="147"/>
  <c r="F37" i="147" s="1"/>
  <c r="F432" i="135"/>
  <c r="F431" i="135"/>
  <c r="F424" i="135"/>
  <c r="F422" i="135"/>
  <c r="F420" i="135"/>
  <c r="F417" i="135"/>
  <c r="E415" i="135"/>
  <c r="F415" i="135"/>
  <c r="F413" i="135"/>
  <c r="F408" i="135"/>
  <c r="F403" i="135"/>
  <c r="F399" i="135"/>
  <c r="F397" i="135"/>
  <c r="F392" i="135"/>
  <c r="F389" i="135"/>
  <c r="G415" i="135" l="1"/>
  <c r="F79" i="47"/>
  <c r="F73" i="146" l="1"/>
  <c r="C114" i="141"/>
  <c r="F61" i="47"/>
  <c r="F71" i="146" l="1"/>
  <c r="C113" i="141"/>
  <c r="F96" i="47"/>
  <c r="F95" i="47"/>
  <c r="F71" i="47"/>
  <c r="F75" i="146" l="1"/>
  <c r="C44" i="141"/>
  <c r="F25" i="47"/>
  <c r="F51" i="146" l="1"/>
  <c r="C28" i="141"/>
  <c r="F19" i="146" l="1"/>
  <c r="D22" i="142"/>
  <c r="F442" i="44"/>
  <c r="C22" i="142" s="1"/>
  <c r="F86" i="136"/>
  <c r="F27" i="147" s="1"/>
  <c r="L46" i="138" l="1"/>
  <c r="L45" i="138"/>
  <c r="L44" i="138"/>
  <c r="L43" i="138"/>
  <c r="L38" i="138"/>
  <c r="L47" i="138" s="1"/>
  <c r="L36" i="138"/>
  <c r="L31" i="138"/>
  <c r="L30" i="138"/>
  <c r="L22" i="138"/>
  <c r="L13" i="138"/>
  <c r="L12" i="138"/>
  <c r="L11" i="138"/>
  <c r="L40" i="138" s="1"/>
  <c r="J48" i="115"/>
  <c r="J54" i="115"/>
  <c r="J55" i="115" s="1"/>
  <c r="J12" i="115"/>
  <c r="E8" i="115"/>
  <c r="G159" i="136"/>
  <c r="G155" i="136"/>
  <c r="G152" i="136"/>
  <c r="G136" i="136"/>
  <c r="G133" i="136"/>
  <c r="G131" i="136"/>
  <c r="G129" i="136"/>
  <c r="G126" i="136"/>
  <c r="G125" i="136"/>
  <c r="G122" i="136"/>
  <c r="G103" i="136"/>
  <c r="G102" i="136"/>
  <c r="G101" i="136"/>
  <c r="G99" i="136"/>
  <c r="G97" i="136"/>
  <c r="G90" i="136"/>
  <c r="G78" i="136"/>
  <c r="G74" i="136"/>
  <c r="G69" i="136"/>
  <c r="G68" i="136"/>
  <c r="G64" i="136"/>
  <c r="G63" i="136"/>
  <c r="G62" i="136"/>
  <c r="G58" i="136"/>
  <c r="G57" i="136"/>
  <c r="G56" i="136"/>
  <c r="G54" i="136"/>
  <c r="G53" i="136"/>
  <c r="G51" i="136"/>
  <c r="G50" i="136"/>
  <c r="G49" i="136"/>
  <c r="G48" i="136"/>
  <c r="G47" i="136"/>
  <c r="G41" i="136"/>
  <c r="G40" i="136"/>
  <c r="G39" i="136"/>
  <c r="G38" i="136"/>
  <c r="G36" i="136"/>
  <c r="G33" i="136"/>
  <c r="G32" i="136"/>
  <c r="G30" i="136"/>
  <c r="G26" i="136"/>
  <c r="G25" i="136"/>
  <c r="G21" i="136"/>
  <c r="G16" i="136"/>
  <c r="F249" i="136"/>
  <c r="F243" i="136"/>
  <c r="F241" i="136"/>
  <c r="F234" i="136"/>
  <c r="E35" i="115" s="1"/>
  <c r="F233" i="136"/>
  <c r="E34" i="115" s="1"/>
  <c r="F232" i="136"/>
  <c r="E33" i="115" s="1"/>
  <c r="F222" i="136"/>
  <c r="E22" i="115" s="1"/>
  <c r="F219" i="136"/>
  <c r="E19" i="115" s="1"/>
  <c r="F213" i="136"/>
  <c r="E12" i="115" s="1"/>
  <c r="F212" i="136"/>
  <c r="E11" i="115" s="1"/>
  <c r="F210" i="136"/>
  <c r="E10" i="115" s="1"/>
  <c r="F209" i="136"/>
  <c r="F190" i="136"/>
  <c r="F160" i="136"/>
  <c r="F156" i="136"/>
  <c r="F157" i="136" s="1"/>
  <c r="F153" i="136"/>
  <c r="F149" i="136"/>
  <c r="F128" i="136"/>
  <c r="F137" i="136" s="1"/>
  <c r="F127" i="136"/>
  <c r="F123" i="136"/>
  <c r="F114" i="136"/>
  <c r="F248" i="136"/>
  <c r="F109" i="136"/>
  <c r="F112" i="136" s="1"/>
  <c r="F105" i="136"/>
  <c r="F94" i="136"/>
  <c r="F98" i="136" s="1"/>
  <c r="F92" i="136"/>
  <c r="F235" i="136"/>
  <c r="E36" i="115" s="1"/>
  <c r="F79" i="136"/>
  <c r="F67" i="136"/>
  <c r="F61" i="136"/>
  <c r="F55" i="136"/>
  <c r="F45" i="136"/>
  <c r="F37" i="136"/>
  <c r="F28" i="136"/>
  <c r="F24" i="136"/>
  <c r="F19" i="136"/>
  <c r="F8" i="147" s="1"/>
  <c r="F14" i="136"/>
  <c r="F11" i="136"/>
  <c r="F63" i="125"/>
  <c r="G106" i="98"/>
  <c r="G98" i="98"/>
  <c r="G76" i="98"/>
  <c r="G71" i="98"/>
  <c r="G66" i="98"/>
  <c r="F145" i="98"/>
  <c r="F143" i="98"/>
  <c r="F123" i="98"/>
  <c r="F107" i="98"/>
  <c r="F141" i="98"/>
  <c r="F413" i="146" s="1"/>
  <c r="F78" i="98"/>
  <c r="F75" i="98"/>
  <c r="F72" i="98"/>
  <c r="F25" i="146" s="1"/>
  <c r="F70" i="98"/>
  <c r="F64" i="98"/>
  <c r="F57" i="98"/>
  <c r="F54" i="98"/>
  <c r="F52" i="98"/>
  <c r="F51" i="98"/>
  <c r="F48" i="98"/>
  <c r="F45" i="98"/>
  <c r="F43" i="98"/>
  <c r="F42" i="98"/>
  <c r="F27" i="98"/>
  <c r="F16" i="98"/>
  <c r="G417" i="135"/>
  <c r="G689" i="135"/>
  <c r="G684" i="135"/>
  <c r="G683" i="135"/>
  <c r="G670" i="135"/>
  <c r="G669" i="135"/>
  <c r="G667" i="135"/>
  <c r="G665" i="135"/>
  <c r="G664" i="135"/>
  <c r="G663" i="135"/>
  <c r="G660" i="135"/>
  <c r="G653" i="135"/>
  <c r="G641" i="135"/>
  <c r="G636" i="135"/>
  <c r="G632" i="135"/>
  <c r="G631" i="135"/>
  <c r="G627" i="135"/>
  <c r="G617" i="135"/>
  <c r="G604" i="135"/>
  <c r="G588" i="135"/>
  <c r="G587" i="135"/>
  <c r="G540" i="135"/>
  <c r="G531" i="135"/>
  <c r="G527" i="135"/>
  <c r="G523" i="135"/>
  <c r="G522" i="135"/>
  <c r="G521" i="135"/>
  <c r="G497" i="135"/>
  <c r="G494" i="135"/>
  <c r="G486" i="135"/>
  <c r="G485" i="135"/>
  <c r="G482" i="135"/>
  <c r="G436" i="135"/>
  <c r="G435" i="135"/>
  <c r="G434" i="135"/>
  <c r="G433" i="135"/>
  <c r="G432" i="135"/>
  <c r="G431" i="135"/>
  <c r="G430" i="135"/>
  <c r="G429" i="135"/>
  <c r="G428" i="135"/>
  <c r="G427" i="135"/>
  <c r="G426" i="135"/>
  <c r="G425" i="135"/>
  <c r="G424" i="135"/>
  <c r="G423" i="135"/>
  <c r="G422" i="135"/>
  <c r="G421" i="135"/>
  <c r="G420" i="135"/>
  <c r="G419" i="135"/>
  <c r="G410" i="135"/>
  <c r="G409" i="135"/>
  <c r="G408" i="135"/>
  <c r="G406" i="135"/>
  <c r="G405" i="135"/>
  <c r="G404" i="135"/>
  <c r="G402" i="135"/>
  <c r="G401" i="135"/>
  <c r="G400" i="135"/>
  <c r="G399" i="135"/>
  <c r="G398" i="135"/>
  <c r="G396" i="135"/>
  <c r="G393" i="135"/>
  <c r="G392" i="135"/>
  <c r="G391" i="135"/>
  <c r="G390" i="135"/>
  <c r="G388" i="135"/>
  <c r="G387" i="135"/>
  <c r="G386" i="135"/>
  <c r="G385" i="135"/>
  <c r="G384" i="135"/>
  <c r="G372" i="135"/>
  <c r="G369" i="135"/>
  <c r="G359" i="135"/>
  <c r="G357" i="135"/>
  <c r="G320" i="135"/>
  <c r="G300" i="135"/>
  <c r="G286" i="135"/>
  <c r="G285" i="135"/>
  <c r="G266" i="135"/>
  <c r="G232" i="135"/>
  <c r="G218" i="135"/>
  <c r="G217" i="135"/>
  <c r="G210" i="135"/>
  <c r="G208" i="135"/>
  <c r="G198" i="135"/>
  <c r="G164" i="135"/>
  <c r="G130" i="135"/>
  <c r="G95" i="135"/>
  <c r="G61" i="135"/>
  <c r="G26" i="135"/>
  <c r="F726" i="135"/>
  <c r="F117" i="98" s="1"/>
  <c r="F712" i="135"/>
  <c r="F193" i="136" s="1"/>
  <c r="F51" i="147" s="1"/>
  <c r="F711" i="135"/>
  <c r="F714" i="135" s="1"/>
  <c r="F698" i="135"/>
  <c r="F169" i="136" s="1"/>
  <c r="F46" i="147" s="1"/>
  <c r="F692" i="135"/>
  <c r="F685" i="135"/>
  <c r="F688" i="135" s="1"/>
  <c r="F678" i="135"/>
  <c r="F662" i="135"/>
  <c r="F671" i="135" s="1"/>
  <c r="F661" i="135"/>
  <c r="F656" i="135"/>
  <c r="F642" i="135"/>
  <c r="F643" i="135" s="1"/>
  <c r="F626" i="135"/>
  <c r="F635" i="135" s="1"/>
  <c r="F637" i="135" s="1"/>
  <c r="F620" i="135"/>
  <c r="F616" i="135"/>
  <c r="F85" i="146" s="1"/>
  <c r="F614" i="135"/>
  <c r="F606" i="135"/>
  <c r="F590" i="135"/>
  <c r="F599" i="135" s="1"/>
  <c r="F581" i="135"/>
  <c r="F578" i="135"/>
  <c r="F577" i="135"/>
  <c r="F571" i="135"/>
  <c r="F572" i="135" s="1"/>
  <c r="F569" i="135"/>
  <c r="F567" i="135"/>
  <c r="F566" i="135"/>
  <c r="F564" i="135"/>
  <c r="F565" i="135" s="1"/>
  <c r="F562" i="135"/>
  <c r="F560" i="135"/>
  <c r="F559" i="135"/>
  <c r="F706" i="135" s="1"/>
  <c r="F558" i="135"/>
  <c r="F705" i="135" s="1"/>
  <c r="F176" i="136" s="1"/>
  <c r="F557" i="135"/>
  <c r="F556" i="135"/>
  <c r="F553" i="135"/>
  <c r="F543" i="135"/>
  <c r="F526" i="135"/>
  <c r="F528" i="135" s="1"/>
  <c r="F508" i="135"/>
  <c r="F511" i="135" s="1"/>
  <c r="F498" i="135"/>
  <c r="F481" i="135"/>
  <c r="F469" i="135"/>
  <c r="F461" i="135"/>
  <c r="F459" i="135"/>
  <c r="F457" i="135"/>
  <c r="F449" i="135"/>
  <c r="F446" i="135"/>
  <c r="F702" i="135" s="1"/>
  <c r="F173" i="136" s="1"/>
  <c r="F53" i="147" s="1"/>
  <c r="F444" i="135"/>
  <c r="F441" i="135"/>
  <c r="F696" i="135" s="1"/>
  <c r="F418" i="135"/>
  <c r="F416" i="135" s="1"/>
  <c r="F412" i="135"/>
  <c r="F411" i="135"/>
  <c r="F395" i="135"/>
  <c r="F394" i="135"/>
  <c r="F448" i="135"/>
  <c r="F360" i="135"/>
  <c r="F447" i="135" s="1"/>
  <c r="F358" i="135"/>
  <c r="F345" i="135"/>
  <c r="F470" i="135" s="1"/>
  <c r="F338" i="135"/>
  <c r="F463" i="135" s="1"/>
  <c r="F335" i="135"/>
  <c r="F332" i="135"/>
  <c r="F312" i="135"/>
  <c r="F315" i="135" s="1"/>
  <c r="F308" i="135"/>
  <c r="F302" i="135"/>
  <c r="F297" i="135"/>
  <c r="F278" i="135"/>
  <c r="F281" i="135" s="1"/>
  <c r="F274" i="135"/>
  <c r="F270" i="135"/>
  <c r="F244" i="135"/>
  <c r="F247" i="135" s="1"/>
  <c r="F234" i="135"/>
  <c r="F229" i="135"/>
  <c r="F213" i="135"/>
  <c r="F206" i="135"/>
  <c r="F200" i="135"/>
  <c r="F203" i="135" s="1"/>
  <c r="F176" i="135"/>
  <c r="F179" i="135" s="1"/>
  <c r="F172" i="135"/>
  <c r="F175" i="135" s="1"/>
  <c r="F142" i="135"/>
  <c r="F145" i="135" s="1"/>
  <c r="F138" i="135"/>
  <c r="F132" i="135"/>
  <c r="F135" i="135" s="1"/>
  <c r="F107" i="135"/>
  <c r="F103" i="135"/>
  <c r="F73" i="135"/>
  <c r="F69" i="135"/>
  <c r="F63" i="135"/>
  <c r="F66" i="135" s="1"/>
  <c r="F38" i="135"/>
  <c r="F41" i="135" s="1"/>
  <c r="F34" i="135"/>
  <c r="F61" i="43"/>
  <c r="F19" i="98" s="1"/>
  <c r="F59" i="43"/>
  <c r="F18" i="98" s="1"/>
  <c r="F55" i="43"/>
  <c r="F15" i="98" s="1"/>
  <c r="F86" i="98" s="1"/>
  <c r="F46" i="43"/>
  <c r="F43" i="43"/>
  <c r="F49" i="43" s="1"/>
  <c r="F39" i="43"/>
  <c r="F26" i="43"/>
  <c r="F60" i="43" s="1"/>
  <c r="F17" i="98" s="1"/>
  <c r="F23" i="43"/>
  <c r="F22" i="43"/>
  <c r="F21" i="43"/>
  <c r="F12" i="43"/>
  <c r="F11" i="43"/>
  <c r="F10" i="43"/>
  <c r="F18" i="43" s="1"/>
  <c r="C9" i="142" s="1"/>
  <c r="G28" i="43"/>
  <c r="G16" i="43"/>
  <c r="G15" i="43"/>
  <c r="G846" i="44"/>
  <c r="G845" i="44"/>
  <c r="G844" i="44"/>
  <c r="G843" i="44"/>
  <c r="G842" i="44"/>
  <c r="G841" i="44"/>
  <c r="G840" i="44"/>
  <c r="G838" i="44"/>
  <c r="G837" i="44"/>
  <c r="G836" i="44"/>
  <c r="G835" i="44"/>
  <c r="G834" i="44"/>
  <c r="G833" i="44"/>
  <c r="G832" i="44"/>
  <c r="G827" i="44"/>
  <c r="G819" i="44"/>
  <c r="G811" i="44"/>
  <c r="G803" i="44"/>
  <c r="G789" i="44"/>
  <c r="G781" i="44"/>
  <c r="G772" i="44"/>
  <c r="G763" i="44"/>
  <c r="G755" i="44"/>
  <c r="G752" i="44"/>
  <c r="G746" i="44"/>
  <c r="G742" i="44"/>
  <c r="G741" i="44"/>
  <c r="G737" i="44"/>
  <c r="G733" i="44"/>
  <c r="G727" i="44"/>
  <c r="G720" i="44"/>
  <c r="G719" i="44"/>
  <c r="G718" i="44"/>
  <c r="G717" i="44"/>
  <c r="G716" i="44"/>
  <c r="G715" i="44"/>
  <c r="G714" i="44"/>
  <c r="G713" i="44"/>
  <c r="G711" i="44"/>
  <c r="G710" i="44"/>
  <c r="G709" i="44"/>
  <c r="G708" i="44"/>
  <c r="G707" i="44"/>
  <c r="G706" i="44"/>
  <c r="G705" i="44"/>
  <c r="G704" i="44"/>
  <c r="G696" i="44"/>
  <c r="G695" i="44"/>
  <c r="G672" i="44"/>
  <c r="G639" i="44"/>
  <c r="G631" i="44"/>
  <c r="G615" i="44"/>
  <c r="G607" i="44"/>
  <c r="G589" i="44"/>
  <c r="G581" i="44"/>
  <c r="G568" i="44"/>
  <c r="G567" i="44"/>
  <c r="G566" i="44"/>
  <c r="G565" i="44"/>
  <c r="G564" i="44"/>
  <c r="G563" i="44"/>
  <c r="G562" i="44"/>
  <c r="G557" i="44"/>
  <c r="G550" i="44"/>
  <c r="G525" i="44"/>
  <c r="G517" i="44"/>
  <c r="G485" i="44"/>
  <c r="G484" i="44"/>
  <c r="G465" i="44"/>
  <c r="G461" i="44"/>
  <c r="G460" i="44"/>
  <c r="G455" i="44"/>
  <c r="G450" i="44"/>
  <c r="G449" i="44"/>
  <c r="G446" i="44"/>
  <c r="G445" i="44"/>
  <c r="G426" i="44"/>
  <c r="G419" i="44"/>
  <c r="G401" i="44"/>
  <c r="G400" i="44"/>
  <c r="G399" i="44"/>
  <c r="G391" i="44"/>
  <c r="G390" i="44"/>
  <c r="G387" i="44"/>
  <c r="G386" i="44"/>
  <c r="G385" i="44"/>
  <c r="G384" i="44"/>
  <c r="G383" i="44"/>
  <c r="G382" i="44"/>
  <c r="G381" i="44"/>
  <c r="G380" i="44"/>
  <c r="G378" i="44"/>
  <c r="G377" i="44"/>
  <c r="G376" i="44"/>
  <c r="G375" i="44"/>
  <c r="G374" i="44"/>
  <c r="G373" i="44"/>
  <c r="G364" i="44"/>
  <c r="G363" i="44"/>
  <c r="G346" i="44"/>
  <c r="G336" i="44"/>
  <c r="G335" i="44"/>
  <c r="G318" i="44"/>
  <c r="G309" i="44"/>
  <c r="G288" i="44"/>
  <c r="G287" i="44"/>
  <c r="G256" i="44"/>
  <c r="G255" i="44"/>
  <c r="G245" i="44"/>
  <c r="G244" i="44"/>
  <c r="G243" i="44"/>
  <c r="G210" i="44"/>
  <c r="G209" i="44"/>
  <c r="G208" i="44"/>
  <c r="G204" i="44"/>
  <c r="G193" i="44"/>
  <c r="G192" i="44"/>
  <c r="G188" i="44"/>
  <c r="G178" i="44"/>
  <c r="G177" i="44"/>
  <c r="G167" i="44"/>
  <c r="G166" i="44"/>
  <c r="G112" i="44"/>
  <c r="G93" i="44"/>
  <c r="G60" i="44"/>
  <c r="F875" i="44"/>
  <c r="F30" i="98" s="1"/>
  <c r="F864" i="44"/>
  <c r="F860" i="44"/>
  <c r="F856" i="44"/>
  <c r="F851" i="44"/>
  <c r="F847" i="44"/>
  <c r="F839" i="44"/>
  <c r="F831" i="44"/>
  <c r="F823" i="44"/>
  <c r="F815" i="44"/>
  <c r="F807" i="44"/>
  <c r="F795" i="44"/>
  <c r="F794" i="44"/>
  <c r="F793" i="44"/>
  <c r="F788" i="44"/>
  <c r="F786" i="44"/>
  <c r="F791" i="44"/>
  <c r="F778" i="44"/>
  <c r="F777" i="44"/>
  <c r="F776" i="44"/>
  <c r="F773" i="44"/>
  <c r="F770" i="44"/>
  <c r="F769" i="44"/>
  <c r="F768" i="44"/>
  <c r="F765" i="44"/>
  <c r="F757" i="44"/>
  <c r="F748" i="44"/>
  <c r="C126" i="141" s="1"/>
  <c r="F734" i="44"/>
  <c r="F730" i="44"/>
  <c r="F721" i="44"/>
  <c r="F712" i="44"/>
  <c r="F697" i="44"/>
  <c r="F691" i="44"/>
  <c r="F685" i="44"/>
  <c r="F677" i="44"/>
  <c r="F668" i="44"/>
  <c r="F655" i="44"/>
  <c r="F647" i="44"/>
  <c r="F643" i="44"/>
  <c r="F635" i="44"/>
  <c r="F623" i="44"/>
  <c r="F619" i="44"/>
  <c r="F611" i="44"/>
  <c r="F598" i="44"/>
  <c r="F603" i="44" s="1"/>
  <c r="F594" i="44"/>
  <c r="F585" i="44"/>
  <c r="F573" i="44"/>
  <c r="F577" i="44" s="1"/>
  <c r="F569" i="44"/>
  <c r="F368" i="146" s="1"/>
  <c r="F558" i="44"/>
  <c r="F561" i="44" s="1"/>
  <c r="F553" i="44"/>
  <c r="F542" i="44"/>
  <c r="F541" i="44"/>
  <c r="F545" i="44" s="1"/>
  <c r="F534" i="44"/>
  <c r="F537" i="44" s="1"/>
  <c r="F526" i="44"/>
  <c r="F529" i="44" s="1"/>
  <c r="F518" i="44"/>
  <c r="F521" i="44" s="1"/>
  <c r="F510" i="44"/>
  <c r="F513" i="44" s="1"/>
  <c r="F502" i="44"/>
  <c r="F505" i="44" s="1"/>
  <c r="F492" i="44"/>
  <c r="F497" i="44" s="1"/>
  <c r="F488" i="44"/>
  <c r="F475" i="44"/>
  <c r="F479" i="44" s="1"/>
  <c r="F470" i="44"/>
  <c r="F459" i="44"/>
  <c r="F447" i="44"/>
  <c r="F451" i="44" s="1"/>
  <c r="F433" i="44"/>
  <c r="F18" i="146" s="1"/>
  <c r="F424" i="44"/>
  <c r="F415" i="44"/>
  <c r="F16" i="146" s="1"/>
  <c r="F406" i="44"/>
  <c r="F396" i="44"/>
  <c r="F876" i="44" s="1"/>
  <c r="F31" i="98" s="1"/>
  <c r="F392" i="44"/>
  <c r="F397" i="44" s="1"/>
  <c r="F388" i="44"/>
  <c r="F13" i="146" s="1"/>
  <c r="F368" i="44"/>
  <c r="F372" i="44" s="1"/>
  <c r="F358" i="44"/>
  <c r="F362" i="44" s="1"/>
  <c r="F354" i="44"/>
  <c r="F341" i="44"/>
  <c r="F345" i="44" s="1"/>
  <c r="F328" i="44"/>
  <c r="F334" i="44" s="1"/>
  <c r="F323" i="44"/>
  <c r="F314" i="44"/>
  <c r="F301" i="44"/>
  <c r="F305" i="44" s="1"/>
  <c r="F293" i="44"/>
  <c r="F297" i="44" s="1"/>
  <c r="F289" i="44"/>
  <c r="F273" i="44"/>
  <c r="F272" i="44"/>
  <c r="F271" i="44"/>
  <c r="F265" i="44"/>
  <c r="F269" i="44" s="1"/>
  <c r="F259" i="44"/>
  <c r="F257" i="44"/>
  <c r="F261" i="44" s="1"/>
  <c r="F253" i="44"/>
  <c r="F242" i="44"/>
  <c r="F8" i="146" s="1"/>
  <c r="F228" i="44"/>
  <c r="F233" i="44" s="1"/>
  <c r="F219" i="44"/>
  <c r="F224" i="44" s="1"/>
  <c r="F212" i="44"/>
  <c r="F215" i="44" s="1"/>
  <c r="F202" i="44"/>
  <c r="F201" i="44"/>
  <c r="F200" i="44"/>
  <c r="F206" i="44" s="1"/>
  <c r="F196" i="44"/>
  <c r="F198" i="44" s="1"/>
  <c r="F187" i="44"/>
  <c r="F871" i="44" s="1"/>
  <c r="F185" i="44"/>
  <c r="F184" i="44"/>
  <c r="F183" i="44"/>
  <c r="F181" i="44"/>
  <c r="F172" i="44"/>
  <c r="F164" i="44"/>
  <c r="F152" i="44"/>
  <c r="F156" i="44" s="1"/>
  <c r="F144" i="44"/>
  <c r="F148" i="44" s="1"/>
  <c r="F136" i="44"/>
  <c r="F140" i="44" s="1"/>
  <c r="F127" i="44"/>
  <c r="F131" i="44" s="1"/>
  <c r="F119" i="44"/>
  <c r="F123" i="44" s="1"/>
  <c r="F115" i="44"/>
  <c r="F101" i="44"/>
  <c r="F105" i="44" s="1"/>
  <c r="F84" i="44"/>
  <c r="F870" i="44" s="1"/>
  <c r="F83" i="44"/>
  <c r="F87" i="44" s="1"/>
  <c r="F74" i="44"/>
  <c r="F78" i="44" s="1"/>
  <c r="F66" i="44"/>
  <c r="F56" i="44"/>
  <c r="F61" i="44" s="1"/>
  <c r="F47" i="44"/>
  <c r="F52" i="44" s="1"/>
  <c r="F38" i="44"/>
  <c r="F43" i="44" s="1"/>
  <c r="F34" i="44"/>
  <c r="F21" i="44"/>
  <c r="F25" i="44" s="1"/>
  <c r="F17" i="44"/>
  <c r="C10" i="142" s="1"/>
  <c r="F248" i="146"/>
  <c r="D61" i="142"/>
  <c r="D62" i="142"/>
  <c r="C62" i="142"/>
  <c r="C61" i="142"/>
  <c r="F71" i="125"/>
  <c r="F38" i="98" s="1"/>
  <c r="F65" i="125"/>
  <c r="F34" i="98" s="1"/>
  <c r="F46" i="125"/>
  <c r="F42" i="125"/>
  <c r="F40" i="125" s="1"/>
  <c r="F37" i="125"/>
  <c r="F29" i="125"/>
  <c r="F20" i="125"/>
  <c r="F67" i="125" s="1"/>
  <c r="F36" i="98" s="1"/>
  <c r="F19" i="125"/>
  <c r="F18" i="125" s="1"/>
  <c r="F16" i="125"/>
  <c r="F13" i="125"/>
  <c r="F10" i="125"/>
  <c r="G62" i="125"/>
  <c r="G61" i="125"/>
  <c r="G60" i="125"/>
  <c r="G59" i="125"/>
  <c r="G58" i="125"/>
  <c r="G57" i="125"/>
  <c r="G56" i="125"/>
  <c r="G55" i="125"/>
  <c r="G54" i="125"/>
  <c r="G51" i="125"/>
  <c r="G48" i="125"/>
  <c r="G43" i="125"/>
  <c r="G41" i="125"/>
  <c r="G39" i="125"/>
  <c r="G36" i="125"/>
  <c r="G31" i="125"/>
  <c r="G28" i="125"/>
  <c r="G27" i="125"/>
  <c r="G26" i="125"/>
  <c r="G25" i="125"/>
  <c r="G21" i="125"/>
  <c r="G17" i="125"/>
  <c r="G15" i="125"/>
  <c r="G14" i="125"/>
  <c r="G86" i="47"/>
  <c r="G74" i="47"/>
  <c r="G61" i="47"/>
  <c r="G60" i="47"/>
  <c r="G59" i="47"/>
  <c r="G56" i="47"/>
  <c r="G53" i="47"/>
  <c r="G51" i="47"/>
  <c r="G50" i="47"/>
  <c r="G49" i="47"/>
  <c r="G45" i="47"/>
  <c r="G44" i="47"/>
  <c r="G43" i="47"/>
  <c r="G41" i="47"/>
  <c r="G40" i="47"/>
  <c r="G38" i="47"/>
  <c r="G33" i="47"/>
  <c r="G27" i="47"/>
  <c r="G23" i="47"/>
  <c r="G22" i="47"/>
  <c r="G20" i="47"/>
  <c r="G18" i="47"/>
  <c r="G17" i="47"/>
  <c r="G15" i="47"/>
  <c r="F69" i="47"/>
  <c r="F68" i="47"/>
  <c r="F65" i="47"/>
  <c r="F58" i="47"/>
  <c r="F57" i="47"/>
  <c r="F55" i="47"/>
  <c r="F54" i="47"/>
  <c r="F52" i="47"/>
  <c r="F48" i="47"/>
  <c r="F47" i="47"/>
  <c r="F42" i="47"/>
  <c r="F37" i="47"/>
  <c r="F36" i="47"/>
  <c r="F35" i="47"/>
  <c r="F29" i="47"/>
  <c r="F21" i="47"/>
  <c r="F19" i="47"/>
  <c r="F16" i="47"/>
  <c r="F14" i="47"/>
  <c r="F30" i="47"/>
  <c r="F54" i="43" l="1"/>
  <c r="F53" i="43"/>
  <c r="F52" i="43"/>
  <c r="F12" i="98" s="1"/>
  <c r="F279" i="44"/>
  <c r="F868" i="44"/>
  <c r="F25" i="98" s="1"/>
  <c r="F190" i="44"/>
  <c r="F23" i="125"/>
  <c r="F34" i="47"/>
  <c r="E51" i="115"/>
  <c r="F96" i="147"/>
  <c r="E43" i="115"/>
  <c r="F44" i="147"/>
  <c r="F239" i="136"/>
  <c r="E40" i="115" s="1"/>
  <c r="F50" i="147"/>
  <c r="E48" i="115"/>
  <c r="F57" i="147"/>
  <c r="F66" i="136"/>
  <c r="F22" i="147"/>
  <c r="F31" i="136"/>
  <c r="F68" i="147"/>
  <c r="F27" i="136"/>
  <c r="F216" i="136" s="1"/>
  <c r="E16" i="115" s="1"/>
  <c r="F64" i="147"/>
  <c r="F146" i="98"/>
  <c r="C148" i="141"/>
  <c r="F22" i="146"/>
  <c r="C145" i="141"/>
  <c r="F225" i="136"/>
  <c r="E25" i="115" s="1"/>
  <c r="F58" i="147"/>
  <c r="F31" i="146"/>
  <c r="C138" i="141"/>
  <c r="F247" i="146"/>
  <c r="C134" i="141"/>
  <c r="F150" i="146"/>
  <c r="C46" i="142"/>
  <c r="C81" i="141"/>
  <c r="F213" i="146"/>
  <c r="F212" i="146"/>
  <c r="C80" i="141"/>
  <c r="F211" i="146"/>
  <c r="C79" i="141"/>
  <c r="F231" i="146"/>
  <c r="C78" i="141"/>
  <c r="F799" i="44"/>
  <c r="C44" i="142"/>
  <c r="F287" i="146"/>
  <c r="F782" i="44"/>
  <c r="F874" i="44"/>
  <c r="F774" i="44"/>
  <c r="F191" i="146"/>
  <c r="C41" i="142"/>
  <c r="C40" i="142"/>
  <c r="F202" i="146"/>
  <c r="F739" i="44"/>
  <c r="F199" i="146"/>
  <c r="C39" i="142"/>
  <c r="F701" i="44"/>
  <c r="F693" i="44"/>
  <c r="C37" i="142"/>
  <c r="F338" i="146"/>
  <c r="F366" i="146"/>
  <c r="C36" i="142"/>
  <c r="C34" i="142"/>
  <c r="F399" i="146"/>
  <c r="F659" i="44"/>
  <c r="F651" i="44"/>
  <c r="F319" i="146"/>
  <c r="C50" i="141"/>
  <c r="F325" i="146"/>
  <c r="C72" i="141"/>
  <c r="F627" i="44"/>
  <c r="C70" i="141"/>
  <c r="F330" i="146"/>
  <c r="C76" i="141"/>
  <c r="F376" i="146"/>
  <c r="C35" i="142"/>
  <c r="F243" i="146"/>
  <c r="C69" i="141"/>
  <c r="F324" i="146"/>
  <c r="F323" i="146"/>
  <c r="C68" i="141"/>
  <c r="F384" i="146"/>
  <c r="C67" i="141"/>
  <c r="C33" i="142"/>
  <c r="F396" i="146"/>
  <c r="C66" i="141"/>
  <c r="F357" i="146"/>
  <c r="C32" i="142"/>
  <c r="F394" i="146"/>
  <c r="C31" i="142"/>
  <c r="F367" i="146"/>
  <c r="C30" i="142"/>
  <c r="F393" i="146"/>
  <c r="C29" i="142"/>
  <c r="F392" i="146"/>
  <c r="C65" i="141"/>
  <c r="F364" i="146"/>
  <c r="C28" i="142"/>
  <c r="F362" i="146"/>
  <c r="C27" i="142"/>
  <c r="F391" i="146"/>
  <c r="F354" i="146"/>
  <c r="C26" i="142"/>
  <c r="C25" i="142"/>
  <c r="F390" i="146"/>
  <c r="F389" i="146"/>
  <c r="C23" i="142"/>
  <c r="C51" i="141"/>
  <c r="F178" i="146"/>
  <c r="C49" i="141"/>
  <c r="F187" i="146"/>
  <c r="C20" i="142"/>
  <c r="F17" i="146"/>
  <c r="F15" i="146"/>
  <c r="C19" i="142"/>
  <c r="F14" i="146"/>
  <c r="C140" i="141"/>
  <c r="C18" i="142"/>
  <c r="F149" i="146"/>
  <c r="C19" i="141"/>
  <c r="F136" i="146"/>
  <c r="C94" i="141"/>
  <c r="F45" i="146"/>
  <c r="C39" i="141"/>
  <c r="F124" i="146"/>
  <c r="F44" i="146"/>
  <c r="F12" i="146"/>
  <c r="C17" i="142"/>
  <c r="F11" i="146"/>
  <c r="C16" i="142"/>
  <c r="C139" i="141"/>
  <c r="F10" i="146"/>
  <c r="F120" i="146"/>
  <c r="C15" i="142"/>
  <c r="C14" i="142"/>
  <c r="F148" i="146"/>
  <c r="C129" i="141"/>
  <c r="F97" i="146"/>
  <c r="C132" i="141"/>
  <c r="F404" i="146"/>
  <c r="C136" i="141"/>
  <c r="F9" i="146"/>
  <c r="C13" i="142"/>
  <c r="F298" i="146"/>
  <c r="C62" i="141"/>
  <c r="F297" i="146"/>
  <c r="C122" i="141"/>
  <c r="F276" i="146"/>
  <c r="C123" i="141"/>
  <c r="F282" i="146"/>
  <c r="C121" i="141"/>
  <c r="F311" i="146"/>
  <c r="F28" i="98"/>
  <c r="F302" i="146"/>
  <c r="C12" i="142"/>
  <c r="C93" i="141"/>
  <c r="F43" i="146"/>
  <c r="C92" i="141"/>
  <c r="F42" i="146"/>
  <c r="C91" i="141"/>
  <c r="F41" i="146"/>
  <c r="C90" i="141"/>
  <c r="F40" i="146"/>
  <c r="C89" i="141"/>
  <c r="F39" i="146"/>
  <c r="C42" i="141"/>
  <c r="F38" i="146"/>
  <c r="C88" i="141"/>
  <c r="F59" i="146"/>
  <c r="C87" i="141"/>
  <c r="F37" i="146"/>
  <c r="F152" i="146"/>
  <c r="C17" i="141"/>
  <c r="F79" i="44"/>
  <c r="C64" i="141"/>
  <c r="F388" i="146"/>
  <c r="F145" i="146"/>
  <c r="C16" i="141"/>
  <c r="F869" i="44"/>
  <c r="F70" i="44"/>
  <c r="C11" i="142"/>
  <c r="F140" i="146"/>
  <c r="C14" i="141"/>
  <c r="F143" i="146"/>
  <c r="C13" i="141"/>
  <c r="F142" i="146"/>
  <c r="C12" i="141"/>
  <c r="F141" i="146"/>
  <c r="C11" i="141"/>
  <c r="F35" i="146"/>
  <c r="F66" i="125"/>
  <c r="F35" i="98" s="1"/>
  <c r="F44" i="125"/>
  <c r="F272" i="146"/>
  <c r="C58" i="142"/>
  <c r="F151" i="146"/>
  <c r="C51" i="142"/>
  <c r="F69" i="125"/>
  <c r="F154" i="146"/>
  <c r="C49" i="142"/>
  <c r="F267" i="146"/>
  <c r="C47" i="142"/>
  <c r="F72" i="125"/>
  <c r="F39" i="98" s="1"/>
  <c r="F153" i="146"/>
  <c r="C37" i="141"/>
  <c r="F74" i="146"/>
  <c r="C104" i="141"/>
  <c r="F103" i="47"/>
  <c r="F160" i="146"/>
  <c r="C74" i="142"/>
  <c r="F72" i="146"/>
  <c r="C103" i="141"/>
  <c r="F68" i="146"/>
  <c r="C110" i="141"/>
  <c r="F67" i="146"/>
  <c r="C116" i="141"/>
  <c r="F66" i="146"/>
  <c r="C115" i="141"/>
  <c r="C108" i="141"/>
  <c r="F64" i="146"/>
  <c r="F46" i="47"/>
  <c r="F101" i="47"/>
  <c r="F46" i="98" s="1"/>
  <c r="F57" i="146"/>
  <c r="C100" i="141"/>
  <c r="F97" i="47"/>
  <c r="C29" i="141"/>
  <c r="F159" i="146"/>
  <c r="C73" i="142"/>
  <c r="F158" i="146"/>
  <c r="F50" i="146"/>
  <c r="C26" i="141"/>
  <c r="F155" i="146"/>
  <c r="C23" i="141"/>
  <c r="F49" i="146"/>
  <c r="C22" i="141"/>
  <c r="F27" i="146"/>
  <c r="C149" i="141"/>
  <c r="F703" i="44"/>
  <c r="C125" i="141"/>
  <c r="F443" i="44"/>
  <c r="L42" i="138"/>
  <c r="C21" i="142"/>
  <c r="F379" i="44"/>
  <c r="C135" i="141"/>
  <c r="F9" i="44"/>
  <c r="F132" i="44"/>
  <c r="F14" i="98"/>
  <c r="F383" i="135"/>
  <c r="F673" i="135"/>
  <c r="F237" i="135"/>
  <c r="J47" i="115"/>
  <c r="F10" i="136"/>
  <c r="F142" i="136"/>
  <c r="F103" i="98"/>
  <c r="F703" i="135"/>
  <c r="F174" i="136" s="1"/>
  <c r="F187" i="136"/>
  <c r="F106" i="135"/>
  <c r="F37" i="135"/>
  <c r="F42" i="135" s="1"/>
  <c r="C53" i="141" s="1"/>
  <c r="F552" i="135"/>
  <c r="F568" i="135"/>
  <c r="F570" i="135" s="1"/>
  <c r="F533" i="135"/>
  <c r="F536" i="135" s="1"/>
  <c r="F342" i="135"/>
  <c r="F467" i="135" s="1"/>
  <c r="F343" i="135"/>
  <c r="F468" i="135" s="1"/>
  <c r="F97" i="135"/>
  <c r="F141" i="135"/>
  <c r="F166" i="135"/>
  <c r="F356" i="135"/>
  <c r="F445" i="135"/>
  <c r="F373" i="135"/>
  <c r="F473" i="135"/>
  <c r="F575" i="135"/>
  <c r="F716" i="135"/>
  <c r="F268" i="135"/>
  <c r="F679" i="135"/>
  <c r="F28" i="135"/>
  <c r="F72" i="135"/>
  <c r="F110" i="135"/>
  <c r="F442" i="135"/>
  <c r="F576" i="135"/>
  <c r="F709" i="135"/>
  <c r="F209" i="135"/>
  <c r="F243" i="135"/>
  <c r="F311" i="135"/>
  <c r="F443" i="135"/>
  <c r="F580" i="135"/>
  <c r="F583" i="135" s="1"/>
  <c r="F341" i="135"/>
  <c r="F466" i="135" s="1"/>
  <c r="F76" i="135"/>
  <c r="F277" i="135"/>
  <c r="F382" i="135"/>
  <c r="F451" i="135"/>
  <c r="F707" i="135" s="1"/>
  <c r="F574" i="135"/>
  <c r="F700" i="135"/>
  <c r="F615" i="135"/>
  <c r="F221" i="136"/>
  <c r="E21" i="115" s="1"/>
  <c r="F347" i="135"/>
  <c r="F507" i="135"/>
  <c r="F652" i="135"/>
  <c r="F657" i="135" s="1"/>
  <c r="L41" i="138"/>
  <c r="F94" i="98"/>
  <c r="F139" i="98" s="1"/>
  <c r="F133" i="98"/>
  <c r="F217" i="136"/>
  <c r="E17" i="115" s="1"/>
  <c r="F162" i="136"/>
  <c r="F194" i="136"/>
  <c r="F43" i="136"/>
  <c r="F238" i="136"/>
  <c r="E39" i="115" s="1"/>
  <c r="E42" i="115" s="1"/>
  <c r="F208" i="136"/>
  <c r="E7" i="115" s="1"/>
  <c r="F70" i="136"/>
  <c r="F107" i="136"/>
  <c r="F115" i="136"/>
  <c r="F215" i="136"/>
  <c r="F191" i="136"/>
  <c r="F730" i="135"/>
  <c r="F305" i="135"/>
  <c r="F704" i="135"/>
  <c r="F175" i="136" s="1"/>
  <c r="F561" i="135"/>
  <c r="F180" i="135"/>
  <c r="C56" i="141" s="1"/>
  <c r="F316" i="135"/>
  <c r="C61" i="141" s="1"/>
  <c r="F339" i="135"/>
  <c r="F718" i="135"/>
  <c r="F727" i="135"/>
  <c r="F720" i="135"/>
  <c r="F464" i="135"/>
  <c r="F693" i="135"/>
  <c r="F646" i="135"/>
  <c r="F458" i="135"/>
  <c r="F336" i="135"/>
  <c r="F546" i="135"/>
  <c r="F490" i="135"/>
  <c r="F542" i="135"/>
  <c r="F62" i="43"/>
  <c r="F8" i="43"/>
  <c r="F57" i="43"/>
  <c r="F29" i="43"/>
  <c r="F877" i="44"/>
  <c r="F234" i="44"/>
  <c r="F324" i="44"/>
  <c r="F766" i="44"/>
  <c r="F97" i="44"/>
  <c r="F36" i="146" s="1"/>
  <c r="F337" i="44"/>
  <c r="F867" i="44"/>
  <c r="F11" i="125"/>
  <c r="F64" i="47"/>
  <c r="F85" i="47"/>
  <c r="F161" i="146" s="1"/>
  <c r="G59" i="48"/>
  <c r="G58" i="48"/>
  <c r="G55" i="48"/>
  <c r="G53" i="48"/>
  <c r="G51" i="48"/>
  <c r="G50" i="48"/>
  <c r="G49" i="48"/>
  <c r="G48" i="48"/>
  <c r="G42" i="48"/>
  <c r="G39" i="48"/>
  <c r="G31" i="48"/>
  <c r="G27" i="48"/>
  <c r="G22" i="48"/>
  <c r="G19" i="48"/>
  <c r="G18" i="48"/>
  <c r="G17" i="48"/>
  <c r="G13" i="48"/>
  <c r="G12" i="48"/>
  <c r="G11" i="48"/>
  <c r="F60" i="48"/>
  <c r="F54" i="48"/>
  <c r="F47" i="48"/>
  <c r="F41" i="48"/>
  <c r="F38" i="48"/>
  <c r="F28" i="48"/>
  <c r="F25" i="48"/>
  <c r="F24" i="48"/>
  <c r="F21" i="48"/>
  <c r="F16" i="48"/>
  <c r="F15" i="48" s="1"/>
  <c r="F14" i="48"/>
  <c r="F16" i="49"/>
  <c r="F20" i="49"/>
  <c r="J13" i="115" s="1"/>
  <c r="F13" i="98" l="1"/>
  <c r="F128" i="146"/>
  <c r="C18" i="141"/>
  <c r="C120" i="141"/>
  <c r="F310" i="146"/>
  <c r="F173" i="44"/>
  <c r="C43" i="141"/>
  <c r="F53" i="146"/>
  <c r="C45" i="142"/>
  <c r="C43" i="142"/>
  <c r="F238" i="146"/>
  <c r="F29" i="98"/>
  <c r="F210" i="146"/>
  <c r="C42" i="142"/>
  <c r="F200" i="146"/>
  <c r="C124" i="141"/>
  <c r="F183" i="146"/>
  <c r="F112" i="146"/>
  <c r="C38" i="142"/>
  <c r="F326" i="146"/>
  <c r="C74" i="141"/>
  <c r="F315" i="146"/>
  <c r="C73" i="141"/>
  <c r="C71" i="141"/>
  <c r="F380" i="146"/>
  <c r="F26" i="98"/>
  <c r="C15" i="141"/>
  <c r="F144" i="146"/>
  <c r="F62" i="44"/>
  <c r="F49" i="125"/>
  <c r="F64" i="125" s="1"/>
  <c r="C59" i="142"/>
  <c r="F237" i="146"/>
  <c r="C102" i="141"/>
  <c r="F60" i="146"/>
  <c r="F99" i="47"/>
  <c r="F44" i="98"/>
  <c r="F452" i="135"/>
  <c r="F682" i="135"/>
  <c r="F22" i="136"/>
  <c r="F91" i="147"/>
  <c r="F223" i="136"/>
  <c r="E23" i="115" s="1"/>
  <c r="F110" i="147"/>
  <c r="F188" i="136"/>
  <c r="F49" i="147"/>
  <c r="F217" i="146"/>
  <c r="C7" i="142"/>
  <c r="E15" i="115"/>
  <c r="E18" i="115" s="1"/>
  <c r="C9" i="145"/>
  <c r="F224" i="136"/>
  <c r="E24" i="115" s="1"/>
  <c r="F54" i="147"/>
  <c r="C157" i="141"/>
  <c r="F179" i="146"/>
  <c r="F20" i="146"/>
  <c r="F5" i="146" s="1"/>
  <c r="C137" i="141"/>
  <c r="C41" i="141"/>
  <c r="F56" i="48"/>
  <c r="C88" i="142"/>
  <c r="F100" i="146"/>
  <c r="C130" i="141"/>
  <c r="F99" i="146"/>
  <c r="C86" i="142"/>
  <c r="F173" i="146"/>
  <c r="F45" i="48"/>
  <c r="F26" i="48"/>
  <c r="C82" i="142"/>
  <c r="F168" i="146"/>
  <c r="F23" i="48"/>
  <c r="F65" i="48"/>
  <c r="F164" i="146"/>
  <c r="C33" i="141"/>
  <c r="C31" i="141"/>
  <c r="C30" i="141"/>
  <c r="F167" i="146"/>
  <c r="C85" i="142"/>
  <c r="F172" i="146"/>
  <c r="C75" i="142"/>
  <c r="F92" i="47"/>
  <c r="F89" i="44"/>
  <c r="F88" i="44" s="1"/>
  <c r="C86" i="141"/>
  <c r="F702" i="44"/>
  <c r="F454" i="135"/>
  <c r="F872" i="44"/>
  <c r="F24" i="98"/>
  <c r="F579" i="135"/>
  <c r="F236" i="136"/>
  <c r="E37" i="115" s="1"/>
  <c r="E38" i="115" s="1"/>
  <c r="F240" i="136"/>
  <c r="C18" i="145" s="1"/>
  <c r="C27" i="145" s="1"/>
  <c r="F472" i="135"/>
  <c r="F729" i="135" s="1"/>
  <c r="F237" i="136"/>
  <c r="F271" i="135"/>
  <c r="F701" i="135"/>
  <c r="F547" i="135"/>
  <c r="F102" i="98"/>
  <c r="F111" i="135"/>
  <c r="C55" i="141" s="1"/>
  <c r="F350" i="135"/>
  <c r="F177" i="136"/>
  <c r="F55" i="147" s="1"/>
  <c r="F437" i="135"/>
  <c r="F346" i="135"/>
  <c r="F31" i="135"/>
  <c r="F364" i="135"/>
  <c r="F169" i="135"/>
  <c r="F100" i="135"/>
  <c r="F724" i="135"/>
  <c r="F492" i="135"/>
  <c r="F501" i="135" s="1"/>
  <c r="F563" i="135"/>
  <c r="F699" i="135"/>
  <c r="F171" i="136"/>
  <c r="F52" i="147" s="1"/>
  <c r="F248" i="135"/>
  <c r="C59" i="141" s="1"/>
  <c r="F118" i="98"/>
  <c r="F512" i="135"/>
  <c r="F621" i="135"/>
  <c r="F460" i="135"/>
  <c r="F462" i="135" s="1"/>
  <c r="F721" i="135"/>
  <c r="F201" i="136"/>
  <c r="F202" i="136" s="1"/>
  <c r="F251" i="136" s="1"/>
  <c r="E54" i="115" s="1"/>
  <c r="E55" i="115" s="1"/>
  <c r="F584" i="135"/>
  <c r="F77" i="135"/>
  <c r="C54" i="141" s="1"/>
  <c r="F725" i="135"/>
  <c r="F697" i="135"/>
  <c r="F167" i="136"/>
  <c r="F45" i="147" s="1"/>
  <c r="F122" i="98"/>
  <c r="F601" i="135"/>
  <c r="F282" i="135"/>
  <c r="C60" i="141" s="1"/>
  <c r="F214" i="135"/>
  <c r="C58" i="141" s="1"/>
  <c r="F181" i="136"/>
  <c r="F182" i="136" s="1"/>
  <c r="F146" i="135"/>
  <c r="C57" i="141" s="1"/>
  <c r="F76" i="47"/>
  <c r="J37" i="115"/>
  <c r="J9" i="115"/>
  <c r="F218" i="136"/>
  <c r="F242" i="136"/>
  <c r="E44" i="115" s="1"/>
  <c r="E45" i="115" s="1"/>
  <c r="E46" i="115" s="1"/>
  <c r="F81" i="136"/>
  <c r="F117" i="136" s="1"/>
  <c r="F471" i="135"/>
  <c r="F337" i="135"/>
  <c r="F475" i="135"/>
  <c r="F715" i="135"/>
  <c r="F723" i="135"/>
  <c r="F63" i="43"/>
  <c r="F19" i="43"/>
  <c r="F73" i="125"/>
  <c r="F68" i="125"/>
  <c r="F34" i="48"/>
  <c r="F70" i="48"/>
  <c r="F67" i="48"/>
  <c r="F14" i="49"/>
  <c r="F79" i="98" s="1"/>
  <c r="F26" i="49"/>
  <c r="F80" i="98" s="1"/>
  <c r="N10" i="144"/>
  <c r="F11" i="98" l="1"/>
  <c r="F84" i="98"/>
  <c r="C83" i="142"/>
  <c r="F170" i="146"/>
  <c r="F165" i="146"/>
  <c r="C81" i="142"/>
  <c r="F53" i="98"/>
  <c r="F85" i="98" s="1"/>
  <c r="F334" i="146"/>
  <c r="C155" i="141"/>
  <c r="F342" i="146"/>
  <c r="C154" i="141"/>
  <c r="F222" i="146"/>
  <c r="C156" i="141"/>
  <c r="F229" i="136"/>
  <c r="E30" i="115" s="1"/>
  <c r="E31" i="115" s="1"/>
  <c r="F48" i="147"/>
  <c r="F61" i="48"/>
  <c r="F73" i="48"/>
  <c r="F93" i="47"/>
  <c r="F102" i="47"/>
  <c r="F72" i="48"/>
  <c r="F55" i="98"/>
  <c r="F878" i="44"/>
  <c r="F23" i="98"/>
  <c r="F83" i="98"/>
  <c r="F88" i="98"/>
  <c r="F226" i="136"/>
  <c r="E26" i="115" s="1"/>
  <c r="F230" i="136"/>
  <c r="F211" i="136"/>
  <c r="F168" i="136"/>
  <c r="F573" i="135"/>
  <c r="F115" i="98"/>
  <c r="F131" i="98" s="1"/>
  <c r="J7" i="115" s="1"/>
  <c r="F351" i="135"/>
  <c r="F291" i="146" s="1"/>
  <c r="F197" i="136"/>
  <c r="F340" i="135"/>
  <c r="F609" i="135"/>
  <c r="F708" i="135"/>
  <c r="F710" i="135" s="1"/>
  <c r="F366" i="135"/>
  <c r="F376" i="135" s="1"/>
  <c r="F172" i="136"/>
  <c r="F717" i="135"/>
  <c r="F728" i="135"/>
  <c r="F114" i="98"/>
  <c r="F465" i="135"/>
  <c r="F116" i="98"/>
  <c r="F178" i="136"/>
  <c r="F56" i="147" s="1"/>
  <c r="F438" i="135"/>
  <c r="F476" i="135"/>
  <c r="F732" i="135"/>
  <c r="F121" i="98"/>
  <c r="F252" i="136"/>
  <c r="F244" i="136"/>
  <c r="F70" i="125"/>
  <c r="F37" i="98"/>
  <c r="F64" i="43"/>
  <c r="D157" i="141"/>
  <c r="D154" i="141"/>
  <c r="K38" i="138"/>
  <c r="K36" i="138"/>
  <c r="F132" i="98" l="1"/>
  <c r="J8" i="115" s="1"/>
  <c r="F170" i="136"/>
  <c r="F87" i="147"/>
  <c r="F108" i="146"/>
  <c r="C153" i="141"/>
  <c r="F104" i="47"/>
  <c r="F47" i="98"/>
  <c r="F41" i="98" s="1"/>
  <c r="F50" i="98"/>
  <c r="F92" i="98"/>
  <c r="F137" i="98" s="1"/>
  <c r="J35" i="115" s="1"/>
  <c r="F227" i="136"/>
  <c r="E28" i="115" s="1"/>
  <c r="F179" i="136"/>
  <c r="F184" i="136" s="1"/>
  <c r="F220" i="136"/>
  <c r="F246" i="136"/>
  <c r="F95" i="147" s="1"/>
  <c r="F198" i="136"/>
  <c r="F247" i="136" s="1"/>
  <c r="E49" i="115" s="1"/>
  <c r="F101" i="98"/>
  <c r="F719" i="135"/>
  <c r="F722" i="135" s="1"/>
  <c r="E9" i="115"/>
  <c r="E14" i="115" s="1"/>
  <c r="F214" i="136"/>
  <c r="F733" i="135"/>
  <c r="F119" i="98"/>
  <c r="F130" i="98"/>
  <c r="J6" i="115" s="1"/>
  <c r="F124" i="98"/>
  <c r="F245" i="136"/>
  <c r="F87" i="98"/>
  <c r="F33" i="98"/>
  <c r="E734" i="44"/>
  <c r="G734" i="44" s="1"/>
  <c r="E754" i="44"/>
  <c r="F93" i="98" l="1"/>
  <c r="F105" i="47"/>
  <c r="F126" i="98"/>
  <c r="F199" i="136"/>
  <c r="F204" i="136" s="1"/>
  <c r="E47" i="115"/>
  <c r="E53" i="115" s="1"/>
  <c r="F250" i="136"/>
  <c r="E20" i="115"/>
  <c r="E29" i="115" s="1"/>
  <c r="E32" i="115" s="1"/>
  <c r="E57" i="115" s="1"/>
  <c r="F228" i="136"/>
  <c r="F231" i="136" s="1"/>
  <c r="F253" i="136" s="1"/>
  <c r="F134" i="98"/>
  <c r="J11" i="115" s="1"/>
  <c r="J32" i="115" s="1"/>
  <c r="F89" i="98"/>
  <c r="E12" i="49"/>
  <c r="E778" i="44"/>
  <c r="G778" i="44" s="1"/>
  <c r="F138" i="98" l="1"/>
  <c r="F140" i="98" s="1"/>
  <c r="F95" i="98"/>
  <c r="J36" i="115"/>
  <c r="J46" i="115" s="1"/>
  <c r="J57" i="115" s="1"/>
  <c r="F135" i="98"/>
  <c r="E57" i="98"/>
  <c r="G57" i="98" s="1"/>
  <c r="E71" i="48"/>
  <c r="G71" i="48" s="1"/>
  <c r="E449" i="135"/>
  <c r="E379" i="135"/>
  <c r="G379" i="135" s="1"/>
  <c r="F147" i="98" l="1"/>
  <c r="E21" i="49"/>
  <c r="E16" i="48"/>
  <c r="E15" i="48" s="1"/>
  <c r="G15" i="48" s="1"/>
  <c r="E40" i="48"/>
  <c r="G40" i="48" s="1"/>
  <c r="E38" i="48"/>
  <c r="D41" i="48"/>
  <c r="D45" i="48" s="1"/>
  <c r="E41" i="48"/>
  <c r="G41" i="48" s="1"/>
  <c r="E28" i="48"/>
  <c r="E87" i="47"/>
  <c r="E57" i="47"/>
  <c r="E55" i="47"/>
  <c r="G55" i="47" s="1"/>
  <c r="E75" i="47"/>
  <c r="G75" i="47" s="1"/>
  <c r="E71" i="47"/>
  <c r="G71" i="47" s="1"/>
  <c r="E67" i="47"/>
  <c r="G67" i="47" s="1"/>
  <c r="E66" i="47"/>
  <c r="G66" i="47" s="1"/>
  <c r="E48" i="47"/>
  <c r="E47" i="47"/>
  <c r="G47" i="47" s="1"/>
  <c r="E42" i="47"/>
  <c r="G42" i="47" s="1"/>
  <c r="E37" i="47"/>
  <c r="G37" i="47" s="1"/>
  <c r="E36" i="47"/>
  <c r="G36" i="47" s="1"/>
  <c r="E35" i="47"/>
  <c r="E21" i="47"/>
  <c r="G21" i="47" s="1"/>
  <c r="E24" i="47"/>
  <c r="G24" i="47" s="1"/>
  <c r="E42" i="125"/>
  <c r="G42" i="125" s="1"/>
  <c r="E786" i="44"/>
  <c r="G786" i="44" s="1"/>
  <c r="E785" i="44"/>
  <c r="G785" i="44" s="1"/>
  <c r="E784" i="44"/>
  <c r="G784" i="44" s="1"/>
  <c r="E776" i="44"/>
  <c r="G776" i="44" s="1"/>
  <c r="E777" i="44"/>
  <c r="G777" i="44" s="1"/>
  <c r="E770" i="44"/>
  <c r="G770" i="44" s="1"/>
  <c r="E732" i="44"/>
  <c r="G732" i="44" s="1"/>
  <c r="E655" i="44"/>
  <c r="G655" i="44" s="1"/>
  <c r="E558" i="44"/>
  <c r="G558" i="44" s="1"/>
  <c r="E542" i="44"/>
  <c r="G542" i="44" s="1"/>
  <c r="E534" i="44"/>
  <c r="G534" i="44" s="1"/>
  <c r="E526" i="44"/>
  <c r="G526" i="44" s="1"/>
  <c r="E518" i="44"/>
  <c r="G518" i="44" s="1"/>
  <c r="E510" i="44"/>
  <c r="G510" i="44" s="1"/>
  <c r="E475" i="44"/>
  <c r="G475" i="44" s="1"/>
  <c r="E447" i="44"/>
  <c r="G447" i="44" s="1"/>
  <c r="E396" i="44"/>
  <c r="E392" i="44"/>
  <c r="G392" i="44" s="1"/>
  <c r="E275" i="44"/>
  <c r="G275" i="44" s="1"/>
  <c r="E273" i="44"/>
  <c r="G273" i="44" s="1"/>
  <c r="E271" i="44"/>
  <c r="G271" i="44" s="1"/>
  <c r="E259" i="44"/>
  <c r="G259" i="44" s="1"/>
  <c r="E257" i="44"/>
  <c r="G257" i="44" s="1"/>
  <c r="E202" i="44"/>
  <c r="G202" i="44" s="1"/>
  <c r="E196" i="44"/>
  <c r="G196" i="44" s="1"/>
  <c r="E185" i="44"/>
  <c r="G185" i="44" s="1"/>
  <c r="E187" i="44"/>
  <c r="G187" i="44" s="1"/>
  <c r="E96" i="44"/>
  <c r="G96" i="44" s="1"/>
  <c r="E345" i="135"/>
  <c r="G345" i="135" s="1"/>
  <c r="E206" i="135"/>
  <c r="G206" i="135" s="1"/>
  <c r="E24" i="48"/>
  <c r="E21" i="48"/>
  <c r="G21" i="48" s="1"/>
  <c r="E79" i="47"/>
  <c r="G79" i="47" s="1"/>
  <c r="E10" i="125"/>
  <c r="G10" i="125" s="1"/>
  <c r="E647" i="44"/>
  <c r="G647" i="44" s="1"/>
  <c r="E428" i="44"/>
  <c r="G428" i="44" s="1"/>
  <c r="E427" i="44"/>
  <c r="G427" i="44" s="1"/>
  <c r="E249" i="44"/>
  <c r="G249" i="44" s="1"/>
  <c r="E248" i="44"/>
  <c r="G248" i="44" s="1"/>
  <c r="E247" i="44"/>
  <c r="G247" i="44" s="1"/>
  <c r="E160" i="44"/>
  <c r="G160" i="44" s="1"/>
  <c r="G38" i="48" l="1"/>
  <c r="E45" i="48"/>
  <c r="G45" i="48" s="1"/>
  <c r="E26" i="48"/>
  <c r="G26" i="48" s="1"/>
  <c r="G28" i="48"/>
  <c r="E101" i="47"/>
  <c r="G101" i="47" s="1"/>
  <c r="G87" i="47"/>
  <c r="E97" i="47"/>
  <c r="G97" i="47" s="1"/>
  <c r="E34" i="47"/>
  <c r="G34" i="47" s="1"/>
  <c r="G35" i="47"/>
  <c r="G24" i="48"/>
  <c r="E65" i="48"/>
  <c r="G65" i="48" s="1"/>
  <c r="E144" i="44"/>
  <c r="G144" i="44" s="1"/>
  <c r="E109" i="44"/>
  <c r="G109" i="44" s="1"/>
  <c r="E413" i="135"/>
  <c r="G413" i="135" s="1"/>
  <c r="E397" i="135"/>
  <c r="G397" i="135" s="1"/>
  <c r="E389" i="135"/>
  <c r="G389" i="135" s="1"/>
  <c r="E371" i="135"/>
  <c r="G371" i="135" s="1"/>
  <c r="E378" i="135"/>
  <c r="G378" i="135" s="1"/>
  <c r="E377" i="135"/>
  <c r="G377" i="135" s="1"/>
  <c r="E649" i="135"/>
  <c r="G649" i="135" s="1"/>
  <c r="E614" i="135"/>
  <c r="G614" i="135" s="1"/>
  <c r="E611" i="135"/>
  <c r="G611" i="135" s="1"/>
  <c r="E610" i="135"/>
  <c r="G610" i="135" s="1"/>
  <c r="E539" i="135"/>
  <c r="G539" i="135" s="1"/>
  <c r="E537" i="135"/>
  <c r="G537" i="135" s="1"/>
  <c r="E538" i="135"/>
  <c r="G538" i="135" s="1"/>
  <c r="E532" i="135"/>
  <c r="G532" i="135" s="1"/>
  <c r="E503" i="135"/>
  <c r="G503" i="135" s="1"/>
  <c r="E502" i="135"/>
  <c r="G502" i="135" s="1"/>
  <c r="E496" i="135"/>
  <c r="G496" i="135" s="1"/>
  <c r="E411" i="135"/>
  <c r="E412" i="135"/>
  <c r="E394" i="135"/>
  <c r="G394" i="135" s="1"/>
  <c r="E395" i="135"/>
  <c r="G395" i="135" s="1"/>
  <c r="E418" i="135"/>
  <c r="E308" i="135"/>
  <c r="G308" i="135" s="1"/>
  <c r="E240" i="135"/>
  <c r="G240" i="135" s="1"/>
  <c r="E33" i="135"/>
  <c r="G33" i="135" s="1"/>
  <c r="E32" i="135"/>
  <c r="G32" i="135" s="1"/>
  <c r="E27" i="135"/>
  <c r="G27" i="135" s="1"/>
  <c r="E97" i="98"/>
  <c r="G97" i="98" s="1"/>
  <c r="E68" i="98"/>
  <c r="G68" i="98" s="1"/>
  <c r="E64" i="98"/>
  <c r="G64" i="98" s="1"/>
  <c r="E62" i="98"/>
  <c r="G62" i="98" s="1"/>
  <c r="E136" i="44"/>
  <c r="G136" i="44" s="1"/>
  <c r="E441" i="135"/>
  <c r="E332" i="135"/>
  <c r="G332" i="135" s="1"/>
  <c r="E319" i="135"/>
  <c r="G319" i="135" s="1"/>
  <c r="E562" i="135"/>
  <c r="E297" i="135"/>
  <c r="G297" i="135" s="1"/>
  <c r="E229" i="135"/>
  <c r="G229" i="135" s="1"/>
  <c r="E363" i="135"/>
  <c r="G363" i="135" s="1"/>
  <c r="E361" i="135"/>
  <c r="G361" i="135" s="1"/>
  <c r="E111" i="136"/>
  <c r="G111" i="136" s="1"/>
  <c r="E86" i="136"/>
  <c r="E19" i="136"/>
  <c r="G19" i="136" s="1"/>
  <c r="E14" i="136"/>
  <c r="G14" i="136" s="1"/>
  <c r="E13" i="136"/>
  <c r="G13" i="136" s="1"/>
  <c r="E12" i="136"/>
  <c r="G12" i="136" s="1"/>
  <c r="E696" i="135" l="1"/>
  <c r="G696" i="135" s="1"/>
  <c r="G441" i="135"/>
  <c r="E709" i="135"/>
  <c r="G709" i="135" s="1"/>
  <c r="G562" i="135"/>
  <c r="E92" i="136"/>
  <c r="G92" i="136" s="1"/>
  <c r="E442" i="135"/>
  <c r="G442" i="135" s="1"/>
  <c r="D149" i="141"/>
  <c r="E75" i="98"/>
  <c r="G75" i="98" s="1"/>
  <c r="E616" i="135" l="1"/>
  <c r="G616" i="135" s="1"/>
  <c r="E40" i="125" l="1"/>
  <c r="G40" i="125" s="1"/>
  <c r="F244" i="146" l="1"/>
  <c r="K46" i="138"/>
  <c r="K45" i="138"/>
  <c r="K44" i="138"/>
  <c r="K43" i="138"/>
  <c r="K31" i="138"/>
  <c r="K30" i="138"/>
  <c r="K22" i="138"/>
  <c r="K13" i="138"/>
  <c r="K12" i="138"/>
  <c r="K11" i="138"/>
  <c r="K40" i="138" s="1"/>
  <c r="I12" i="115"/>
  <c r="D8" i="115"/>
  <c r="K41" i="138" l="1"/>
  <c r="K42" i="138"/>
  <c r="K47" i="138"/>
  <c r="E249" i="136"/>
  <c r="E248" i="136"/>
  <c r="G248" i="136" s="1"/>
  <c r="E243" i="136"/>
  <c r="E241" i="136"/>
  <c r="E234" i="136"/>
  <c r="E233" i="136"/>
  <c r="E232" i="136"/>
  <c r="E222" i="136"/>
  <c r="E219" i="136"/>
  <c r="E213" i="136"/>
  <c r="E212" i="136"/>
  <c r="E210" i="136"/>
  <c r="E209" i="136"/>
  <c r="E190" i="136"/>
  <c r="E181" i="136"/>
  <c r="E160" i="136"/>
  <c r="E156" i="136"/>
  <c r="E153" i="136"/>
  <c r="G153" i="136" s="1"/>
  <c r="E149" i="136"/>
  <c r="E128" i="136"/>
  <c r="G128" i="136" s="1"/>
  <c r="E127" i="136"/>
  <c r="G127" i="136" s="1"/>
  <c r="E123" i="136"/>
  <c r="G123" i="136" s="1"/>
  <c r="E114" i="136"/>
  <c r="G114" i="136" s="1"/>
  <c r="E109" i="136"/>
  <c r="G109" i="136" s="1"/>
  <c r="E105" i="136"/>
  <c r="G105" i="136" s="1"/>
  <c r="E94" i="136"/>
  <c r="G94" i="136" s="1"/>
  <c r="E235" i="136"/>
  <c r="E79" i="136"/>
  <c r="G79" i="136" s="1"/>
  <c r="E67" i="136"/>
  <c r="E66" i="136"/>
  <c r="G66" i="136" s="1"/>
  <c r="E61" i="136"/>
  <c r="G61" i="136" s="1"/>
  <c r="E55" i="136"/>
  <c r="G55" i="136" s="1"/>
  <c r="E45" i="136"/>
  <c r="G45" i="136" s="1"/>
  <c r="E37" i="136"/>
  <c r="E28" i="136"/>
  <c r="E24" i="136"/>
  <c r="E11" i="136"/>
  <c r="G11" i="136" s="1"/>
  <c r="E145" i="98"/>
  <c r="E143" i="98"/>
  <c r="E141" i="98"/>
  <c r="G141" i="98" s="1"/>
  <c r="E123" i="98"/>
  <c r="E107" i="98"/>
  <c r="G107" i="98" s="1"/>
  <c r="E78" i="98"/>
  <c r="G78" i="98" s="1"/>
  <c r="E72" i="98"/>
  <c r="E70" i="98"/>
  <c r="G70" i="98" s="1"/>
  <c r="E54" i="98"/>
  <c r="E52" i="98"/>
  <c r="E51" i="98"/>
  <c r="E45" i="98"/>
  <c r="E44" i="98"/>
  <c r="G44" i="98" s="1"/>
  <c r="E43" i="98"/>
  <c r="E42" i="98"/>
  <c r="E16" i="98"/>
  <c r="E726" i="135"/>
  <c r="E712" i="135"/>
  <c r="E193" i="136" s="1"/>
  <c r="E711" i="135"/>
  <c r="E714" i="135" s="1"/>
  <c r="E698" i="135"/>
  <c r="E169" i="136" s="1"/>
  <c r="E697" i="135"/>
  <c r="G697" i="135" s="1"/>
  <c r="E692" i="135"/>
  <c r="G692" i="135" s="1"/>
  <c r="E685" i="135"/>
  <c r="E678" i="135"/>
  <c r="E662" i="135"/>
  <c r="E661" i="135"/>
  <c r="G661" i="135" s="1"/>
  <c r="E656" i="135"/>
  <c r="G656" i="135" s="1"/>
  <c r="E648" i="135"/>
  <c r="G648" i="135" s="1"/>
  <c r="E647" i="135"/>
  <c r="E642" i="135"/>
  <c r="E626" i="135"/>
  <c r="G626" i="135" s="1"/>
  <c r="E620" i="135"/>
  <c r="G620" i="135" s="1"/>
  <c r="E612" i="135"/>
  <c r="G612" i="135" s="1"/>
  <c r="E605" i="135"/>
  <c r="E595" i="135"/>
  <c r="G595" i="135" s="1"/>
  <c r="E591" i="135"/>
  <c r="E581" i="135"/>
  <c r="E578" i="135"/>
  <c r="E577" i="135"/>
  <c r="G577" i="135" s="1"/>
  <c r="E574" i="135"/>
  <c r="G574" i="135" s="1"/>
  <c r="E571" i="135"/>
  <c r="E572" i="135" s="1"/>
  <c r="E569" i="135"/>
  <c r="G569" i="135" s="1"/>
  <c r="E567" i="135"/>
  <c r="E566" i="135"/>
  <c r="G566" i="135" s="1"/>
  <c r="E564" i="135"/>
  <c r="E565" i="135" s="1"/>
  <c r="E560" i="135"/>
  <c r="E559" i="135"/>
  <c r="E558" i="135"/>
  <c r="E557" i="135"/>
  <c r="G557" i="135" s="1"/>
  <c r="E556" i="135"/>
  <c r="G556" i="135" s="1"/>
  <c r="E553" i="135"/>
  <c r="G553" i="135" s="1"/>
  <c r="E543" i="135"/>
  <c r="G543" i="135" s="1"/>
  <c r="E575" i="135"/>
  <c r="G575" i="135" s="1"/>
  <c r="E542" i="135"/>
  <c r="E533" i="135"/>
  <c r="G533" i="135" s="1"/>
  <c r="E568" i="135"/>
  <c r="G568" i="135" s="1"/>
  <c r="E526" i="135"/>
  <c r="E508" i="135"/>
  <c r="G508" i="135" s="1"/>
  <c r="E504" i="135"/>
  <c r="E498" i="135"/>
  <c r="G498" i="135" s="1"/>
  <c r="E481" i="135"/>
  <c r="E470" i="135"/>
  <c r="G470" i="135" s="1"/>
  <c r="E469" i="135"/>
  <c r="E461" i="135"/>
  <c r="G461" i="135" s="1"/>
  <c r="E459" i="135"/>
  <c r="E457" i="135"/>
  <c r="E451" i="135"/>
  <c r="G451" i="135" s="1"/>
  <c r="E450" i="135"/>
  <c r="E446" i="135"/>
  <c r="E444" i="135"/>
  <c r="G444" i="135" s="1"/>
  <c r="E416" i="135"/>
  <c r="E403" i="135"/>
  <c r="E382" i="135"/>
  <c r="G382" i="135" s="1"/>
  <c r="E373" i="135"/>
  <c r="G373" i="135" s="1"/>
  <c r="E448" i="135"/>
  <c r="G448" i="135" s="1"/>
  <c r="E360" i="135"/>
  <c r="E358" i="135"/>
  <c r="E338" i="135"/>
  <c r="E463" i="135" s="1"/>
  <c r="E335" i="135"/>
  <c r="E312" i="135"/>
  <c r="G312" i="135" s="1"/>
  <c r="E307" i="135"/>
  <c r="G307" i="135" s="1"/>
  <c r="E306" i="135"/>
  <c r="G306" i="135" s="1"/>
  <c r="E301" i="135"/>
  <c r="G301" i="135" s="1"/>
  <c r="E278" i="135"/>
  <c r="G278" i="135" s="1"/>
  <c r="E274" i="135"/>
  <c r="G274" i="135" s="1"/>
  <c r="E273" i="135"/>
  <c r="G273" i="135" s="1"/>
  <c r="E272" i="135"/>
  <c r="E270" i="135"/>
  <c r="E267" i="135"/>
  <c r="G267" i="135" s="1"/>
  <c r="E244" i="135"/>
  <c r="G244" i="135" s="1"/>
  <c r="E239" i="135"/>
  <c r="G239" i="135" s="1"/>
  <c r="E238" i="135"/>
  <c r="G238" i="135" s="1"/>
  <c r="E233" i="135"/>
  <c r="G233" i="135" s="1"/>
  <c r="E213" i="135"/>
  <c r="G213" i="135" s="1"/>
  <c r="E205" i="135"/>
  <c r="G205" i="135" s="1"/>
  <c r="E204" i="135"/>
  <c r="G204" i="135" s="1"/>
  <c r="E199" i="135"/>
  <c r="G199" i="135" s="1"/>
  <c r="E176" i="135"/>
  <c r="E172" i="135"/>
  <c r="G172" i="135" s="1"/>
  <c r="E171" i="135"/>
  <c r="G171" i="135" s="1"/>
  <c r="E170" i="135"/>
  <c r="G170" i="135" s="1"/>
  <c r="E165" i="135"/>
  <c r="G165" i="135" s="1"/>
  <c r="E142" i="135"/>
  <c r="E138" i="135"/>
  <c r="G138" i="135" s="1"/>
  <c r="E137" i="135"/>
  <c r="G137" i="135" s="1"/>
  <c r="E136" i="135"/>
  <c r="G136" i="135" s="1"/>
  <c r="E131" i="135"/>
  <c r="G131" i="135" s="1"/>
  <c r="E107" i="135"/>
  <c r="E103" i="135"/>
  <c r="G103" i="135" s="1"/>
  <c r="E102" i="135"/>
  <c r="G102" i="135" s="1"/>
  <c r="E101" i="135"/>
  <c r="G101" i="135" s="1"/>
  <c r="E96" i="135"/>
  <c r="E73" i="135"/>
  <c r="E69" i="135"/>
  <c r="E68" i="135"/>
  <c r="E67" i="135"/>
  <c r="G67" i="135" s="1"/>
  <c r="E62" i="135"/>
  <c r="E38" i="135"/>
  <c r="E34" i="135"/>
  <c r="G34" i="135" s="1"/>
  <c r="E28" i="135"/>
  <c r="E61" i="43"/>
  <c r="E59" i="43"/>
  <c r="E55" i="43"/>
  <c r="E15" i="98" s="1"/>
  <c r="E46" i="43"/>
  <c r="G46" i="43" s="1"/>
  <c r="E43" i="43"/>
  <c r="E33" i="43"/>
  <c r="G33" i="43" s="1"/>
  <c r="E32" i="43"/>
  <c r="G32" i="43" s="1"/>
  <c r="E31" i="43"/>
  <c r="G31" i="43" s="1"/>
  <c r="E26" i="43"/>
  <c r="E23" i="43"/>
  <c r="G23" i="43" s="1"/>
  <c r="E22" i="43"/>
  <c r="G22" i="43" s="1"/>
  <c r="E21" i="43"/>
  <c r="G21" i="43" s="1"/>
  <c r="E12" i="43"/>
  <c r="G12" i="43" s="1"/>
  <c r="E11" i="43"/>
  <c r="G11" i="43" s="1"/>
  <c r="E10" i="43"/>
  <c r="E875" i="44"/>
  <c r="E30" i="98" s="1"/>
  <c r="E860" i="44"/>
  <c r="E851" i="44"/>
  <c r="E847" i="44"/>
  <c r="G847" i="44" s="1"/>
  <c r="E839" i="44"/>
  <c r="G839" i="44" s="1"/>
  <c r="E831" i="44"/>
  <c r="G831" i="44" s="1"/>
  <c r="E823" i="44"/>
  <c r="G823" i="44" s="1"/>
  <c r="E815" i="44"/>
  <c r="G815" i="44" s="1"/>
  <c r="E807" i="44"/>
  <c r="G807" i="44" s="1"/>
  <c r="E795" i="44"/>
  <c r="G795" i="44" s="1"/>
  <c r="E794" i="44"/>
  <c r="G794" i="44" s="1"/>
  <c r="E793" i="44"/>
  <c r="G793" i="44" s="1"/>
  <c r="E788" i="44"/>
  <c r="E782" i="44"/>
  <c r="G782" i="44" s="1"/>
  <c r="E773" i="44"/>
  <c r="E769" i="44"/>
  <c r="G769" i="44" s="1"/>
  <c r="E768" i="44"/>
  <c r="E765" i="44"/>
  <c r="G765" i="44" s="1"/>
  <c r="E757" i="44"/>
  <c r="G757" i="44" s="1"/>
  <c r="E743" i="44"/>
  <c r="E739" i="44"/>
  <c r="G739" i="44" s="1"/>
  <c r="E730" i="44"/>
  <c r="G730" i="44" s="1"/>
  <c r="E721" i="44"/>
  <c r="G721" i="44" s="1"/>
  <c r="E712" i="44"/>
  <c r="G712" i="44" s="1"/>
  <c r="E697" i="44"/>
  <c r="E691" i="44"/>
  <c r="E681" i="44"/>
  <c r="G681" i="44" s="1"/>
  <c r="E680" i="44"/>
  <c r="G680" i="44" s="1"/>
  <c r="E679" i="44"/>
  <c r="E677" i="44"/>
  <c r="G677" i="44" s="1"/>
  <c r="E663" i="44"/>
  <c r="E659" i="44"/>
  <c r="G659" i="44" s="1"/>
  <c r="E651" i="44"/>
  <c r="G651" i="44" s="1"/>
  <c r="E643" i="44"/>
  <c r="G643" i="44" s="1"/>
  <c r="E635" i="44"/>
  <c r="G635" i="44" s="1"/>
  <c r="E623" i="44"/>
  <c r="E619" i="44"/>
  <c r="G619" i="44" s="1"/>
  <c r="E611" i="44"/>
  <c r="G611" i="44" s="1"/>
  <c r="E598" i="44"/>
  <c r="E594" i="44"/>
  <c r="G594" i="44" s="1"/>
  <c r="E585" i="44"/>
  <c r="G585" i="44" s="1"/>
  <c r="E573" i="44"/>
  <c r="E569" i="44"/>
  <c r="G569" i="44" s="1"/>
  <c r="E561" i="44"/>
  <c r="G561" i="44" s="1"/>
  <c r="E553" i="44"/>
  <c r="G553" i="44" s="1"/>
  <c r="E870" i="44"/>
  <c r="E541" i="44"/>
  <c r="G541" i="44" s="1"/>
  <c r="E537" i="44"/>
  <c r="G537" i="44" s="1"/>
  <c r="E529" i="44"/>
  <c r="G529" i="44" s="1"/>
  <c r="E521" i="44"/>
  <c r="G521" i="44" s="1"/>
  <c r="E513" i="44"/>
  <c r="G513" i="44" s="1"/>
  <c r="E502" i="44"/>
  <c r="E492" i="44"/>
  <c r="E488" i="44"/>
  <c r="G488" i="44" s="1"/>
  <c r="E479" i="44"/>
  <c r="G479" i="44" s="1"/>
  <c r="E470" i="44"/>
  <c r="G470" i="44" s="1"/>
  <c r="E459" i="44"/>
  <c r="G459" i="44" s="1"/>
  <c r="E451" i="44"/>
  <c r="G451" i="44" s="1"/>
  <c r="E433" i="44"/>
  <c r="G433" i="44" s="1"/>
  <c r="E424" i="44"/>
  <c r="G424" i="44" s="1"/>
  <c r="E415" i="44"/>
  <c r="E406" i="44"/>
  <c r="G406" i="44" s="1"/>
  <c r="E397" i="44"/>
  <c r="G397" i="44" s="1"/>
  <c r="E388" i="44"/>
  <c r="G388" i="44" s="1"/>
  <c r="E368" i="44"/>
  <c r="E358" i="44"/>
  <c r="E350" i="44"/>
  <c r="E341" i="44"/>
  <c r="E328" i="44"/>
  <c r="E323" i="44"/>
  <c r="G323" i="44" s="1"/>
  <c r="E314" i="44"/>
  <c r="G314" i="44" s="1"/>
  <c r="E301" i="44"/>
  <c r="E293" i="44"/>
  <c r="E289" i="44"/>
  <c r="G289" i="44" s="1"/>
  <c r="E278" i="44"/>
  <c r="G278" i="44" s="1"/>
  <c r="E272" i="44"/>
  <c r="G272" i="44" s="1"/>
  <c r="E279" i="44"/>
  <c r="G279" i="44" s="1"/>
  <c r="E265" i="44"/>
  <c r="E261" i="44"/>
  <c r="G261" i="44" s="1"/>
  <c r="E253" i="44"/>
  <c r="G253" i="44" s="1"/>
  <c r="E238" i="44"/>
  <c r="G238" i="44" s="1"/>
  <c r="E237" i="44"/>
  <c r="G237" i="44" s="1"/>
  <c r="E236" i="44"/>
  <c r="E228" i="44"/>
  <c r="E219" i="44"/>
  <c r="E212" i="44"/>
  <c r="E201" i="44"/>
  <c r="G201" i="44" s="1"/>
  <c r="E200" i="44"/>
  <c r="E184" i="44"/>
  <c r="G184" i="44" s="1"/>
  <c r="E183" i="44"/>
  <c r="E181" i="44"/>
  <c r="G181" i="44" s="1"/>
  <c r="E172" i="44"/>
  <c r="G172" i="44" s="1"/>
  <c r="E164" i="44"/>
  <c r="G164" i="44" s="1"/>
  <c r="E152" i="44"/>
  <c r="E148" i="44"/>
  <c r="G148" i="44" s="1"/>
  <c r="E140" i="44"/>
  <c r="G140" i="44" s="1"/>
  <c r="E127" i="44"/>
  <c r="E119" i="44"/>
  <c r="E115" i="44"/>
  <c r="G115" i="44" s="1"/>
  <c r="E101" i="44"/>
  <c r="E97" i="44"/>
  <c r="G97" i="44" s="1"/>
  <c r="E876" i="44"/>
  <c r="G876" i="44" s="1"/>
  <c r="E84" i="44"/>
  <c r="G84" i="44" s="1"/>
  <c r="E83" i="44"/>
  <c r="E74" i="44"/>
  <c r="E66" i="44"/>
  <c r="G66" i="44" s="1"/>
  <c r="E56" i="44"/>
  <c r="E47" i="44"/>
  <c r="E38" i="44"/>
  <c r="E29" i="44"/>
  <c r="E21" i="44"/>
  <c r="E17" i="44"/>
  <c r="E71" i="125"/>
  <c r="G71" i="125" s="1"/>
  <c r="E63" i="125"/>
  <c r="G63" i="125" s="1"/>
  <c r="E46" i="125"/>
  <c r="E45" i="125"/>
  <c r="E37" i="125"/>
  <c r="G37" i="125" s="1"/>
  <c r="E29" i="125"/>
  <c r="G29" i="125" s="1"/>
  <c r="E22" i="125"/>
  <c r="E20" i="125"/>
  <c r="E19" i="125"/>
  <c r="G19" i="125" s="1"/>
  <c r="E16" i="125"/>
  <c r="E13" i="125"/>
  <c r="E11" i="125"/>
  <c r="G11" i="125" s="1"/>
  <c r="E39" i="43" l="1"/>
  <c r="G39" i="43" s="1"/>
  <c r="E54" i="43"/>
  <c r="E53" i="43"/>
  <c r="E52" i="43"/>
  <c r="E799" i="44"/>
  <c r="G799" i="44" s="1"/>
  <c r="E868" i="44"/>
  <c r="E869" i="44"/>
  <c r="E146" i="98"/>
  <c r="G146" i="98" s="1"/>
  <c r="I54" i="115"/>
  <c r="I55" i="115" s="1"/>
  <c r="G145" i="98"/>
  <c r="G143" i="98"/>
  <c r="I48" i="115"/>
  <c r="G62" i="135"/>
  <c r="E63" i="135"/>
  <c r="E19" i="98"/>
  <c r="G19" i="98" s="1"/>
  <c r="G61" i="43"/>
  <c r="E18" i="98"/>
  <c r="G18" i="98" s="1"/>
  <c r="G59" i="43"/>
  <c r="E49" i="43"/>
  <c r="G49" i="43" s="1"/>
  <c r="G43" i="43"/>
  <c r="E60" i="43"/>
  <c r="G26" i="43"/>
  <c r="E18" i="43"/>
  <c r="G10" i="43"/>
  <c r="G860" i="44"/>
  <c r="E864" i="44"/>
  <c r="G864" i="44" s="1"/>
  <c r="G851" i="44"/>
  <c r="E856" i="44"/>
  <c r="G856" i="44" s="1"/>
  <c r="G788" i="44"/>
  <c r="E791" i="44"/>
  <c r="G791" i="44" s="1"/>
  <c r="E874" i="44"/>
  <c r="G773" i="44"/>
  <c r="E774" i="44"/>
  <c r="G774" i="44" s="1"/>
  <c r="G768" i="44"/>
  <c r="E748" i="44"/>
  <c r="G743" i="44"/>
  <c r="E701" i="44"/>
  <c r="G701" i="44" s="1"/>
  <c r="G697" i="44"/>
  <c r="G691" i="44"/>
  <c r="E693" i="44"/>
  <c r="G693" i="44" s="1"/>
  <c r="E871" i="44"/>
  <c r="G871" i="44" s="1"/>
  <c r="E685" i="44"/>
  <c r="G685" i="44" s="1"/>
  <c r="G679" i="44"/>
  <c r="E668" i="44"/>
  <c r="G668" i="44" s="1"/>
  <c r="G663" i="44"/>
  <c r="E627" i="44"/>
  <c r="G627" i="44" s="1"/>
  <c r="G623" i="44"/>
  <c r="E603" i="44"/>
  <c r="G603" i="44" s="1"/>
  <c r="G598" i="44"/>
  <c r="E577" i="44"/>
  <c r="G577" i="44" s="1"/>
  <c r="G573" i="44"/>
  <c r="E27" i="98"/>
  <c r="G27" i="98" s="1"/>
  <c r="G870" i="44"/>
  <c r="E505" i="44"/>
  <c r="G505" i="44" s="1"/>
  <c r="G502" i="44"/>
  <c r="E497" i="44"/>
  <c r="G497" i="44" s="1"/>
  <c r="G492" i="44"/>
  <c r="E372" i="44"/>
  <c r="G372" i="44" s="1"/>
  <c r="G368" i="44"/>
  <c r="G358" i="44"/>
  <c r="E362" i="44"/>
  <c r="G362" i="44" s="1"/>
  <c r="E354" i="44"/>
  <c r="G354" i="44" s="1"/>
  <c r="G350" i="44"/>
  <c r="G341" i="44"/>
  <c r="E345" i="44"/>
  <c r="G345" i="44" s="1"/>
  <c r="E334" i="44"/>
  <c r="G334" i="44" s="1"/>
  <c r="G328" i="44"/>
  <c r="G301" i="44"/>
  <c r="E305" i="44"/>
  <c r="G305" i="44" s="1"/>
  <c r="E297" i="44"/>
  <c r="G297" i="44" s="1"/>
  <c r="G293" i="44"/>
  <c r="E269" i="44"/>
  <c r="G269" i="44" s="1"/>
  <c r="G265" i="44"/>
  <c r="E242" i="44"/>
  <c r="G242" i="44" s="1"/>
  <c r="G236" i="44"/>
  <c r="E233" i="44"/>
  <c r="G233" i="44" s="1"/>
  <c r="G228" i="44"/>
  <c r="E224" i="44"/>
  <c r="G224" i="44" s="1"/>
  <c r="G219" i="44"/>
  <c r="G212" i="44"/>
  <c r="E215" i="44"/>
  <c r="G215" i="44" s="1"/>
  <c r="E206" i="44"/>
  <c r="G206" i="44" s="1"/>
  <c r="G200" i="44"/>
  <c r="E190" i="44"/>
  <c r="G190" i="44" s="1"/>
  <c r="G183" i="44"/>
  <c r="G152" i="44"/>
  <c r="E156" i="44"/>
  <c r="G156" i="44" s="1"/>
  <c r="G127" i="44"/>
  <c r="E131" i="44"/>
  <c r="G131" i="44" s="1"/>
  <c r="E123" i="44"/>
  <c r="G123" i="44" s="1"/>
  <c r="G119" i="44"/>
  <c r="E105" i="44"/>
  <c r="G105" i="44" s="1"/>
  <c r="G101" i="44"/>
  <c r="G83" i="44"/>
  <c r="E87" i="44"/>
  <c r="E78" i="44"/>
  <c r="G78" i="44" s="1"/>
  <c r="G74" i="44"/>
  <c r="E61" i="44"/>
  <c r="G61" i="44" s="1"/>
  <c r="G56" i="44"/>
  <c r="E52" i="44"/>
  <c r="G52" i="44" s="1"/>
  <c r="G47" i="44"/>
  <c r="E43" i="44"/>
  <c r="G43" i="44" s="1"/>
  <c r="G38" i="44"/>
  <c r="E34" i="44"/>
  <c r="G34" i="44" s="1"/>
  <c r="G29" i="44"/>
  <c r="E25" i="44"/>
  <c r="G25" i="44" s="1"/>
  <c r="G21" i="44"/>
  <c r="E37" i="135"/>
  <c r="G37" i="135" s="1"/>
  <c r="E511" i="135"/>
  <c r="G511" i="135" s="1"/>
  <c r="E238" i="136"/>
  <c r="G238" i="136" s="1"/>
  <c r="E200" i="135"/>
  <c r="E203" i="135" s="1"/>
  <c r="G203" i="135" s="1"/>
  <c r="E247" i="135"/>
  <c r="G247" i="135" s="1"/>
  <c r="E281" i="135"/>
  <c r="G281" i="135" s="1"/>
  <c r="E339" i="135"/>
  <c r="E268" i="135"/>
  <c r="E271" i="135" s="1"/>
  <c r="G271" i="135" s="1"/>
  <c r="E302" i="135"/>
  <c r="E305" i="135" s="1"/>
  <c r="G305" i="135" s="1"/>
  <c r="E277" i="135"/>
  <c r="G272" i="135"/>
  <c r="E652" i="135"/>
  <c r="G647" i="135"/>
  <c r="E671" i="135"/>
  <c r="G671" i="135" s="1"/>
  <c r="G662" i="135"/>
  <c r="E117" i="98"/>
  <c r="G117" i="98" s="1"/>
  <c r="G726" i="135"/>
  <c r="E31" i="135"/>
  <c r="G31" i="135" s="1"/>
  <c r="G28" i="135"/>
  <c r="E343" i="135"/>
  <c r="G69" i="135"/>
  <c r="E132" i="135"/>
  <c r="E145" i="135"/>
  <c r="G145" i="135" s="1"/>
  <c r="G142" i="135"/>
  <c r="E445" i="135"/>
  <c r="G445" i="135" s="1"/>
  <c r="G358" i="135"/>
  <c r="E702" i="135"/>
  <c r="G702" i="135" s="1"/>
  <c r="G446" i="135"/>
  <c r="E716" i="135"/>
  <c r="E552" i="135"/>
  <c r="G481" i="135"/>
  <c r="E546" i="135"/>
  <c r="G546" i="135" s="1"/>
  <c r="E705" i="135"/>
  <c r="G705" i="135" s="1"/>
  <c r="G558" i="135"/>
  <c r="E590" i="135"/>
  <c r="G591" i="135"/>
  <c r="E679" i="135"/>
  <c r="G679" i="135" s="1"/>
  <c r="G678" i="135"/>
  <c r="E41" i="135"/>
  <c r="G41" i="135" s="1"/>
  <c r="G38" i="135"/>
  <c r="E76" i="135"/>
  <c r="G76" i="135" s="1"/>
  <c r="G73" i="135"/>
  <c r="E179" i="135"/>
  <c r="G179" i="135" s="1"/>
  <c r="G176" i="135"/>
  <c r="G302" i="135"/>
  <c r="E458" i="135"/>
  <c r="G458" i="135" s="1"/>
  <c r="G335" i="135"/>
  <c r="E447" i="135"/>
  <c r="G447" i="135" s="1"/>
  <c r="G360" i="135"/>
  <c r="E383" i="135"/>
  <c r="G383" i="135" s="1"/>
  <c r="G403" i="135"/>
  <c r="G542" i="135"/>
  <c r="E706" i="135"/>
  <c r="E688" i="135"/>
  <c r="G685" i="135"/>
  <c r="E72" i="135"/>
  <c r="G72" i="135" s="1"/>
  <c r="G68" i="135"/>
  <c r="E576" i="135"/>
  <c r="G576" i="135" s="1"/>
  <c r="G504" i="135"/>
  <c r="E66" i="135"/>
  <c r="G66" i="135" s="1"/>
  <c r="G63" i="135"/>
  <c r="E97" i="135"/>
  <c r="G96" i="135"/>
  <c r="E110" i="135"/>
  <c r="G110" i="135" s="1"/>
  <c r="G107" i="135"/>
  <c r="E473" i="135"/>
  <c r="G473" i="135" s="1"/>
  <c r="G416" i="135"/>
  <c r="E507" i="135"/>
  <c r="E528" i="135"/>
  <c r="G528" i="135" s="1"/>
  <c r="G526" i="135"/>
  <c r="E606" i="135"/>
  <c r="G606" i="135" s="1"/>
  <c r="G605" i="135"/>
  <c r="E643" i="135"/>
  <c r="G643" i="135" s="1"/>
  <c r="G642" i="135"/>
  <c r="E31" i="136"/>
  <c r="G37" i="136"/>
  <c r="E182" i="136"/>
  <c r="G182" i="136" s="1"/>
  <c r="G181" i="136"/>
  <c r="G241" i="136"/>
  <c r="D43" i="115"/>
  <c r="D10" i="115"/>
  <c r="D51" i="115"/>
  <c r="E10" i="136"/>
  <c r="E112" i="136"/>
  <c r="G112" i="136" s="1"/>
  <c r="D33" i="115"/>
  <c r="E215" i="136"/>
  <c r="G24" i="136"/>
  <c r="G67" i="136"/>
  <c r="E98" i="136"/>
  <c r="G98" i="136" s="1"/>
  <c r="E137" i="136"/>
  <c r="G156" i="136"/>
  <c r="F100" i="98" s="1"/>
  <c r="E103" i="98"/>
  <c r="E239" i="136"/>
  <c r="D12" i="115"/>
  <c r="G213" i="136"/>
  <c r="D34" i="115"/>
  <c r="G28" i="136"/>
  <c r="D36" i="115"/>
  <c r="G160" i="136"/>
  <c r="D22" i="115"/>
  <c r="D11" i="115"/>
  <c r="E27" i="136"/>
  <c r="E157" i="136"/>
  <c r="G157" i="136" s="1"/>
  <c r="D19" i="115"/>
  <c r="D35" i="115"/>
  <c r="G16" i="125"/>
  <c r="E66" i="125"/>
  <c r="G66" i="125" s="1"/>
  <c r="G46" i="125"/>
  <c r="G20" i="125"/>
  <c r="E67" i="125"/>
  <c r="E69" i="125"/>
  <c r="G69" i="125" s="1"/>
  <c r="G13" i="125"/>
  <c r="E18" i="125"/>
  <c r="G22" i="125"/>
  <c r="E72" i="125"/>
  <c r="E44" i="125"/>
  <c r="G45" i="125"/>
  <c r="E38" i="98"/>
  <c r="G38" i="98" s="1"/>
  <c r="E35" i="98"/>
  <c r="G35" i="98" s="1"/>
  <c r="E701" i="135"/>
  <c r="G701" i="135" s="1"/>
  <c r="E720" i="135"/>
  <c r="E464" i="135"/>
  <c r="E336" i="135"/>
  <c r="G336" i="135" s="1"/>
  <c r="E234" i="135"/>
  <c r="G234" i="135" s="1"/>
  <c r="E42" i="135"/>
  <c r="G42" i="135" s="1"/>
  <c r="E106" i="135"/>
  <c r="G106" i="135" s="1"/>
  <c r="E166" i="135"/>
  <c r="G166" i="135" s="1"/>
  <c r="E209" i="135"/>
  <c r="E243" i="135"/>
  <c r="G243" i="135" s="1"/>
  <c r="E347" i="135"/>
  <c r="G347" i="135" s="1"/>
  <c r="E356" i="135"/>
  <c r="G356" i="135" s="1"/>
  <c r="E703" i="135"/>
  <c r="E173" i="136"/>
  <c r="E221" i="136" s="1"/>
  <c r="G221" i="136" s="1"/>
  <c r="E187" i="136"/>
  <c r="E342" i="135"/>
  <c r="E443" i="135"/>
  <c r="G443" i="135" s="1"/>
  <c r="E580" i="135"/>
  <c r="G580" i="135" s="1"/>
  <c r="E718" i="135"/>
  <c r="G718" i="135" s="1"/>
  <c r="E727" i="135"/>
  <c r="E176" i="136"/>
  <c r="G176" i="136" s="1"/>
  <c r="E141" i="135"/>
  <c r="G141" i="135" s="1"/>
  <c r="E175" i="135"/>
  <c r="G175" i="135" s="1"/>
  <c r="E311" i="135"/>
  <c r="G311" i="135" s="1"/>
  <c r="E635" i="135"/>
  <c r="G635" i="135" s="1"/>
  <c r="E703" i="44"/>
  <c r="G703" i="44" s="1"/>
  <c r="E86" i="98"/>
  <c r="E379" i="44"/>
  <c r="G379" i="44" s="1"/>
  <c r="E28" i="98"/>
  <c r="G28" i="98" s="1"/>
  <c r="E31" i="98"/>
  <c r="G31" i="98" s="1"/>
  <c r="E877" i="44"/>
  <c r="G877" i="44" s="1"/>
  <c r="E89" i="44"/>
  <c r="G89" i="44" s="1"/>
  <c r="E437" i="135"/>
  <c r="G437" i="135" s="1"/>
  <c r="I47" i="115"/>
  <c r="E132" i="44"/>
  <c r="G132" i="44" s="1"/>
  <c r="E167" i="136"/>
  <c r="E707" i="135"/>
  <c r="G707" i="135" s="1"/>
  <c r="E704" i="135"/>
  <c r="G704" i="135" s="1"/>
  <c r="E700" i="135"/>
  <c r="D48" i="115"/>
  <c r="E194" i="136"/>
  <c r="E188" i="136"/>
  <c r="E208" i="136"/>
  <c r="G208" i="136" s="1"/>
  <c r="E43" i="136"/>
  <c r="G43" i="136" s="1"/>
  <c r="E70" i="136"/>
  <c r="G70" i="136" s="1"/>
  <c r="E115" i="136"/>
  <c r="G115" i="136" s="1"/>
  <c r="E191" i="136"/>
  <c r="E715" i="135"/>
  <c r="G715" i="135" s="1"/>
  <c r="E570" i="135"/>
  <c r="G570" i="135" s="1"/>
  <c r="E579" i="135"/>
  <c r="G579" i="135" s="1"/>
  <c r="E315" i="135"/>
  <c r="G315" i="135" s="1"/>
  <c r="E341" i="135"/>
  <c r="G341" i="135" s="1"/>
  <c r="E490" i="135"/>
  <c r="G490" i="135" s="1"/>
  <c r="E615" i="135"/>
  <c r="G615" i="135" s="1"/>
  <c r="E57" i="43"/>
  <c r="E29" i="43"/>
  <c r="E324" i="44"/>
  <c r="G324" i="44" s="1"/>
  <c r="E337" i="44"/>
  <c r="G337" i="44" s="1"/>
  <c r="E766" i="44"/>
  <c r="G766" i="44" s="1"/>
  <c r="E9" i="44"/>
  <c r="G9" i="44" s="1"/>
  <c r="E234" i="44"/>
  <c r="G234" i="44" s="1"/>
  <c r="E198" i="44"/>
  <c r="G198" i="44" s="1"/>
  <c r="E545" i="44"/>
  <c r="G545" i="44" s="1"/>
  <c r="E867" i="44"/>
  <c r="G867" i="44" s="1"/>
  <c r="E70" i="44"/>
  <c r="E65" i="125"/>
  <c r="G65" i="125" s="1"/>
  <c r="E99" i="47"/>
  <c r="G99" i="47" s="1"/>
  <c r="E85" i="47"/>
  <c r="G85" i="47" s="1"/>
  <c r="E69" i="47"/>
  <c r="G69" i="47" s="1"/>
  <c r="E68" i="47"/>
  <c r="E65" i="47"/>
  <c r="G65" i="47" s="1"/>
  <c r="E58" i="47"/>
  <c r="G58" i="47" s="1"/>
  <c r="E54" i="47"/>
  <c r="G54" i="47" s="1"/>
  <c r="E52" i="47"/>
  <c r="G52" i="47" s="1"/>
  <c r="E46" i="47"/>
  <c r="G46" i="47" s="1"/>
  <c r="E29" i="47"/>
  <c r="G29" i="47" s="1"/>
  <c r="E28" i="47"/>
  <c r="E19" i="47"/>
  <c r="G19" i="47" s="1"/>
  <c r="E16" i="47"/>
  <c r="G16" i="47" s="1"/>
  <c r="E14" i="47"/>
  <c r="G14" i="47" s="1"/>
  <c r="E11" i="47"/>
  <c r="G11" i="47" s="1"/>
  <c r="E14" i="98" l="1"/>
  <c r="G14" i="98" s="1"/>
  <c r="G54" i="43"/>
  <c r="E13" i="98"/>
  <c r="G13" i="98" s="1"/>
  <c r="G53" i="43"/>
  <c r="E12" i="98"/>
  <c r="G52" i="43"/>
  <c r="G868" i="44"/>
  <c r="E25" i="98"/>
  <c r="G869" i="44"/>
  <c r="E26" i="98"/>
  <c r="G26" i="98" s="1"/>
  <c r="G60" i="43"/>
  <c r="E17" i="98"/>
  <c r="G17" i="98" s="1"/>
  <c r="E62" i="43"/>
  <c r="G62" i="43" s="1"/>
  <c r="G18" i="43"/>
  <c r="E8" i="43"/>
  <c r="G8" i="43" s="1"/>
  <c r="E29" i="98"/>
  <c r="G29" i="98" s="1"/>
  <c r="G874" i="44"/>
  <c r="F195" i="146"/>
  <c r="G748" i="44"/>
  <c r="G87" i="44"/>
  <c r="E79" i="44"/>
  <c r="G79" i="44" s="1"/>
  <c r="E63" i="43"/>
  <c r="G57" i="43"/>
  <c r="E19" i="43"/>
  <c r="G19" i="43" s="1"/>
  <c r="G29" i="43"/>
  <c r="E62" i="44"/>
  <c r="G62" i="44" s="1"/>
  <c r="G70" i="44"/>
  <c r="E103" i="47"/>
  <c r="G68" i="47"/>
  <c r="G28" i="47"/>
  <c r="E25" i="47"/>
  <c r="G25" i="47" s="1"/>
  <c r="E536" i="135"/>
  <c r="G536" i="135" s="1"/>
  <c r="E673" i="135"/>
  <c r="G200" i="135"/>
  <c r="G268" i="135"/>
  <c r="E229" i="136"/>
  <c r="G229" i="136" s="1"/>
  <c r="E240" i="136"/>
  <c r="G240" i="136" s="1"/>
  <c r="D39" i="115"/>
  <c r="E107" i="136"/>
  <c r="G107" i="136" s="1"/>
  <c r="E337" i="135"/>
  <c r="E340" i="135" s="1"/>
  <c r="G340" i="135" s="1"/>
  <c r="E472" i="135"/>
  <c r="G472" i="135" s="1"/>
  <c r="E180" i="135"/>
  <c r="G180" i="135" s="1"/>
  <c r="E350" i="135"/>
  <c r="G350" i="135" s="1"/>
  <c r="E467" i="135"/>
  <c r="G342" i="135"/>
  <c r="E77" i="135"/>
  <c r="G77" i="135" s="1"/>
  <c r="E177" i="136"/>
  <c r="G706" i="135"/>
  <c r="E100" i="135"/>
  <c r="G100" i="135" s="1"/>
  <c r="G97" i="135"/>
  <c r="E468" i="135"/>
  <c r="G343" i="135"/>
  <c r="E657" i="135"/>
  <c r="G652" i="135"/>
  <c r="E547" i="135"/>
  <c r="E599" i="135"/>
  <c r="G590" i="135"/>
  <c r="E730" i="135"/>
  <c r="G730" i="135" s="1"/>
  <c r="E699" i="135"/>
  <c r="G699" i="135" s="1"/>
  <c r="G700" i="135"/>
  <c r="E118" i="98"/>
  <c r="G118" i="98" s="1"/>
  <c r="G727" i="135"/>
  <c r="E214" i="135"/>
  <c r="G214" i="135" s="1"/>
  <c r="G209" i="135"/>
  <c r="E512" i="135"/>
  <c r="G507" i="135"/>
  <c r="E693" i="135"/>
  <c r="G688" i="135"/>
  <c r="E561" i="135"/>
  <c r="G552" i="135"/>
  <c r="E135" i="135"/>
  <c r="G135" i="135" s="1"/>
  <c r="G132" i="135"/>
  <c r="E282" i="135"/>
  <c r="G277" i="135"/>
  <c r="E174" i="136"/>
  <c r="E223" i="136" s="1"/>
  <c r="G703" i="135"/>
  <c r="E133" i="98"/>
  <c r="G86" i="98"/>
  <c r="G10" i="136"/>
  <c r="E242" i="136"/>
  <c r="E225" i="136"/>
  <c r="G225" i="136" s="1"/>
  <c r="G174" i="136"/>
  <c r="G137" i="136"/>
  <c r="E142" i="136"/>
  <c r="F142" i="98"/>
  <c r="F104" i="98"/>
  <c r="F109" i="98" s="1"/>
  <c r="E216" i="136"/>
  <c r="G27" i="136"/>
  <c r="D40" i="115"/>
  <c r="G215" i="136"/>
  <c r="D9" i="145"/>
  <c r="D15" i="115"/>
  <c r="E211" i="136"/>
  <c r="G211" i="136" s="1"/>
  <c r="G167" i="136"/>
  <c r="G173" i="136"/>
  <c r="E22" i="136"/>
  <c r="G22" i="136" s="1"/>
  <c r="E236" i="136"/>
  <c r="G103" i="98"/>
  <c r="E217" i="136"/>
  <c r="G31" i="136"/>
  <c r="G44" i="125"/>
  <c r="E49" i="125"/>
  <c r="G49" i="125" s="1"/>
  <c r="G72" i="125"/>
  <c r="E39" i="98"/>
  <c r="G67" i="125"/>
  <c r="E36" i="98"/>
  <c r="G36" i="98" s="1"/>
  <c r="G18" i="125"/>
  <c r="E23" i="125"/>
  <c r="E452" i="135"/>
  <c r="E102" i="98"/>
  <c r="G102" i="98" s="1"/>
  <c r="E172" i="136"/>
  <c r="E583" i="135"/>
  <c r="G583" i="135" s="1"/>
  <c r="E364" i="135"/>
  <c r="G364" i="135" s="1"/>
  <c r="E169" i="135"/>
  <c r="G169" i="135" s="1"/>
  <c r="E237" i="135"/>
  <c r="G237" i="135" s="1"/>
  <c r="E316" i="135"/>
  <c r="G316" i="135" s="1"/>
  <c r="E197" i="136"/>
  <c r="E637" i="135"/>
  <c r="G637" i="135" s="1"/>
  <c r="E111" i="135"/>
  <c r="G111" i="135" s="1"/>
  <c r="E460" i="135"/>
  <c r="G460" i="135" s="1"/>
  <c r="E721" i="135"/>
  <c r="E201" i="136"/>
  <c r="E492" i="135"/>
  <c r="G492" i="135" s="1"/>
  <c r="E146" i="135"/>
  <c r="G146" i="135" s="1"/>
  <c r="E248" i="135"/>
  <c r="G248" i="135" s="1"/>
  <c r="E64" i="47"/>
  <c r="G64" i="47" s="1"/>
  <c r="E443" i="44"/>
  <c r="G443" i="44" s="1"/>
  <c r="E173" i="44"/>
  <c r="G173" i="44" s="1"/>
  <c r="E92" i="47"/>
  <c r="G92" i="47" s="1"/>
  <c r="E46" i="98"/>
  <c r="G46" i="98" s="1"/>
  <c r="E872" i="44"/>
  <c r="E24" i="98"/>
  <c r="E621" i="135"/>
  <c r="G621" i="135" s="1"/>
  <c r="E438" i="135"/>
  <c r="G438" i="135" s="1"/>
  <c r="E346" i="135"/>
  <c r="G346" i="135" s="1"/>
  <c r="E466" i="135"/>
  <c r="G466" i="135" s="1"/>
  <c r="E88" i="44"/>
  <c r="G88" i="44" s="1"/>
  <c r="E584" i="135"/>
  <c r="G584" i="135" s="1"/>
  <c r="E168" i="136"/>
  <c r="G168" i="136" s="1"/>
  <c r="E178" i="136"/>
  <c r="G178" i="136" s="1"/>
  <c r="E175" i="136"/>
  <c r="G175" i="136" s="1"/>
  <c r="E171" i="136"/>
  <c r="G171" i="136" s="1"/>
  <c r="E81" i="136"/>
  <c r="G81" i="136" s="1"/>
  <c r="E214" i="136"/>
  <c r="G214" i="136" s="1"/>
  <c r="D7" i="115"/>
  <c r="D30" i="115"/>
  <c r="D31" i="115" s="1"/>
  <c r="D44" i="115"/>
  <c r="D45" i="115" s="1"/>
  <c r="D21" i="115"/>
  <c r="E34" i="98"/>
  <c r="G34" i="98" s="1"/>
  <c r="E702" i="44"/>
  <c r="G702" i="44" s="1"/>
  <c r="E501" i="135"/>
  <c r="G501" i="135" s="1"/>
  <c r="E475" i="135"/>
  <c r="G475" i="135" s="1"/>
  <c r="E30" i="47"/>
  <c r="G30" i="47" s="1"/>
  <c r="E60" i="48"/>
  <c r="G60" i="48" s="1"/>
  <c r="E54" i="48"/>
  <c r="E47" i="48"/>
  <c r="G47" i="48" s="1"/>
  <c r="E25" i="48"/>
  <c r="G25" i="48" s="1"/>
  <c r="E23" i="48"/>
  <c r="G23" i="48" s="1"/>
  <c r="E14" i="48"/>
  <c r="E20" i="49"/>
  <c r="I13" i="115" s="1"/>
  <c r="E16" i="49"/>
  <c r="E11" i="98" l="1"/>
  <c r="G11" i="98" s="1"/>
  <c r="G12" i="98"/>
  <c r="G63" i="43"/>
  <c r="E64" i="43"/>
  <c r="G64" i="43" s="1"/>
  <c r="E48" i="98"/>
  <c r="G48" i="98" s="1"/>
  <c r="G103" i="47"/>
  <c r="D42" i="115"/>
  <c r="G25" i="98"/>
  <c r="E84" i="98"/>
  <c r="G84" i="98" s="1"/>
  <c r="E682" i="135"/>
  <c r="G682" i="135" s="1"/>
  <c r="G673" i="135"/>
  <c r="E878" i="44"/>
  <c r="G878" i="44" s="1"/>
  <c r="G872" i="44"/>
  <c r="G54" i="48"/>
  <c r="E56" i="48"/>
  <c r="G14" i="48"/>
  <c r="E34" i="48"/>
  <c r="G34" i="48" s="1"/>
  <c r="E729" i="135"/>
  <c r="G729" i="135" s="1"/>
  <c r="D9" i="115"/>
  <c r="D14" i="115" s="1"/>
  <c r="E708" i="135"/>
  <c r="G337" i="135"/>
  <c r="D18" i="145"/>
  <c r="D27" i="145" s="1"/>
  <c r="E230" i="136"/>
  <c r="G230" i="136" s="1"/>
  <c r="D25" i="115"/>
  <c r="E122" i="98"/>
  <c r="G122" i="98" s="1"/>
  <c r="G693" i="135"/>
  <c r="G657" i="135"/>
  <c r="G599" i="135"/>
  <c r="E601" i="135"/>
  <c r="E724" i="135"/>
  <c r="G467" i="135"/>
  <c r="G282" i="135"/>
  <c r="G561" i="135"/>
  <c r="E563" i="135"/>
  <c r="G512" i="135"/>
  <c r="G547" i="135"/>
  <c r="G468" i="135"/>
  <c r="E725" i="135"/>
  <c r="G177" i="136"/>
  <c r="E226" i="136"/>
  <c r="E454" i="135"/>
  <c r="G454" i="135" s="1"/>
  <c r="G452" i="135"/>
  <c r="E94" i="98"/>
  <c r="G94" i="98" s="1"/>
  <c r="G39" i="98"/>
  <c r="E23" i="98"/>
  <c r="G23" i="98" s="1"/>
  <c r="G24" i="98"/>
  <c r="I9" i="115"/>
  <c r="G133" i="98"/>
  <c r="F144" i="98"/>
  <c r="J49" i="115"/>
  <c r="J53" i="115" s="1"/>
  <c r="E202" i="136"/>
  <c r="G236" i="136"/>
  <c r="D37" i="115"/>
  <c r="D38" i="115" s="1"/>
  <c r="D46" i="115" s="1"/>
  <c r="E237" i="136"/>
  <c r="E244" i="136"/>
  <c r="G244" i="136" s="1"/>
  <c r="G242" i="136"/>
  <c r="E246" i="136"/>
  <c r="G246" i="136" s="1"/>
  <c r="G197" i="136"/>
  <c r="D17" i="115"/>
  <c r="G217" i="136"/>
  <c r="G216" i="136"/>
  <c r="D16" i="115"/>
  <c r="E218" i="136"/>
  <c r="G218" i="136" s="1"/>
  <c r="G172" i="136"/>
  <c r="D23" i="115"/>
  <c r="G223" i="136"/>
  <c r="G142" i="136"/>
  <c r="E162" i="136"/>
  <c r="G162" i="136" s="1"/>
  <c r="G23" i="125"/>
  <c r="E73" i="125"/>
  <c r="G73" i="125" s="1"/>
  <c r="E64" i="125"/>
  <c r="G64" i="125" s="1"/>
  <c r="E68" i="125"/>
  <c r="G68" i="125" s="1"/>
  <c r="E646" i="135"/>
  <c r="G646" i="135" s="1"/>
  <c r="E366" i="135"/>
  <c r="G366" i="135" s="1"/>
  <c r="E717" i="135"/>
  <c r="G717" i="135" s="1"/>
  <c r="E462" i="135"/>
  <c r="G462" i="135" s="1"/>
  <c r="E26" i="49"/>
  <c r="E80" i="98" s="1"/>
  <c r="E14" i="49"/>
  <c r="E79" i="98" s="1"/>
  <c r="G79" i="98" s="1"/>
  <c r="E76" i="47"/>
  <c r="G76" i="47" s="1"/>
  <c r="E67" i="48"/>
  <c r="G67" i="48" s="1"/>
  <c r="E53" i="98"/>
  <c r="E351" i="135"/>
  <c r="G351" i="135" s="1"/>
  <c r="E471" i="135"/>
  <c r="G471" i="135" s="1"/>
  <c r="E723" i="135"/>
  <c r="G723" i="135" s="1"/>
  <c r="E227" i="136"/>
  <c r="E224" i="136"/>
  <c r="E170" i="136"/>
  <c r="G170" i="136" s="1"/>
  <c r="E117" i="136"/>
  <c r="G117" i="136" s="1"/>
  <c r="E83" i="98"/>
  <c r="G83" i="98" s="1"/>
  <c r="E70" i="125"/>
  <c r="G70" i="125" s="1"/>
  <c r="E93" i="47"/>
  <c r="G93" i="47" s="1"/>
  <c r="E73" i="48" l="1"/>
  <c r="G73" i="48" s="1"/>
  <c r="E70" i="48"/>
  <c r="G70" i="48" s="1"/>
  <c r="G56" i="48"/>
  <c r="G708" i="135"/>
  <c r="E710" i="135"/>
  <c r="G710" i="135" s="1"/>
  <c r="E88" i="98"/>
  <c r="G88" i="98" s="1"/>
  <c r="G80" i="98"/>
  <c r="E85" i="98"/>
  <c r="E132" i="98" s="1"/>
  <c r="G53" i="98"/>
  <c r="E121" i="98"/>
  <c r="E732" i="135"/>
  <c r="G732" i="135" s="1"/>
  <c r="G226" i="136"/>
  <c r="D26" i="115"/>
  <c r="G724" i="135"/>
  <c r="E115" i="98"/>
  <c r="E609" i="135"/>
  <c r="G609" i="135" s="1"/>
  <c r="G601" i="135"/>
  <c r="C93" i="142"/>
  <c r="E465" i="135"/>
  <c r="G465" i="135" s="1"/>
  <c r="G725" i="135"/>
  <c r="E116" i="98"/>
  <c r="G116" i="98" s="1"/>
  <c r="G563" i="135"/>
  <c r="E573" i="135"/>
  <c r="G573" i="135" s="1"/>
  <c r="D47" i="115"/>
  <c r="E139" i="98"/>
  <c r="I37" i="115" s="1"/>
  <c r="D18" i="115"/>
  <c r="D28" i="115"/>
  <c r="G227" i="136"/>
  <c r="D24" i="115"/>
  <c r="G224" i="136"/>
  <c r="G237" i="136"/>
  <c r="E245" i="136"/>
  <c r="G245" i="136" s="1"/>
  <c r="E251" i="136"/>
  <c r="E37" i="98"/>
  <c r="E101" i="98"/>
  <c r="E198" i="136"/>
  <c r="G198" i="136" s="1"/>
  <c r="E719" i="135"/>
  <c r="G719" i="135" s="1"/>
  <c r="E376" i="135"/>
  <c r="G376" i="135" s="1"/>
  <c r="E61" i="48"/>
  <c r="G61" i="48" s="1"/>
  <c r="E72" i="48"/>
  <c r="G72" i="48" s="1"/>
  <c r="E102" i="47"/>
  <c r="E728" i="135"/>
  <c r="G728" i="135" s="1"/>
  <c r="E114" i="98"/>
  <c r="E476" i="135"/>
  <c r="G476" i="135" s="1"/>
  <c r="E220" i="136"/>
  <c r="G220" i="136" s="1"/>
  <c r="E179" i="136"/>
  <c r="D12" i="49"/>
  <c r="D770" i="44"/>
  <c r="D323" i="44"/>
  <c r="D17" i="142"/>
  <c r="C323" i="44"/>
  <c r="D58" i="47"/>
  <c r="D42" i="47"/>
  <c r="D37" i="47"/>
  <c r="D34" i="47" s="1"/>
  <c r="D28" i="47"/>
  <c r="D685" i="135"/>
  <c r="D678" i="135"/>
  <c r="D16" i="47"/>
  <c r="D14" i="48"/>
  <c r="D532" i="135"/>
  <c r="D543" i="135"/>
  <c r="D96" i="44"/>
  <c r="D29" i="44"/>
  <c r="G121" i="98" l="1"/>
  <c r="E124" i="98"/>
  <c r="G124" i="98" s="1"/>
  <c r="E47" i="98"/>
  <c r="E93" i="98" s="1"/>
  <c r="G102" i="47"/>
  <c r="G85" i="98"/>
  <c r="E722" i="135"/>
  <c r="G722" i="135" s="1"/>
  <c r="G115" i="98"/>
  <c r="E131" i="98"/>
  <c r="E100" i="98"/>
  <c r="G101" i="98"/>
  <c r="E119" i="98"/>
  <c r="G114" i="98"/>
  <c r="G139" i="98"/>
  <c r="E41" i="98"/>
  <c r="G41" i="98" s="1"/>
  <c r="E33" i="98"/>
  <c r="G33" i="98" s="1"/>
  <c r="G37" i="98"/>
  <c r="I8" i="115"/>
  <c r="G132" i="98"/>
  <c r="E184" i="136"/>
  <c r="G184" i="136" s="1"/>
  <c r="G179" i="136"/>
  <c r="E252" i="136"/>
  <c r="G252" i="136" s="1"/>
  <c r="G251" i="136"/>
  <c r="D54" i="115"/>
  <c r="D55" i="115" s="1"/>
  <c r="E87" i="98"/>
  <c r="E89" i="98" s="1"/>
  <c r="G89" i="98" s="1"/>
  <c r="E247" i="136"/>
  <c r="G247" i="136" s="1"/>
  <c r="E199" i="136"/>
  <c r="E55" i="98"/>
  <c r="E104" i="47"/>
  <c r="E130" i="98"/>
  <c r="E733" i="135"/>
  <c r="G733" i="135" s="1"/>
  <c r="D20" i="115"/>
  <c r="D29" i="115" s="1"/>
  <c r="D32" i="115" s="1"/>
  <c r="E228" i="136"/>
  <c r="G100" i="98" l="1"/>
  <c r="E142" i="98"/>
  <c r="G142" i="98" s="1"/>
  <c r="E105" i="47"/>
  <c r="G105" i="47" s="1"/>
  <c r="G104" i="47"/>
  <c r="G47" i="98"/>
  <c r="E92" i="98"/>
  <c r="E137" i="98" s="1"/>
  <c r="G55" i="98"/>
  <c r="E104" i="98"/>
  <c r="G104" i="98" s="1"/>
  <c r="G131" i="98"/>
  <c r="I7" i="115"/>
  <c r="E126" i="98"/>
  <c r="G126" i="98" s="1"/>
  <c r="G119" i="98"/>
  <c r="E138" i="98"/>
  <c r="G138" i="98" s="1"/>
  <c r="G93" i="98"/>
  <c r="I6" i="115"/>
  <c r="G130" i="98"/>
  <c r="E134" i="98"/>
  <c r="E135" i="98" s="1"/>
  <c r="G135" i="98" s="1"/>
  <c r="G87" i="98"/>
  <c r="E231" i="136"/>
  <c r="G228" i="136"/>
  <c r="D57" i="115"/>
  <c r="E204" i="136"/>
  <c r="G204" i="136" s="1"/>
  <c r="G199" i="136"/>
  <c r="D49" i="115"/>
  <c r="D53" i="115" s="1"/>
  <c r="E250" i="136"/>
  <c r="G250" i="136" s="1"/>
  <c r="I49" i="115"/>
  <c r="I53" i="115" s="1"/>
  <c r="E144" i="98"/>
  <c r="G144" i="98" s="1"/>
  <c r="E50" i="98"/>
  <c r="G50" i="98" s="1"/>
  <c r="D78" i="142"/>
  <c r="E95" i="98" l="1"/>
  <c r="E109" i="98" s="1"/>
  <c r="G109" i="98" s="1"/>
  <c r="G92" i="98"/>
  <c r="I36" i="115"/>
  <c r="I11" i="115"/>
  <c r="I32" i="115" s="1"/>
  <c r="G134" i="98"/>
  <c r="I35" i="115"/>
  <c r="G137" i="98"/>
  <c r="E140" i="98"/>
  <c r="G140" i="98" s="1"/>
  <c r="E253" i="136"/>
  <c r="G253" i="136" s="1"/>
  <c r="G231" i="136"/>
  <c r="D328" i="44"/>
  <c r="D341" i="44"/>
  <c r="D307" i="135"/>
  <c r="D306" i="135"/>
  <c r="D301" i="135"/>
  <c r="D273" i="135"/>
  <c r="D272" i="135"/>
  <c r="D267" i="135"/>
  <c r="D239" i="135"/>
  <c r="D238" i="135"/>
  <c r="D233" i="135"/>
  <c r="D205" i="135"/>
  <c r="D204" i="135"/>
  <c r="D199" i="135"/>
  <c r="D171" i="135"/>
  <c r="D170" i="135"/>
  <c r="D165" i="135"/>
  <c r="D137" i="135"/>
  <c r="D136" i="135"/>
  <c r="D131" i="135"/>
  <c r="D102" i="135"/>
  <c r="D101" i="135"/>
  <c r="D96" i="135"/>
  <c r="D68" i="135"/>
  <c r="D67" i="135"/>
  <c r="D62" i="135"/>
  <c r="D33" i="135"/>
  <c r="D32" i="135"/>
  <c r="D27" i="135"/>
  <c r="G95" i="98" l="1"/>
  <c r="I46" i="115"/>
  <c r="I57" i="115" s="1"/>
  <c r="E147" i="98"/>
  <c r="G147" i="98" s="1"/>
  <c r="H12" i="115"/>
  <c r="D69" i="47" l="1"/>
  <c r="D19" i="47"/>
  <c r="D851" i="44"/>
  <c r="C712" i="44"/>
  <c r="D712" i="44"/>
  <c r="C721" i="44"/>
  <c r="D721" i="44"/>
  <c r="D730" i="44" l="1"/>
  <c r="D616" i="135" l="1"/>
  <c r="D612" i="135"/>
  <c r="D605" i="135"/>
  <c r="D371" i="135"/>
  <c r="D416" i="135"/>
  <c r="D403" i="135" l="1"/>
  <c r="D383" i="135" l="1"/>
  <c r="D538" i="135"/>
  <c r="D537" i="135"/>
  <c r="D503" i="135"/>
  <c r="D502" i="135"/>
  <c r="D496" i="135"/>
  <c r="D378" i="135"/>
  <c r="D377" i="135"/>
  <c r="D595" i="135" l="1"/>
  <c r="D591" i="135"/>
  <c r="D590" i="135" l="1"/>
  <c r="D76" i="142"/>
  <c r="D361" i="135"/>
  <c r="D358" i="135"/>
  <c r="E156" i="141" l="1"/>
  <c r="E77" i="141"/>
  <c r="J46" i="138"/>
  <c r="J45" i="138"/>
  <c r="J44" i="138"/>
  <c r="J43" i="138"/>
  <c r="J31" i="138"/>
  <c r="J30" i="138"/>
  <c r="J22" i="138"/>
  <c r="J13" i="138"/>
  <c r="J12" i="138"/>
  <c r="J11" i="138"/>
  <c r="J40" i="138" s="1"/>
  <c r="J41" i="138" l="1"/>
  <c r="J42" i="138"/>
  <c r="D312" i="135"/>
  <c r="D308" i="135"/>
  <c r="D278" i="135"/>
  <c r="D274" i="135"/>
  <c r="D244" i="135"/>
  <c r="D240" i="135"/>
  <c r="D206" i="135"/>
  <c r="D176" i="135"/>
  <c r="D172" i="135"/>
  <c r="D142" i="135"/>
  <c r="D138" i="135"/>
  <c r="D107" i="135"/>
  <c r="D103" i="135"/>
  <c r="D73" i="135"/>
  <c r="D38" i="135"/>
  <c r="D34" i="135"/>
  <c r="D681" i="44"/>
  <c r="D185" i="44"/>
  <c r="D87" i="47"/>
  <c r="D67" i="136"/>
  <c r="D66" i="136" s="1"/>
  <c r="D65" i="48" l="1"/>
  <c r="D156" i="136" l="1"/>
  <c r="L85" i="141" l="1"/>
  <c r="D85" i="141" s="1"/>
  <c r="L63" i="141"/>
  <c r="L119" i="141"/>
  <c r="D91" i="142"/>
  <c r="D88" i="142" l="1"/>
  <c r="D54" i="48"/>
  <c r="D86" i="142" l="1"/>
  <c r="D150" i="141" l="1"/>
  <c r="D33" i="43" l="1"/>
  <c r="D32" i="43"/>
  <c r="D31" i="43"/>
  <c r="D148" i="141" l="1"/>
  <c r="L36" i="141"/>
  <c r="L10" i="141"/>
  <c r="D10" i="141" s="1"/>
  <c r="D81" i="142"/>
  <c r="K74" i="142"/>
  <c r="K73" i="142" l="1"/>
  <c r="K93" i="142" s="1"/>
  <c r="D46" i="142"/>
  <c r="D23" i="142"/>
  <c r="D21" i="142"/>
  <c r="D20" i="142"/>
  <c r="D19" i="142"/>
  <c r="D92" i="142"/>
  <c r="D89" i="142" l="1"/>
  <c r="D47" i="48"/>
  <c r="D56" i="48" l="1"/>
  <c r="D26" i="48"/>
  <c r="D23" i="48"/>
  <c r="D795" i="44" l="1"/>
  <c r="D794" i="44"/>
  <c r="D793" i="44"/>
  <c r="D54" i="47" l="1"/>
  <c r="D68" i="47"/>
  <c r="D101" i="47"/>
  <c r="D97" i="47"/>
  <c r="D65" i="47"/>
  <c r="D46" i="47"/>
  <c r="D25" i="47"/>
  <c r="D21" i="47"/>
  <c r="D14" i="47"/>
  <c r="D11" i="47"/>
  <c r="D46" i="125"/>
  <c r="D45" i="125"/>
  <c r="D40" i="125"/>
  <c r="D20" i="125"/>
  <c r="D22" i="125"/>
  <c r="D16" i="125"/>
  <c r="D10" i="125"/>
  <c r="D273" i="44"/>
  <c r="D56" i="44"/>
  <c r="D860" i="44"/>
  <c r="D856" i="44"/>
  <c r="C856" i="44"/>
  <c r="D786" i="44"/>
  <c r="D785" i="44"/>
  <c r="D784" i="44"/>
  <c r="D778" i="44"/>
  <c r="D777" i="44"/>
  <c r="D776" i="44"/>
  <c r="D773" i="44"/>
  <c r="D874" i="44" s="1"/>
  <c r="D769" i="44"/>
  <c r="D768" i="44"/>
  <c r="D734" i="44"/>
  <c r="D697" i="44"/>
  <c r="D691" i="44"/>
  <c r="D680" i="44"/>
  <c r="D679" i="44"/>
  <c r="D663" i="44"/>
  <c r="D655" i="44"/>
  <c r="D647" i="44"/>
  <c r="D623" i="44"/>
  <c r="D598" i="44"/>
  <c r="D573" i="44"/>
  <c r="D558" i="44"/>
  <c r="D542" i="44"/>
  <c r="D541" i="44"/>
  <c r="D534" i="44"/>
  <c r="D526" i="44"/>
  <c r="D518" i="44"/>
  <c r="D502" i="44"/>
  <c r="D492" i="44"/>
  <c r="D103" i="47" l="1"/>
  <c r="D475" i="44"/>
  <c r="D470" i="44" l="1"/>
  <c r="C470" i="44"/>
  <c r="D447" i="44"/>
  <c r="D406" i="44" l="1"/>
  <c r="D368" i="44"/>
  <c r="D358" i="44"/>
  <c r="D350" i="44"/>
  <c r="D301" i="44"/>
  <c r="D293" i="44"/>
  <c r="D278" i="44"/>
  <c r="D275" i="44"/>
  <c r="D272" i="44"/>
  <c r="D271" i="44"/>
  <c r="D265" i="44"/>
  <c r="D259" i="44"/>
  <c r="D257" i="44"/>
  <c r="D249" i="44"/>
  <c r="D248" i="44"/>
  <c r="D247" i="44"/>
  <c r="D238" i="44"/>
  <c r="D237" i="44"/>
  <c r="D236" i="44"/>
  <c r="D228" i="44"/>
  <c r="D219" i="44"/>
  <c r="D212" i="44"/>
  <c r="D202" i="44"/>
  <c r="D201" i="44"/>
  <c r="D200" i="44"/>
  <c r="D196" i="44"/>
  <c r="D184" i="44"/>
  <c r="D183" i="44"/>
  <c r="D152" i="44"/>
  <c r="D144" i="44"/>
  <c r="D136" i="44"/>
  <c r="D127" i="44"/>
  <c r="D119" i="44"/>
  <c r="D109" i="44"/>
  <c r="D101" i="44"/>
  <c r="D84" i="44"/>
  <c r="D870" i="44" s="1"/>
  <c r="D83" i="44"/>
  <c r="D74" i="44"/>
  <c r="D66" i="44"/>
  <c r="D47" i="44"/>
  <c r="D38" i="44"/>
  <c r="D21" i="44"/>
  <c r="D867" i="44" l="1"/>
  <c r="D868" i="44"/>
  <c r="D13" i="125"/>
  <c r="D649" i="135"/>
  <c r="D648" i="135"/>
  <c r="D647" i="135"/>
  <c r="D642" i="135"/>
  <c r="D539" i="135"/>
  <c r="D508" i="135"/>
  <c r="D504" i="135"/>
  <c r="D437" i="135"/>
  <c r="D379" i="135"/>
  <c r="D69" i="135"/>
  <c r="D46" i="43"/>
  <c r="D43" i="43"/>
  <c r="D26" i="43"/>
  <c r="D23" i="43"/>
  <c r="D22" i="43"/>
  <c r="D21" i="43"/>
  <c r="D12" i="43"/>
  <c r="D11" i="43"/>
  <c r="D10" i="43"/>
  <c r="D611" i="135"/>
  <c r="D610" i="135"/>
  <c r="D114" i="136" l="1"/>
  <c r="D109" i="136"/>
  <c r="D14" i="136"/>
  <c r="D13" i="136"/>
  <c r="D12" i="136"/>
  <c r="D11" i="136"/>
  <c r="E159" i="141" l="1"/>
  <c r="F159" i="141"/>
  <c r="H159" i="141"/>
  <c r="I159" i="141"/>
  <c r="J159" i="141"/>
  <c r="K159" i="141"/>
  <c r="M159" i="141"/>
  <c r="N159" i="141"/>
  <c r="I42" i="138" l="1"/>
  <c r="I43" i="138"/>
  <c r="I44" i="138"/>
  <c r="I45" i="138"/>
  <c r="I46" i="138"/>
  <c r="I47" i="138"/>
  <c r="I41" i="138"/>
  <c r="I40" i="138"/>
  <c r="J18" i="138"/>
  <c r="D726" i="135"/>
  <c r="D696" i="135"/>
  <c r="D662" i="135"/>
  <c r="D671" i="135" s="1"/>
  <c r="D661" i="135"/>
  <c r="D692" i="135"/>
  <c r="C692" i="135"/>
  <c r="D688" i="135"/>
  <c r="C688" i="135"/>
  <c r="D679" i="135"/>
  <c r="C679" i="135"/>
  <c r="C671" i="135"/>
  <c r="C673" i="135" s="1"/>
  <c r="J47" i="138" l="1"/>
  <c r="C682" i="135"/>
  <c r="D693" i="135"/>
  <c r="C693" i="135"/>
  <c r="D673" i="135"/>
  <c r="D682" i="135" l="1"/>
  <c r="C8" i="115" l="1"/>
  <c r="H48" i="115"/>
  <c r="H47" i="115"/>
  <c r="D67" i="48"/>
  <c r="D60" i="48"/>
  <c r="D25" i="48"/>
  <c r="D21" i="48"/>
  <c r="D99" i="47"/>
  <c r="D85" i="47"/>
  <c r="D71" i="47"/>
  <c r="D55" i="47"/>
  <c r="D52" i="47"/>
  <c r="D64" i="47" s="1"/>
  <c r="D29" i="47"/>
  <c r="D30" i="47" s="1"/>
  <c r="D72" i="125"/>
  <c r="D39" i="98" s="1"/>
  <c r="D71" i="125"/>
  <c r="D38" i="98" s="1"/>
  <c r="D67" i="125"/>
  <c r="D36" i="98" s="1"/>
  <c r="D66" i="125"/>
  <c r="D65" i="125"/>
  <c r="D34" i="98" s="1"/>
  <c r="D63" i="125"/>
  <c r="D69" i="125" s="1"/>
  <c r="D44" i="125"/>
  <c r="D37" i="125"/>
  <c r="D29" i="125"/>
  <c r="D19" i="125"/>
  <c r="D18" i="125" s="1"/>
  <c r="D11" i="125"/>
  <c r="D875" i="44"/>
  <c r="D30" i="98" s="1"/>
  <c r="D29" i="98"/>
  <c r="D25" i="98"/>
  <c r="D24" i="98"/>
  <c r="D864" i="44"/>
  <c r="D847" i="44"/>
  <c r="D839" i="44"/>
  <c r="D831" i="44"/>
  <c r="D823" i="44"/>
  <c r="D815" i="44"/>
  <c r="D807" i="44"/>
  <c r="D799" i="44"/>
  <c r="D788" i="44"/>
  <c r="D871" i="44" s="1"/>
  <c r="D782" i="44"/>
  <c r="D765" i="44"/>
  <c r="D757" i="44"/>
  <c r="D743" i="44"/>
  <c r="D748" i="44" s="1"/>
  <c r="D739" i="44"/>
  <c r="D703" i="44" s="1"/>
  <c r="D701" i="44"/>
  <c r="D693" i="44"/>
  <c r="D685" i="44"/>
  <c r="D677" i="44"/>
  <c r="D668" i="44"/>
  <c r="D659" i="44"/>
  <c r="D651" i="44"/>
  <c r="D643" i="44"/>
  <c r="D635" i="44"/>
  <c r="D627" i="44"/>
  <c r="D619" i="44"/>
  <c r="D611" i="44"/>
  <c r="D603" i="44"/>
  <c r="D594" i="44"/>
  <c r="D585" i="44"/>
  <c r="D577" i="44"/>
  <c r="D569" i="44"/>
  <c r="D561" i="44"/>
  <c r="D553" i="44"/>
  <c r="D545" i="44"/>
  <c r="D537" i="44"/>
  <c r="D529" i="44"/>
  <c r="D521" i="44"/>
  <c r="D513" i="44"/>
  <c r="D505" i="44"/>
  <c r="D497" i="44"/>
  <c r="D488" i="44"/>
  <c r="D479" i="44"/>
  <c r="D459" i="44"/>
  <c r="D451" i="44"/>
  <c r="D433" i="44"/>
  <c r="D424" i="44"/>
  <c r="D415" i="44"/>
  <c r="D396" i="44"/>
  <c r="D392" i="44"/>
  <c r="D869" i="44" s="1"/>
  <c r="D872" i="44" s="1"/>
  <c r="D388" i="44"/>
  <c r="D372" i="44"/>
  <c r="D362" i="44"/>
  <c r="D345" i="44"/>
  <c r="D334" i="44"/>
  <c r="D314" i="44"/>
  <c r="D305" i="44"/>
  <c r="D297" i="44"/>
  <c r="D289" i="44"/>
  <c r="D279" i="44"/>
  <c r="D269" i="44"/>
  <c r="D261" i="44"/>
  <c r="D253" i="44"/>
  <c r="D242" i="44"/>
  <c r="D233" i="44"/>
  <c r="D224" i="44"/>
  <c r="D215" i="44"/>
  <c r="D206" i="44"/>
  <c r="D198" i="44"/>
  <c r="D190" i="44"/>
  <c r="D181" i="44"/>
  <c r="D172" i="44"/>
  <c r="D164" i="44"/>
  <c r="D156" i="44"/>
  <c r="D148" i="44"/>
  <c r="D140" i="44"/>
  <c r="D131" i="44"/>
  <c r="D123" i="44"/>
  <c r="D115" i="44"/>
  <c r="D105" i="44"/>
  <c r="D876" i="44"/>
  <c r="D87" i="44"/>
  <c r="D78" i="44"/>
  <c r="D70" i="44"/>
  <c r="D61" i="44"/>
  <c r="D52" i="44"/>
  <c r="D43" i="44"/>
  <c r="D34" i="44"/>
  <c r="D25" i="44"/>
  <c r="D17" i="44"/>
  <c r="D61" i="43"/>
  <c r="D19" i="98" s="1"/>
  <c r="D60" i="43"/>
  <c r="D17" i="98" s="1"/>
  <c r="D59" i="43"/>
  <c r="D18" i="98" s="1"/>
  <c r="D55" i="43"/>
  <c r="D15" i="98" s="1"/>
  <c r="D54" i="43"/>
  <c r="D14" i="98" s="1"/>
  <c r="D53" i="43"/>
  <c r="D13" i="98" s="1"/>
  <c r="D52" i="43"/>
  <c r="D49" i="43"/>
  <c r="D39" i="43"/>
  <c r="D29" i="43"/>
  <c r="D18" i="43"/>
  <c r="D8" i="43" s="1"/>
  <c r="D712" i="135"/>
  <c r="D193" i="136" s="1"/>
  <c r="D711" i="135"/>
  <c r="D714" i="135" s="1"/>
  <c r="D709" i="135"/>
  <c r="D698" i="135"/>
  <c r="D169" i="136" s="1"/>
  <c r="D167" i="136"/>
  <c r="D656" i="135"/>
  <c r="D652" i="135"/>
  <c r="D643" i="135"/>
  <c r="D626" i="135"/>
  <c r="D620" i="135"/>
  <c r="D615" i="135"/>
  <c r="D606" i="135"/>
  <c r="D599" i="135"/>
  <c r="D581" i="135"/>
  <c r="D580" i="135"/>
  <c r="D578" i="135"/>
  <c r="D577" i="135"/>
  <c r="D576" i="135"/>
  <c r="D575" i="135"/>
  <c r="D574" i="135"/>
  <c r="D571" i="135"/>
  <c r="D569" i="135"/>
  <c r="D568" i="135"/>
  <c r="D567" i="135"/>
  <c r="D566" i="135"/>
  <c r="D564" i="135"/>
  <c r="D560" i="135"/>
  <c r="D559" i="135"/>
  <c r="D558" i="135"/>
  <c r="D557" i="135"/>
  <c r="D556" i="135"/>
  <c r="D553" i="135"/>
  <c r="D546" i="135"/>
  <c r="D542" i="135"/>
  <c r="D533" i="135"/>
  <c r="D526" i="135"/>
  <c r="D511" i="135"/>
  <c r="D507" i="135"/>
  <c r="D498" i="135"/>
  <c r="D481" i="135"/>
  <c r="D470" i="135"/>
  <c r="D469" i="135"/>
  <c r="D461" i="135"/>
  <c r="D459" i="135"/>
  <c r="D457" i="135"/>
  <c r="D451" i="135"/>
  <c r="D450" i="135"/>
  <c r="D449" i="135"/>
  <c r="D446" i="135"/>
  <c r="D445" i="135"/>
  <c r="D444" i="135"/>
  <c r="D382" i="135"/>
  <c r="D373" i="135"/>
  <c r="D360" i="135"/>
  <c r="D356" i="135"/>
  <c r="D347" i="135"/>
  <c r="D342" i="135"/>
  <c r="D341" i="135"/>
  <c r="D338" i="135"/>
  <c r="D463" i="135" s="1"/>
  <c r="D336" i="135"/>
  <c r="D315" i="135"/>
  <c r="D311" i="135"/>
  <c r="D302" i="135"/>
  <c r="D281" i="135"/>
  <c r="D277" i="135"/>
  <c r="D270" i="135"/>
  <c r="D268" i="135"/>
  <c r="D247" i="135"/>
  <c r="D243" i="135"/>
  <c r="D234" i="135"/>
  <c r="D213" i="135"/>
  <c r="D209" i="135"/>
  <c r="D200" i="135"/>
  <c r="D179" i="135"/>
  <c r="D175" i="135"/>
  <c r="D166" i="135"/>
  <c r="D145" i="135"/>
  <c r="D132" i="135"/>
  <c r="D110" i="135"/>
  <c r="D106" i="135"/>
  <c r="D97" i="135"/>
  <c r="D76" i="135"/>
  <c r="D72" i="135"/>
  <c r="D41" i="135"/>
  <c r="D28" i="135"/>
  <c r="D145" i="98"/>
  <c r="D143" i="98"/>
  <c r="D141" i="98"/>
  <c r="D123" i="98"/>
  <c r="D117" i="98"/>
  <c r="D107" i="98"/>
  <c r="D103" i="98"/>
  <c r="D78" i="98"/>
  <c r="D72" i="98"/>
  <c r="D70" i="98"/>
  <c r="D64" i="98"/>
  <c r="D54" i="98"/>
  <c r="D53" i="98"/>
  <c r="D52" i="98"/>
  <c r="D51" i="98"/>
  <c r="D46" i="98"/>
  <c r="D45" i="98"/>
  <c r="D44" i="98"/>
  <c r="D43" i="98"/>
  <c r="D42" i="98"/>
  <c r="D16" i="98"/>
  <c r="D12" i="98"/>
  <c r="D249" i="136"/>
  <c r="C51" i="115" s="1"/>
  <c r="D248" i="136"/>
  <c r="C48" i="115" s="1"/>
  <c r="D243" i="136"/>
  <c r="D241" i="136"/>
  <c r="C43" i="115" s="1"/>
  <c r="D234" i="136"/>
  <c r="C35" i="115" s="1"/>
  <c r="D233" i="136"/>
  <c r="C34" i="115" s="1"/>
  <c r="D232" i="136"/>
  <c r="C33" i="115" s="1"/>
  <c r="D222" i="136"/>
  <c r="C22" i="115" s="1"/>
  <c r="D219" i="136"/>
  <c r="C19" i="115" s="1"/>
  <c r="D213" i="136"/>
  <c r="C12" i="115" s="1"/>
  <c r="D212" i="136"/>
  <c r="C11" i="115" s="1"/>
  <c r="D210" i="136"/>
  <c r="C10" i="115" s="1"/>
  <c r="D209" i="136"/>
  <c r="D190" i="136"/>
  <c r="D191" i="136" s="1"/>
  <c r="D187" i="136"/>
  <c r="D181" i="136"/>
  <c r="D182" i="136" s="1"/>
  <c r="D160" i="136"/>
  <c r="D157" i="136"/>
  <c r="D153" i="136"/>
  <c r="D149" i="136"/>
  <c r="D128" i="136"/>
  <c r="D127" i="136"/>
  <c r="D123" i="136"/>
  <c r="D115" i="136"/>
  <c r="D112" i="136"/>
  <c r="D105" i="136"/>
  <c r="D94" i="136"/>
  <c r="D98" i="136" s="1"/>
  <c r="D86" i="136"/>
  <c r="D235" i="136" s="1"/>
  <c r="C36" i="115" s="1"/>
  <c r="D79" i="136"/>
  <c r="D61" i="136"/>
  <c r="D55" i="136"/>
  <c r="D45" i="136"/>
  <c r="D37" i="136"/>
  <c r="D31" i="136" s="1"/>
  <c r="D28" i="136"/>
  <c r="D27" i="136"/>
  <c r="D216" i="136" s="1"/>
  <c r="C16" i="115" s="1"/>
  <c r="D24" i="136"/>
  <c r="D215" i="136" s="1"/>
  <c r="C15" i="115" s="1"/>
  <c r="D10" i="136"/>
  <c r="D22" i="136" s="1"/>
  <c r="D20" i="49"/>
  <c r="D16" i="49"/>
  <c r="D14" i="49" l="1"/>
  <c r="H13" i="115"/>
  <c r="D238" i="136"/>
  <c r="C39" i="115" s="1"/>
  <c r="D70" i="136"/>
  <c r="D460" i="135"/>
  <c r="D552" i="135"/>
  <c r="D561" i="135" s="1"/>
  <c r="D528" i="135"/>
  <c r="D135" i="135"/>
  <c r="D466" i="135"/>
  <c r="D723" i="135" s="1"/>
  <c r="D447" i="135"/>
  <c r="D703" i="135" s="1"/>
  <c r="D701" i="135"/>
  <c r="D31" i="135"/>
  <c r="D203" i="135"/>
  <c r="D702" i="135"/>
  <c r="D173" i="136" s="1"/>
  <c r="D705" i="135"/>
  <c r="D601" i="135"/>
  <c r="D34" i="48"/>
  <c r="D35" i="98"/>
  <c r="D84" i="98" s="1"/>
  <c r="D791" i="44"/>
  <c r="D397" i="44"/>
  <c r="D79" i="44"/>
  <c r="F94" i="146"/>
  <c r="D379" i="44"/>
  <c r="F175" i="146"/>
  <c r="D337" i="44"/>
  <c r="D700" i="135"/>
  <c r="D706" i="135"/>
  <c r="D707" i="135"/>
  <c r="D194" i="136"/>
  <c r="D242" i="136" s="1"/>
  <c r="D236" i="136"/>
  <c r="C37" i="115" s="1"/>
  <c r="C38" i="115" s="1"/>
  <c r="D172" i="136"/>
  <c r="D92" i="47"/>
  <c r="D26" i="49"/>
  <c r="D80" i="98" s="1"/>
  <c r="D49" i="125"/>
  <c r="D27" i="98"/>
  <c r="D443" i="44"/>
  <c r="D132" i="44"/>
  <c r="D62" i="44"/>
  <c r="D9" i="44"/>
  <c r="D79" i="98"/>
  <c r="D211" i="136"/>
  <c r="D717" i="135"/>
  <c r="D19" i="43"/>
  <c r="D57" i="43"/>
  <c r="H54" i="115"/>
  <c r="H55" i="115" s="1"/>
  <c r="D146" i="98"/>
  <c r="D217" i="136"/>
  <c r="D218" i="136" s="1"/>
  <c r="D92" i="136"/>
  <c r="D107" i="136" s="1"/>
  <c r="D621" i="135"/>
  <c r="D657" i="135"/>
  <c r="D547" i="135"/>
  <c r="D512" i="135"/>
  <c r="D490" i="135"/>
  <c r="D727" i="135"/>
  <c r="D536" i="135"/>
  <c r="D609" i="135"/>
  <c r="D77" i="135"/>
  <c r="D716" i="135"/>
  <c r="D180" i="135"/>
  <c r="D271" i="135"/>
  <c r="D350" i="135"/>
  <c r="D565" i="135"/>
  <c r="D718" i="135"/>
  <c r="D583" i="135"/>
  <c r="D472" i="135"/>
  <c r="D316" i="135"/>
  <c r="D364" i="135"/>
  <c r="D443" i="135"/>
  <c r="D570" i="135"/>
  <c r="D111" i="135"/>
  <c r="D248" i="135"/>
  <c r="D229" i="136"/>
  <c r="D48" i="98"/>
  <c r="D76" i="47"/>
  <c r="D23" i="125"/>
  <c r="D83" i="98"/>
  <c r="D26" i="98"/>
  <c r="D28" i="98"/>
  <c r="D31" i="98"/>
  <c r="D97" i="44"/>
  <c r="D774" i="44"/>
  <c r="D173" i="44"/>
  <c r="D877" i="44"/>
  <c r="D354" i="44"/>
  <c r="D234" i="44" s="1"/>
  <c r="D62" i="43"/>
  <c r="D214" i="135"/>
  <c r="D100" i="135"/>
  <c r="D305" i="135"/>
  <c r="D169" i="135"/>
  <c r="D237" i="135"/>
  <c r="D282" i="135"/>
  <c r="D720" i="135"/>
  <c r="D201" i="136" s="1"/>
  <c r="D202" i="136" s="1"/>
  <c r="D251" i="136" s="1"/>
  <c r="D464" i="135"/>
  <c r="D448" i="135"/>
  <c r="D467" i="135"/>
  <c r="D579" i="135"/>
  <c r="D37" i="135"/>
  <c r="D63" i="135"/>
  <c r="D141" i="135"/>
  <c r="D335" i="135"/>
  <c r="D339" i="135"/>
  <c r="D343" i="135"/>
  <c r="D572" i="135"/>
  <c r="D635" i="135"/>
  <c r="D697" i="135"/>
  <c r="D473" i="135"/>
  <c r="D11" i="98"/>
  <c r="D137" i="136"/>
  <c r="D142" i="136" s="1"/>
  <c r="D168" i="136"/>
  <c r="D188" i="136"/>
  <c r="D239" i="136"/>
  <c r="D43" i="136"/>
  <c r="D208" i="136"/>
  <c r="C7" i="115" s="1"/>
  <c r="D729" i="135" l="1"/>
  <c r="D121" i="98" s="1"/>
  <c r="D730" i="135"/>
  <c r="D366" i="135"/>
  <c r="D376" i="135" s="1"/>
  <c r="D102" i="98"/>
  <c r="D118" i="98"/>
  <c r="D178" i="136"/>
  <c r="D346" i="135"/>
  <c r="D351" i="135" s="1"/>
  <c r="D492" i="135"/>
  <c r="D177" i="136"/>
  <c r="D70" i="48"/>
  <c r="D724" i="135"/>
  <c r="D704" i="135"/>
  <c r="D88" i="98"/>
  <c r="C9" i="115"/>
  <c r="C14" i="115" s="1"/>
  <c r="D244" i="136"/>
  <c r="C54" i="115"/>
  <c r="C55" i="115" s="1"/>
  <c r="D86" i="98"/>
  <c r="F137" i="146"/>
  <c r="F32" i="146"/>
  <c r="D766" i="44"/>
  <c r="D702" i="44" s="1"/>
  <c r="C10" i="141"/>
  <c r="C44" i="115"/>
  <c r="C45" i="115" s="1"/>
  <c r="D237" i="136"/>
  <c r="D252" i="136"/>
  <c r="D102" i="47"/>
  <c r="D104" i="47" s="1"/>
  <c r="D61" i="48"/>
  <c r="D73" i="48"/>
  <c r="D94" i="98"/>
  <c r="D68" i="125"/>
  <c r="D64" i="125"/>
  <c r="D221" i="136"/>
  <c r="D226" i="136"/>
  <c r="D23" i="98"/>
  <c r="C17" i="115"/>
  <c r="C18" i="115" s="1"/>
  <c r="D85" i="98"/>
  <c r="D563" i="135"/>
  <c r="D230" i="136"/>
  <c r="C30" i="115"/>
  <c r="C31" i="115" s="1"/>
  <c r="D240" i="136"/>
  <c r="C40" i="115"/>
  <c r="C42" i="115" s="1"/>
  <c r="D93" i="47"/>
  <c r="D73" i="125"/>
  <c r="D324" i="44"/>
  <c r="D878" i="44"/>
  <c r="D89" i="44"/>
  <c r="D63" i="43"/>
  <c r="D637" i="135"/>
  <c r="D42" i="135"/>
  <c r="D458" i="135"/>
  <c r="D337" i="135"/>
  <c r="D174" i="136"/>
  <c r="D146" i="135"/>
  <c r="D101" i="98"/>
  <c r="D198" i="136"/>
  <c r="D468" i="135"/>
  <c r="D721" i="135"/>
  <c r="D475" i="135"/>
  <c r="D114" i="98"/>
  <c r="D176" i="136"/>
  <c r="D452" i="135"/>
  <c r="D699" i="135"/>
  <c r="D171" i="136"/>
  <c r="D66" i="135"/>
  <c r="D584" i="135"/>
  <c r="D438" i="135"/>
  <c r="D81" i="136"/>
  <c r="D214" i="136"/>
  <c r="D79" i="142"/>
  <c r="C34" i="47"/>
  <c r="C96" i="44"/>
  <c r="C11" i="47"/>
  <c r="C25" i="47"/>
  <c r="D732" i="135" l="1"/>
  <c r="D227" i="136"/>
  <c r="C28" i="115" s="1"/>
  <c r="D573" i="135"/>
  <c r="D501" i="135"/>
  <c r="D55" i="98"/>
  <c r="D100" i="98"/>
  <c r="D142" i="98" s="1"/>
  <c r="C26" i="115"/>
  <c r="C21" i="115"/>
  <c r="D70" i="125"/>
  <c r="D139" i="98"/>
  <c r="D133" i="98"/>
  <c r="D47" i="98"/>
  <c r="D93" i="98" s="1"/>
  <c r="C46" i="115"/>
  <c r="D245" i="136"/>
  <c r="C52" i="141"/>
  <c r="D223" i="136"/>
  <c r="D72" i="48"/>
  <c r="D37" i="98"/>
  <c r="D87" i="98" s="1"/>
  <c r="D225" i="136"/>
  <c r="D170" i="136"/>
  <c r="D471" i="135"/>
  <c r="D725" i="135"/>
  <c r="D50" i="98"/>
  <c r="D105" i="47"/>
  <c r="D88" i="44"/>
  <c r="D64" i="43"/>
  <c r="D454" i="135"/>
  <c r="D340" i="135"/>
  <c r="D115" i="98"/>
  <c r="D247" i="136"/>
  <c r="D462" i="135"/>
  <c r="D715" i="135"/>
  <c r="D122" i="98"/>
  <c r="D175" i="136"/>
  <c r="D130" i="98"/>
  <c r="D708" i="135"/>
  <c r="D646" i="135"/>
  <c r="D162" i="136"/>
  <c r="D117" i="136"/>
  <c r="C123" i="98"/>
  <c r="C190" i="136"/>
  <c r="D197" i="136" l="1"/>
  <c r="D246" i="136" s="1"/>
  <c r="D92" i="98"/>
  <c r="D137" i="98" s="1"/>
  <c r="D728" i="135"/>
  <c r="D104" i="98"/>
  <c r="D476" i="135"/>
  <c r="D131" i="98"/>
  <c r="D41" i="98"/>
  <c r="D220" i="136"/>
  <c r="C23" i="115"/>
  <c r="C25" i="115"/>
  <c r="D33" i="98"/>
  <c r="H9" i="115"/>
  <c r="H6" i="115"/>
  <c r="H37" i="115"/>
  <c r="D224" i="136"/>
  <c r="D138" i="98"/>
  <c r="C49" i="115"/>
  <c r="D144" i="98"/>
  <c r="H49" i="115"/>
  <c r="H53" i="115" s="1"/>
  <c r="D124" i="98"/>
  <c r="D134" i="98"/>
  <c r="D89" i="98"/>
  <c r="D710" i="135"/>
  <c r="D179" i="136"/>
  <c r="D116" i="98"/>
  <c r="D719" i="135"/>
  <c r="D465" i="135"/>
  <c r="D90" i="142"/>
  <c r="D84" i="142"/>
  <c r="D77" i="142"/>
  <c r="D80" i="142"/>
  <c r="E93" i="142"/>
  <c r="F93" i="142"/>
  <c r="G93" i="142"/>
  <c r="H93" i="142"/>
  <c r="I93" i="142"/>
  <c r="J93" i="142"/>
  <c r="L93" i="142"/>
  <c r="M93" i="142"/>
  <c r="D199" i="136" l="1"/>
  <c r="D250" i="136"/>
  <c r="D95" i="98"/>
  <c r="D109" i="98" s="1"/>
  <c r="H7" i="115"/>
  <c r="C47" i="115"/>
  <c r="C53" i="115" s="1"/>
  <c r="D733" i="135"/>
  <c r="D184" i="136"/>
  <c r="C20" i="115"/>
  <c r="C24" i="115"/>
  <c r="H35" i="115"/>
  <c r="H11" i="115"/>
  <c r="H36" i="115"/>
  <c r="D228" i="136"/>
  <c r="D140" i="98"/>
  <c r="D132" i="98"/>
  <c r="D119" i="98"/>
  <c r="D722" i="135"/>
  <c r="D73" i="142"/>
  <c r="H46" i="115" l="1"/>
  <c r="D204" i="136"/>
  <c r="C29" i="115"/>
  <c r="C32" i="115" s="1"/>
  <c r="C57" i="115" s="1"/>
  <c r="D126" i="98"/>
  <c r="D231" i="136"/>
  <c r="D135" i="98"/>
  <c r="H8" i="115"/>
  <c r="C20" i="49"/>
  <c r="H32" i="115" l="1"/>
  <c r="H57" i="115" s="1"/>
  <c r="D253" i="136"/>
  <c r="D147" i="98"/>
  <c r="C392" i="44"/>
  <c r="C21" i="48"/>
  <c r="C55" i="47"/>
  <c r="C29" i="47"/>
  <c r="C451" i="135" l="1"/>
  <c r="C379" i="135"/>
  <c r="C64" i="98"/>
  <c r="C361" i="135"/>
  <c r="C360" i="135"/>
  <c r="C37" i="136"/>
  <c r="C31" i="136" s="1"/>
  <c r="C28" i="136"/>
  <c r="C13" i="136"/>
  <c r="C12" i="136"/>
  <c r="C11" i="136"/>
  <c r="C60" i="48"/>
  <c r="C47" i="48"/>
  <c r="C56" i="48" l="1"/>
  <c r="C25" i="48"/>
  <c r="C71" i="47"/>
  <c r="C68" i="47"/>
  <c r="C52" i="47"/>
  <c r="C20" i="47"/>
  <c r="C30" i="47" l="1"/>
  <c r="C34" i="48"/>
  <c r="C64" i="47"/>
  <c r="C383" i="135"/>
  <c r="C416" i="135"/>
  <c r="C105" i="136" l="1"/>
  <c r="C16" i="49"/>
  <c r="C469" i="135" l="1"/>
  <c r="C72" i="125" l="1"/>
  <c r="C874" i="44"/>
  <c r="C870" i="44"/>
  <c r="C868" i="44"/>
  <c r="C867" i="44"/>
  <c r="C45" i="48" l="1"/>
  <c r="C101" i="47"/>
  <c r="C97" i="47"/>
  <c r="C85" i="47"/>
  <c r="C92" i="47" l="1"/>
  <c r="C61" i="48"/>
  <c r="C67" i="125"/>
  <c r="C44" i="125"/>
  <c r="C49" i="125" l="1"/>
  <c r="C55" i="43"/>
  <c r="C15" i="98" s="1"/>
  <c r="C53" i="43" l="1"/>
  <c r="C52" i="43"/>
  <c r="C54" i="43" l="1"/>
  <c r="C358" i="44"/>
  <c r="C788" i="44" l="1"/>
  <c r="C770" i="44"/>
  <c r="C743" i="44"/>
  <c r="C681" i="44"/>
  <c r="C655" i="44"/>
  <c r="C573" i="44"/>
  <c r="C396" i="44"/>
  <c r="C350" i="44"/>
  <c r="C871" i="44" l="1"/>
  <c r="G159" i="141"/>
  <c r="D47" i="142"/>
  <c r="D13" i="142"/>
  <c r="C459" i="135"/>
  <c r="C233" i="44"/>
  <c r="D54" i="142"/>
  <c r="C373" i="135" l="1"/>
  <c r="L40" i="141" l="1"/>
  <c r="L38" i="141"/>
  <c r="D53" i="142"/>
  <c r="D27" i="142"/>
  <c r="C497" i="44" l="1"/>
  <c r="L52" i="141" l="1"/>
  <c r="L48" i="141"/>
  <c r="D40" i="141"/>
  <c r="L131" i="141"/>
  <c r="D57" i="142"/>
  <c r="D40" i="142"/>
  <c r="O22" i="144"/>
  <c r="D10" i="142" l="1"/>
  <c r="C498" i="135" l="1"/>
  <c r="C338" i="135"/>
  <c r="C335" i="135"/>
  <c r="C270" i="135"/>
  <c r="C463" i="135" l="1"/>
  <c r="C458" i="135"/>
  <c r="C339" i="135"/>
  <c r="C76" i="47" l="1"/>
  <c r="C93" i="47" l="1"/>
  <c r="C66" i="125"/>
  <c r="C65" i="125"/>
  <c r="C847" i="44" l="1"/>
  <c r="C623" i="44" l="1"/>
  <c r="C869" i="44" l="1"/>
  <c r="C17" i="44"/>
  <c r="I18" i="138" l="1"/>
  <c r="G12" i="115" l="1"/>
  <c r="B8" i="115"/>
  <c r="C248" i="136"/>
  <c r="C243" i="136"/>
  <c r="C241" i="136"/>
  <c r="C234" i="136"/>
  <c r="B35" i="115" s="1"/>
  <c r="C233" i="136"/>
  <c r="B34" i="115" s="1"/>
  <c r="C232" i="136"/>
  <c r="B33" i="115" s="1"/>
  <c r="C222" i="136"/>
  <c r="B22" i="115" s="1"/>
  <c r="C219" i="136"/>
  <c r="C213" i="136"/>
  <c r="B12" i="115" s="1"/>
  <c r="C212" i="136"/>
  <c r="B11" i="115" s="1"/>
  <c r="C210" i="136"/>
  <c r="B10" i="115" s="1"/>
  <c r="C209" i="136"/>
  <c r="C191" i="136"/>
  <c r="C160" i="136"/>
  <c r="C153" i="136"/>
  <c r="C149" i="136"/>
  <c r="C128" i="136"/>
  <c r="C127" i="136"/>
  <c r="C123" i="136"/>
  <c r="C115" i="136"/>
  <c r="C112" i="136"/>
  <c r="C94" i="136"/>
  <c r="C86" i="136"/>
  <c r="C79" i="136"/>
  <c r="C61" i="136"/>
  <c r="C55" i="136"/>
  <c r="C45" i="136"/>
  <c r="C24" i="136"/>
  <c r="C10" i="136"/>
  <c r="C145" i="98"/>
  <c r="C143" i="98"/>
  <c r="C141" i="98"/>
  <c r="C107" i="98"/>
  <c r="C78" i="98"/>
  <c r="C72" i="98"/>
  <c r="C70" i="98"/>
  <c r="C54" i="98"/>
  <c r="C52" i="98"/>
  <c r="C51" i="98"/>
  <c r="C46" i="98"/>
  <c r="C45" i="98"/>
  <c r="C44" i="98"/>
  <c r="C16" i="98"/>
  <c r="C726" i="135"/>
  <c r="C712" i="135"/>
  <c r="C709" i="135"/>
  <c r="C698" i="135"/>
  <c r="C696" i="135"/>
  <c r="C656" i="135"/>
  <c r="C652" i="135"/>
  <c r="C643" i="135"/>
  <c r="C626" i="135"/>
  <c r="C620" i="135"/>
  <c r="C599" i="135"/>
  <c r="C581" i="135"/>
  <c r="C580" i="135"/>
  <c r="C578" i="135"/>
  <c r="C577" i="135"/>
  <c r="C575" i="135"/>
  <c r="C574" i="135"/>
  <c r="C571" i="135"/>
  <c r="C569" i="135"/>
  <c r="C567" i="135"/>
  <c r="C566" i="135"/>
  <c r="C564" i="135"/>
  <c r="C560" i="135"/>
  <c r="C559" i="135"/>
  <c r="C558" i="135"/>
  <c r="C557" i="135"/>
  <c r="C556" i="135"/>
  <c r="C553" i="135"/>
  <c r="C546" i="135"/>
  <c r="C542" i="135"/>
  <c r="C576" i="135"/>
  <c r="C533" i="135"/>
  <c r="C568" i="135"/>
  <c r="C526" i="135"/>
  <c r="C511" i="135"/>
  <c r="C507" i="135"/>
  <c r="C481" i="135"/>
  <c r="C470" i="135"/>
  <c r="C464" i="135"/>
  <c r="C461" i="135"/>
  <c r="C711" i="135"/>
  <c r="C450" i="135"/>
  <c r="C449" i="135"/>
  <c r="C447" i="135"/>
  <c r="C446" i="135"/>
  <c r="C444" i="135"/>
  <c r="C448" i="135"/>
  <c r="C356" i="135"/>
  <c r="C347" i="135"/>
  <c r="C343" i="135"/>
  <c r="C315" i="135"/>
  <c r="C281" i="135"/>
  <c r="C247" i="135"/>
  <c r="C213" i="135"/>
  <c r="C179" i="135"/>
  <c r="C166" i="135"/>
  <c r="C145" i="135"/>
  <c r="C110" i="135"/>
  <c r="C76" i="135"/>
  <c r="C41" i="135"/>
  <c r="C61" i="43"/>
  <c r="C60" i="43"/>
  <c r="C59" i="43"/>
  <c r="C18" i="98" s="1"/>
  <c r="C49" i="43"/>
  <c r="C39" i="43"/>
  <c r="C18" i="43"/>
  <c r="C875" i="44"/>
  <c r="C30" i="98" s="1"/>
  <c r="C29" i="98"/>
  <c r="C864" i="44"/>
  <c r="C839" i="44"/>
  <c r="C831" i="44"/>
  <c r="C823" i="44"/>
  <c r="C815" i="44"/>
  <c r="C807" i="44"/>
  <c r="C799" i="44"/>
  <c r="C782" i="44"/>
  <c r="C774" i="44"/>
  <c r="C765" i="44"/>
  <c r="C757" i="44"/>
  <c r="C748" i="44"/>
  <c r="C739" i="44"/>
  <c r="C701" i="44"/>
  <c r="C693" i="44"/>
  <c r="C685" i="44"/>
  <c r="C677" i="44"/>
  <c r="C668" i="44"/>
  <c r="C659" i="44"/>
  <c r="C651" i="44"/>
  <c r="C643" i="44"/>
  <c r="C635" i="44"/>
  <c r="C627" i="44"/>
  <c r="C619" i="44"/>
  <c r="C611" i="44"/>
  <c r="C603" i="44"/>
  <c r="C594" i="44"/>
  <c r="C585" i="44"/>
  <c r="C577" i="44"/>
  <c r="C569" i="44"/>
  <c r="C561" i="44"/>
  <c r="C553" i="44"/>
  <c r="C545" i="44"/>
  <c r="C537" i="44"/>
  <c r="C529" i="44"/>
  <c r="C521" i="44"/>
  <c r="C513" i="44"/>
  <c r="C505" i="44"/>
  <c r="C488" i="44"/>
  <c r="C479" i="44"/>
  <c r="C459" i="44"/>
  <c r="C451" i="44"/>
  <c r="C433" i="44"/>
  <c r="C424" i="44"/>
  <c r="C415" i="44"/>
  <c r="C876" i="44"/>
  <c r="C388" i="44"/>
  <c r="C372" i="44"/>
  <c r="C362" i="44"/>
  <c r="C345" i="44"/>
  <c r="C334" i="44"/>
  <c r="C314" i="44"/>
  <c r="C305" i="44"/>
  <c r="C297" i="44"/>
  <c r="C289" i="44"/>
  <c r="C279" i="44"/>
  <c r="C269" i="44"/>
  <c r="C261" i="44"/>
  <c r="C253" i="44"/>
  <c r="C224" i="44"/>
  <c r="C215" i="44"/>
  <c r="C206" i="44"/>
  <c r="C198" i="44"/>
  <c r="C190" i="44"/>
  <c r="C181" i="44"/>
  <c r="C172" i="44"/>
  <c r="C164" i="44"/>
  <c r="C148" i="44"/>
  <c r="C140" i="44"/>
  <c r="C131" i="44"/>
  <c r="C123" i="44"/>
  <c r="C115" i="44"/>
  <c r="C105" i="44"/>
  <c r="C97" i="44"/>
  <c r="C87" i="44"/>
  <c r="C78" i="44"/>
  <c r="C70" i="44"/>
  <c r="C61" i="44"/>
  <c r="C52" i="44"/>
  <c r="C43" i="44"/>
  <c r="C34" i="44"/>
  <c r="C25" i="44"/>
  <c r="C39" i="98"/>
  <c r="C71" i="125"/>
  <c r="C36" i="98"/>
  <c r="C35" i="98"/>
  <c r="C34" i="98"/>
  <c r="C63" i="125"/>
  <c r="C29" i="125"/>
  <c r="C19" i="125"/>
  <c r="C11" i="125"/>
  <c r="C103" i="47"/>
  <c r="C42" i="98"/>
  <c r="C53" i="98"/>
  <c r="C70" i="136" l="1"/>
  <c r="F293" i="146"/>
  <c r="C48" i="98"/>
  <c r="C18" i="125"/>
  <c r="C69" i="125"/>
  <c r="C38" i="98"/>
  <c r="G48" i="115"/>
  <c r="G54" i="115"/>
  <c r="G55" i="115" s="1"/>
  <c r="C98" i="136"/>
  <c r="C137" i="136"/>
  <c r="C142" i="136" s="1"/>
  <c r="C364" i="135"/>
  <c r="C169" i="136"/>
  <c r="C601" i="135"/>
  <c r="C181" i="136"/>
  <c r="C182" i="136" s="1"/>
  <c r="C229" i="136" s="1"/>
  <c r="C528" i="135"/>
  <c r="C565" i="135"/>
  <c r="C193" i="136"/>
  <c r="C194" i="136" s="1"/>
  <c r="C714" i="135"/>
  <c r="C552" i="135"/>
  <c r="C715" i="135"/>
  <c r="C635" i="135"/>
  <c r="C697" i="135"/>
  <c r="C169" i="135"/>
  <c r="C246" i="136"/>
  <c r="C443" i="44"/>
  <c r="B19" i="115"/>
  <c r="C350" i="135"/>
  <c r="C472" i="135"/>
  <c r="C249" i="136"/>
  <c r="B51" i="115" s="1"/>
  <c r="C716" i="135"/>
  <c r="C215" i="136"/>
  <c r="C19" i="98"/>
  <c r="C62" i="43"/>
  <c r="C173" i="44"/>
  <c r="C238" i="136"/>
  <c r="C37" i="125"/>
  <c r="C14" i="49"/>
  <c r="G13" i="115" s="1"/>
  <c r="C26" i="49"/>
  <c r="C80" i="98" s="1"/>
  <c r="C73" i="48"/>
  <c r="C99" i="47"/>
  <c r="G47" i="115"/>
  <c r="C27" i="136"/>
  <c r="C43" i="136" s="1"/>
  <c r="C235" i="136"/>
  <c r="B36" i="115" s="1"/>
  <c r="B43" i="115"/>
  <c r="C157" i="136"/>
  <c r="C103" i="98"/>
  <c r="B48" i="115"/>
  <c r="C703" i="135"/>
  <c r="C473" i="135"/>
  <c r="C572" i="135"/>
  <c r="C720" i="135"/>
  <c r="C117" i="98"/>
  <c r="C167" i="136"/>
  <c r="C702" i="135"/>
  <c r="C706" i="135"/>
  <c r="C28" i="98"/>
  <c r="C43" i="98"/>
  <c r="C239" i="136"/>
  <c r="C187" i="136"/>
  <c r="C457" i="135"/>
  <c r="C17" i="98"/>
  <c r="C14" i="98"/>
  <c r="C8" i="43"/>
  <c r="B47" i="115"/>
  <c r="C67" i="48"/>
  <c r="F264" i="146"/>
  <c r="C31" i="98"/>
  <c r="C27" i="98"/>
  <c r="C9" i="44"/>
  <c r="C156" i="44"/>
  <c r="C354" i="44"/>
  <c r="C703" i="44"/>
  <c r="F232" i="146"/>
  <c r="C79" i="44"/>
  <c r="C62" i="44"/>
  <c r="C89" i="44"/>
  <c r="C397" i="44"/>
  <c r="C208" i="136"/>
  <c r="C22" i="136"/>
  <c r="C92" i="136"/>
  <c r="C146" i="98"/>
  <c r="C468" i="135"/>
  <c r="C700" i="135"/>
  <c r="C718" i="135"/>
  <c r="C583" i="135"/>
  <c r="C657" i="135"/>
  <c r="C707" i="135"/>
  <c r="C727" i="135"/>
  <c r="C705" i="135"/>
  <c r="C512" i="135"/>
  <c r="C547" i="135"/>
  <c r="C570" i="135"/>
  <c r="C579" i="135"/>
  <c r="C704" i="135"/>
  <c r="C437" i="135"/>
  <c r="C606" i="135"/>
  <c r="C382" i="135"/>
  <c r="C445" i="135"/>
  <c r="C615" i="135"/>
  <c r="C490" i="135"/>
  <c r="C877" i="44"/>
  <c r="C337" i="44"/>
  <c r="C791" i="44"/>
  <c r="C766" i="44" l="1"/>
  <c r="C324" i="44"/>
  <c r="C132" i="44"/>
  <c r="C88" i="44" s="1"/>
  <c r="C162" i="136"/>
  <c r="C23" i="125"/>
  <c r="B15" i="115"/>
  <c r="B39" i="115"/>
  <c r="C217" i="136"/>
  <c r="B17" i="115" s="1"/>
  <c r="C536" i="135"/>
  <c r="C561" i="135"/>
  <c r="C174" i="136"/>
  <c r="C177" i="136"/>
  <c r="C226" i="136" s="1"/>
  <c r="C118" i="98"/>
  <c r="C173" i="136"/>
  <c r="C637" i="135"/>
  <c r="C178" i="136"/>
  <c r="C730" i="135"/>
  <c r="C729" i="135"/>
  <c r="C366" i="135"/>
  <c r="C721" i="135"/>
  <c r="C725" i="135"/>
  <c r="C88" i="98"/>
  <c r="C94" i="98"/>
  <c r="C86" i="98"/>
  <c r="C168" i="136"/>
  <c r="C230" i="136"/>
  <c r="C188" i="136"/>
  <c r="B40" i="115"/>
  <c r="C242" i="136"/>
  <c r="C244" i="136" s="1"/>
  <c r="C79" i="98"/>
  <c r="C211" i="136"/>
  <c r="C48" i="141"/>
  <c r="C63" i="141"/>
  <c r="C70" i="48"/>
  <c r="C119" i="141"/>
  <c r="C77" i="141"/>
  <c r="C68" i="125"/>
  <c r="C102" i="47"/>
  <c r="C107" i="136"/>
  <c r="C216" i="136"/>
  <c r="E9" i="145" s="1"/>
  <c r="C240" i="136"/>
  <c r="E18" i="145" s="1"/>
  <c r="B30" i="115"/>
  <c r="B31" i="115" s="1"/>
  <c r="C175" i="136"/>
  <c r="C176" i="136"/>
  <c r="C102" i="98"/>
  <c r="C171" i="136"/>
  <c r="C702" i="44"/>
  <c r="B7" i="115"/>
  <c r="C609" i="135"/>
  <c r="C236" i="136"/>
  <c r="C379" i="44"/>
  <c r="C40" i="141"/>
  <c r="C621" i="135"/>
  <c r="C584" i="135"/>
  <c r="C475" i="135"/>
  <c r="C438" i="135"/>
  <c r="C492" i="135"/>
  <c r="C701" i="135"/>
  <c r="C443" i="135"/>
  <c r="C73" i="125" l="1"/>
  <c r="C64" i="125"/>
  <c r="E27" i="145"/>
  <c r="C563" i="135"/>
  <c r="C573" i="135" s="1"/>
  <c r="C47" i="98"/>
  <c r="C41" i="98" s="1"/>
  <c r="C55" i="98"/>
  <c r="C70" i="125"/>
  <c r="C133" i="98"/>
  <c r="G9" i="115" s="1"/>
  <c r="C81" i="136"/>
  <c r="C117" i="136" s="1"/>
  <c r="B42" i="115"/>
  <c r="C227" i="136"/>
  <c r="C223" i="136"/>
  <c r="B23" i="115" s="1"/>
  <c r="C221" i="136"/>
  <c r="C376" i="135"/>
  <c r="C732" i="135"/>
  <c r="C122" i="98"/>
  <c r="C121" i="98"/>
  <c r="C172" i="136"/>
  <c r="C646" i="135"/>
  <c r="C202" i="136"/>
  <c r="C251" i="136" s="1"/>
  <c r="C116" i="98"/>
  <c r="C139" i="98"/>
  <c r="B9" i="115"/>
  <c r="B14" i="115" s="1"/>
  <c r="B44" i="115"/>
  <c r="B45" i="115" s="1"/>
  <c r="B26" i="115"/>
  <c r="F18" i="145"/>
  <c r="C85" i="141"/>
  <c r="C214" i="136"/>
  <c r="C37" i="98"/>
  <c r="C72" i="48"/>
  <c r="C218" i="136"/>
  <c r="B16" i="115"/>
  <c r="B18" i="115" s="1"/>
  <c r="F9" i="145"/>
  <c r="C225" i="136"/>
  <c r="C224" i="136"/>
  <c r="C104" i="47"/>
  <c r="B37" i="115"/>
  <c r="B38" i="115" s="1"/>
  <c r="C237" i="136"/>
  <c r="C452" i="135"/>
  <c r="C501" i="135"/>
  <c r="C699" i="135"/>
  <c r="C93" i="98" l="1"/>
  <c r="C138" i="98" s="1"/>
  <c r="B21" i="115"/>
  <c r="C50" i="98"/>
  <c r="C92" i="98"/>
  <c r="C105" i="47"/>
  <c r="F92" i="147"/>
  <c r="C252" i="136"/>
  <c r="B54" i="115"/>
  <c r="B55" i="115" s="1"/>
  <c r="C170" i="136"/>
  <c r="B28" i="115"/>
  <c r="B46" i="115"/>
  <c r="C124" i="98"/>
  <c r="C33" i="98"/>
  <c r="G37" i="115"/>
  <c r="F27" i="145"/>
  <c r="B25" i="115"/>
  <c r="B24" i="115"/>
  <c r="C87" i="98"/>
  <c r="C245" i="136"/>
  <c r="C454" i="135"/>
  <c r="C708" i="135"/>
  <c r="C137" i="98" l="1"/>
  <c r="G35" i="115" s="1"/>
  <c r="C95" i="98"/>
  <c r="C179" i="136"/>
  <c r="C184" i="136" s="1"/>
  <c r="C220" i="136"/>
  <c r="G36" i="115"/>
  <c r="C134" i="98"/>
  <c r="C710" i="135"/>
  <c r="C140" i="98" l="1"/>
  <c r="B20" i="115"/>
  <c r="B29" i="115" s="1"/>
  <c r="B32" i="115" s="1"/>
  <c r="B57" i="115" s="1"/>
  <c r="C228" i="136"/>
  <c r="C231" i="136" s="1"/>
  <c r="G11" i="115"/>
  <c r="G46" i="115"/>
  <c r="O24" i="144"/>
  <c r="C253" i="136" l="1"/>
  <c r="C13" i="98" l="1"/>
  <c r="C29" i="43"/>
  <c r="C19" i="43" l="1"/>
  <c r="C12" i="98"/>
  <c r="C57" i="43"/>
  <c r="C63" i="43" s="1"/>
  <c r="D156" i="141"/>
  <c r="C64" i="43" l="1"/>
  <c r="C11" i="98"/>
  <c r="C268" i="135" l="1"/>
  <c r="C97" i="135"/>
  <c r="C72" i="135"/>
  <c r="C200" i="135"/>
  <c r="C63" i="135"/>
  <c r="C243" i="135"/>
  <c r="C302" i="135"/>
  <c r="C132" i="135"/>
  <c r="C311" i="135"/>
  <c r="C141" i="135"/>
  <c r="C234" i="135"/>
  <c r="C77" i="135" l="1"/>
  <c r="C316" i="135"/>
  <c r="C305" i="135"/>
  <c r="C271" i="135"/>
  <c r="C248" i="135"/>
  <c r="C237" i="135"/>
  <c r="C203" i="135"/>
  <c r="C146" i="135"/>
  <c r="C135" i="135"/>
  <c r="C100" i="135"/>
  <c r="C66" i="135"/>
  <c r="C342" i="135"/>
  <c r="C209" i="135"/>
  <c r="C341" i="135"/>
  <c r="C37" i="135"/>
  <c r="C175" i="135"/>
  <c r="C106" i="135"/>
  <c r="C28" i="135"/>
  <c r="C336" i="135"/>
  <c r="C277" i="135"/>
  <c r="C31" i="135" l="1"/>
  <c r="C282" i="135"/>
  <c r="C214" i="135"/>
  <c r="C180" i="135"/>
  <c r="C111" i="135"/>
  <c r="C42" i="135"/>
  <c r="C467" i="135"/>
  <c r="C460" i="135"/>
  <c r="C337" i="135"/>
  <c r="C466" i="135"/>
  <c r="C346" i="135"/>
  <c r="C724" i="135" l="1"/>
  <c r="C340" i="135"/>
  <c r="C351" i="135"/>
  <c r="C471" i="135"/>
  <c r="C723" i="135"/>
  <c r="C717" i="135"/>
  <c r="C462" i="135"/>
  <c r="C115" i="98" l="1"/>
  <c r="C465" i="135"/>
  <c r="C476" i="135"/>
  <c r="C114" i="98"/>
  <c r="C728" i="135"/>
  <c r="C198" i="136"/>
  <c r="C719" i="135"/>
  <c r="C101" i="98"/>
  <c r="C722" i="135" l="1"/>
  <c r="C733" i="135"/>
  <c r="C119" i="98"/>
  <c r="C247" i="136"/>
  <c r="C199" i="136"/>
  <c r="C204" i="136" l="1"/>
  <c r="C126" i="98"/>
  <c r="C250" i="136"/>
  <c r="B49" i="115"/>
  <c r="B53" i="115" s="1"/>
  <c r="O6" i="144" l="1"/>
  <c r="L128" i="141" l="1"/>
  <c r="L159" i="141" s="1"/>
  <c r="C25" i="98" l="1"/>
  <c r="C26" i="98"/>
  <c r="C85" i="98" l="1"/>
  <c r="C84" i="98"/>
  <c r="C131" i="98" s="1"/>
  <c r="G7" i="115" s="1"/>
  <c r="C242" i="44"/>
  <c r="C132" i="98" l="1"/>
  <c r="G8" i="115" s="1"/>
  <c r="C234" i="44"/>
  <c r="C872" i="44"/>
  <c r="C24" i="98"/>
  <c r="C878" i="44" l="1"/>
  <c r="C23" i="98"/>
  <c r="C83" i="98"/>
  <c r="C130" i="98" l="1"/>
  <c r="C89" i="98"/>
  <c r="G6" i="115" l="1"/>
  <c r="G32" i="115" s="1"/>
  <c r="C135" i="98"/>
  <c r="C147" i="98" l="1"/>
  <c r="G57" i="115"/>
  <c r="C100" i="98" l="1"/>
  <c r="C142" i="98" l="1"/>
  <c r="G49" i="115" l="1"/>
  <c r="G53" i="115" s="1"/>
  <c r="C104" i="98"/>
  <c r="C144" i="98" l="1"/>
  <c r="C109" i="98"/>
  <c r="D153" i="141" l="1"/>
  <c r="D147" i="141" l="1"/>
  <c r="F70" i="147" l="1"/>
  <c r="F405" i="146"/>
  <c r="F59" i="147" l="1"/>
  <c r="F28" i="146" l="1"/>
  <c r="F358" i="146" l="1"/>
  <c r="C128" i="141"/>
  <c r="F339" i="146"/>
  <c r="F218" i="146"/>
  <c r="D143" i="141"/>
  <c r="D14" i="142" l="1"/>
  <c r="F5" i="147" l="1"/>
  <c r="D39" i="142"/>
  <c r="D32" i="142" l="1"/>
  <c r="D28" i="142"/>
  <c r="F82" i="146"/>
  <c r="E49" i="139"/>
  <c r="O18" i="144" l="1"/>
  <c r="F409" i="146" l="1"/>
  <c r="F196" i="146"/>
  <c r="F97" i="147"/>
  <c r="C131" i="141" l="1"/>
  <c r="O30" i="144" l="1"/>
  <c r="D85" i="142" l="1"/>
  <c r="D7" i="142" l="1"/>
  <c r="D24" i="142" l="1"/>
  <c r="D9" i="142" l="1"/>
  <c r="D45" i="142" l="1"/>
  <c r="D35" i="142"/>
  <c r="D11" i="142"/>
  <c r="D16" i="142"/>
  <c r="F279" i="146" l="1"/>
  <c r="D60" i="142"/>
  <c r="D49" i="142"/>
  <c r="D138" i="141" l="1"/>
  <c r="F284" i="146" l="1"/>
  <c r="C36" i="141" l="1"/>
  <c r="F188" i="146" l="1"/>
  <c r="E18" i="139"/>
  <c r="D59" i="142" l="1"/>
  <c r="F40" i="139"/>
  <c r="G40" i="139"/>
  <c r="H40" i="139"/>
  <c r="I40" i="139"/>
  <c r="E38" i="139"/>
  <c r="D142" i="141" l="1"/>
  <c r="D36" i="142"/>
  <c r="F331" i="146" l="1"/>
  <c r="D18" i="142" l="1"/>
  <c r="F369" i="146" l="1"/>
  <c r="F347" i="146"/>
  <c r="F343" i="146"/>
  <c r="F303" i="146"/>
  <c r="F260" i="146"/>
  <c r="F240" i="146"/>
  <c r="F223" i="146"/>
  <c r="F203" i="146"/>
  <c r="F129" i="146"/>
  <c r="F113" i="146"/>
  <c r="F105" i="146"/>
  <c r="F86" i="146"/>
  <c r="I27" i="145"/>
  <c r="H27" i="145"/>
  <c r="G27" i="145"/>
  <c r="N40" i="144"/>
  <c r="M40" i="144"/>
  <c r="L40" i="144"/>
  <c r="K40" i="144"/>
  <c r="J40" i="144"/>
  <c r="I40" i="144"/>
  <c r="H40" i="144"/>
  <c r="G40" i="144"/>
  <c r="F40" i="144"/>
  <c r="E40" i="144"/>
  <c r="D40" i="144"/>
  <c r="C40" i="144"/>
  <c r="O36" i="144"/>
  <c r="O34" i="144"/>
  <c r="O32" i="144"/>
  <c r="O28" i="144"/>
  <c r="O26" i="144"/>
  <c r="N20" i="144"/>
  <c r="M20" i="144"/>
  <c r="L20" i="144"/>
  <c r="K20" i="144"/>
  <c r="J20" i="144"/>
  <c r="I20" i="144"/>
  <c r="H20" i="144"/>
  <c r="G20" i="144"/>
  <c r="F20" i="144"/>
  <c r="E20" i="144"/>
  <c r="D20" i="144"/>
  <c r="C20" i="144"/>
  <c r="O16" i="144"/>
  <c r="O14" i="144"/>
  <c r="O12" i="144"/>
  <c r="O10" i="144"/>
  <c r="O8" i="144"/>
  <c r="G12" i="143"/>
  <c r="E12" i="143"/>
  <c r="D12" i="143"/>
  <c r="C12" i="143"/>
  <c r="D83" i="142"/>
  <c r="D82" i="142"/>
  <c r="D75" i="142"/>
  <c r="D74" i="142"/>
  <c r="D72" i="142"/>
  <c r="D71" i="142"/>
  <c r="D70" i="142"/>
  <c r="D69" i="142"/>
  <c r="D68" i="142"/>
  <c r="D67" i="142"/>
  <c r="D66" i="142"/>
  <c r="D65" i="142"/>
  <c r="D64" i="142"/>
  <c r="D63" i="142"/>
  <c r="D58" i="142"/>
  <c r="D56" i="142"/>
  <c r="D55" i="142"/>
  <c r="D52" i="142"/>
  <c r="D51" i="142"/>
  <c r="D50" i="142"/>
  <c r="D48" i="142"/>
  <c r="D44" i="142"/>
  <c r="D43" i="142"/>
  <c r="D42" i="142"/>
  <c r="D41" i="142"/>
  <c r="D38" i="142"/>
  <c r="D37" i="142"/>
  <c r="D34" i="142"/>
  <c r="D33" i="142"/>
  <c r="D31" i="142"/>
  <c r="D30" i="142"/>
  <c r="D29" i="142"/>
  <c r="D26" i="142"/>
  <c r="D25" i="142"/>
  <c r="D15" i="142"/>
  <c r="D12" i="142"/>
  <c r="D8" i="142"/>
  <c r="D155" i="141"/>
  <c r="D152" i="141"/>
  <c r="D151" i="141"/>
  <c r="D146" i="141"/>
  <c r="D145" i="141"/>
  <c r="D144" i="141"/>
  <c r="D141" i="141"/>
  <c r="D140" i="141"/>
  <c r="D139" i="141"/>
  <c r="D137" i="141"/>
  <c r="D136" i="141"/>
  <c r="D135" i="141"/>
  <c r="D131" i="141"/>
  <c r="D128" i="141"/>
  <c r="D119" i="141"/>
  <c r="D118" i="141"/>
  <c r="D117" i="141"/>
  <c r="D77" i="141"/>
  <c r="D75" i="141"/>
  <c r="D63" i="141"/>
  <c r="D52" i="141"/>
  <c r="D48" i="141"/>
  <c r="D47" i="141"/>
  <c r="D46" i="141"/>
  <c r="D45" i="141"/>
  <c r="D38" i="141"/>
  <c r="D36" i="141"/>
  <c r="J79" i="139"/>
  <c r="J81" i="139" s="1"/>
  <c r="I79" i="139"/>
  <c r="I81" i="139" s="1"/>
  <c r="H79" i="139"/>
  <c r="H81" i="139" s="1"/>
  <c r="E75" i="139"/>
  <c r="E73" i="139"/>
  <c r="G71" i="139"/>
  <c r="F79" i="139"/>
  <c r="F81" i="139" s="1"/>
  <c r="E69" i="139"/>
  <c r="E67" i="139"/>
  <c r="E65" i="139"/>
  <c r="E63" i="139"/>
  <c r="E61" i="139"/>
  <c r="E59" i="139"/>
  <c r="E57" i="139"/>
  <c r="E55" i="139"/>
  <c r="E53" i="139"/>
  <c r="E51" i="139"/>
  <c r="E36" i="139"/>
  <c r="E34" i="139"/>
  <c r="E32" i="139"/>
  <c r="E30" i="139"/>
  <c r="E28" i="139"/>
  <c r="E26" i="139"/>
  <c r="E24" i="139"/>
  <c r="E22" i="139"/>
  <c r="E20" i="139"/>
  <c r="E16" i="139"/>
  <c r="E14" i="139"/>
  <c r="E11" i="137"/>
  <c r="D159" i="141" l="1"/>
  <c r="D93" i="142"/>
  <c r="O20" i="144"/>
  <c r="O40" i="144"/>
  <c r="E40" i="139"/>
  <c r="E71" i="139"/>
  <c r="E79" i="139" s="1"/>
  <c r="G79" i="139"/>
  <c r="G81" i="139" s="1"/>
  <c r="E81" i="139" l="1"/>
  <c r="F227" i="146" l="1"/>
  <c r="C38" i="141"/>
  <c r="F121" i="146"/>
  <c r="F180" i="146"/>
  <c r="F101" i="146"/>
  <c r="F133" i="146"/>
  <c r="F88" i="147"/>
  <c r="F299" i="146"/>
  <c r="F125" i="146"/>
  <c r="F381" i="146"/>
  <c r="C75" i="141"/>
  <c r="F373" i="146"/>
  <c r="F316" i="146"/>
  <c r="F192" i="146"/>
  <c r="F117" i="146"/>
  <c r="F377" i="146"/>
  <c r="F109" i="146"/>
  <c r="F273" i="146"/>
  <c r="F401" i="146"/>
  <c r="F184" i="146"/>
  <c r="F327" i="146"/>
  <c r="F312" i="146"/>
  <c r="F335" i="146"/>
  <c r="C159" i="141" l="1"/>
  <c r="F90" i="146"/>
  <c r="F385" i="146"/>
  <c r="F307" i="146"/>
  <c r="F207" i="146"/>
  <c r="F214" i="146"/>
  <c r="F320" i="146"/>
  <c r="F351" i="146"/>
  <c r="F107" i="147" l="1"/>
  <c r="F74" i="147"/>
  <c r="F111" i="147" l="1"/>
  <c r="F288" i="146"/>
  <c r="F419" i="146" s="1"/>
</calcChain>
</file>

<file path=xl/sharedStrings.xml><?xml version="1.0" encoding="utf-8"?>
<sst xmlns="http://schemas.openxmlformats.org/spreadsheetml/2006/main" count="3628" uniqueCount="1401">
  <si>
    <t xml:space="preserve">       - Helyiség megszerzési díj  </t>
  </si>
  <si>
    <t xml:space="preserve">       - Önkormányzat közvetített szolgáltatások ellenértéke  </t>
  </si>
  <si>
    <t xml:space="preserve">     - Működési célú költségvetési támogatások és kiegészítő támogatások</t>
  </si>
  <si>
    <t xml:space="preserve">     - Elszámolásból származó bevételek</t>
  </si>
  <si>
    <t xml:space="preserve">       - Nyomvonal létesítés kártalanítás</t>
  </si>
  <si>
    <t xml:space="preserve">Egyéb közhatalmi bevételek </t>
  </si>
  <si>
    <t>Akadálymentesítési támogatás</t>
  </si>
  <si>
    <t>Ferencvárosi Helytörténeti Egyesület</t>
  </si>
  <si>
    <t>Gyermekétkeztetés támogatása</t>
  </si>
  <si>
    <t>Gépkocsi elszállítás</t>
  </si>
  <si>
    <t>Jövedelempótló rendszeres támogatás</t>
  </si>
  <si>
    <t>Közüzemi díj és közös költség támogatása</t>
  </si>
  <si>
    <t xml:space="preserve">                        ebből: kiemelt rendezvények</t>
  </si>
  <si>
    <t xml:space="preserve">   Beruházási kiadások</t>
  </si>
  <si>
    <t>Közfoglalkoztatottak pályázat tám.önrésze, kapcs.egyéb kiad.tám.</t>
  </si>
  <si>
    <t xml:space="preserve">Ferencvárosi Intézmény Üzemeltetési Központ </t>
  </si>
  <si>
    <t>FEV IX. Zrt. támogatása</t>
  </si>
  <si>
    <t>Térfigyelő rendszer fejlesztése</t>
  </si>
  <si>
    <t>Humánszolgáltatási feladatok</t>
  </si>
  <si>
    <t>Karaván Művészeti Alapítvány</t>
  </si>
  <si>
    <t xml:space="preserve">   Munkaadókat terhelő járulékok</t>
  </si>
  <si>
    <t xml:space="preserve">    Építményadó                        </t>
  </si>
  <si>
    <t xml:space="preserve">    Telekadó                   </t>
  </si>
  <si>
    <t xml:space="preserve">Felhalmozási finanszírozási kiadások </t>
  </si>
  <si>
    <t xml:space="preserve">Működési finanszírozási kiadások </t>
  </si>
  <si>
    <t>FESZOFE Nonprofit Kft</t>
  </si>
  <si>
    <t>Szociális és köznevelési feladatok</t>
  </si>
  <si>
    <t>Idősügyi Koncepció</t>
  </si>
  <si>
    <t>Ifjusági és drogprevenciós feladatok</t>
  </si>
  <si>
    <t>Felhalmozási finanszírozási kiadások mindösszesen</t>
  </si>
  <si>
    <t>Működési finanszírozási bevételek összesen</t>
  </si>
  <si>
    <t xml:space="preserve">   Önkormányzat költségvetésben szereplő  kiadások (3/C. sz. melléklet szerint)</t>
  </si>
  <si>
    <r>
      <t xml:space="preserve">Általános tartalék - </t>
    </r>
    <r>
      <rPr>
        <i/>
        <sz val="9"/>
        <rFont val="Arial CE"/>
        <charset val="238"/>
      </rPr>
      <t>Egyéb működési célú kiadás</t>
    </r>
  </si>
  <si>
    <r>
      <t xml:space="preserve">Céltartalék - </t>
    </r>
    <r>
      <rPr>
        <i/>
        <sz val="9"/>
        <rFont val="Arial CE"/>
        <charset val="238"/>
      </rPr>
      <t>Egyéb működési célú kiadás</t>
    </r>
  </si>
  <si>
    <t>Üdülőhelyi szálláshely szolgáltatás</t>
  </si>
  <si>
    <t>Általános közszolgáltatások, közrend, közbiztonság</t>
  </si>
  <si>
    <t>Egészségügy, szociális védelem</t>
  </si>
  <si>
    <t>Kiadások összesen</t>
  </si>
  <si>
    <t>Szabadidő, sport, kultúra, vallás</t>
  </si>
  <si>
    <t>Egészszégügy, szociális védelem</t>
  </si>
  <si>
    <r>
      <t xml:space="preserve">Általános tartalék  - </t>
    </r>
    <r>
      <rPr>
        <sz val="10"/>
        <rFont val="Arial CE"/>
        <charset val="238"/>
      </rPr>
      <t>egyéb működési célú kiadás</t>
    </r>
  </si>
  <si>
    <r>
      <t xml:space="preserve">Céltartalék - </t>
    </r>
    <r>
      <rPr>
        <sz val="10"/>
        <rFont val="Arial CE"/>
        <charset val="238"/>
      </rPr>
      <t>egyéb működés célú kiadás</t>
    </r>
  </si>
  <si>
    <t>Működési költségvetési kiadások mindösszesen</t>
  </si>
  <si>
    <t>Működési finanszírozási bevételek</t>
  </si>
  <si>
    <t>Működési finanszírozási kiadások</t>
  </si>
  <si>
    <t>Felhalmozási finanszírozási bevételek</t>
  </si>
  <si>
    <t>Felhalmozási finanszírozási kiadások</t>
  </si>
  <si>
    <t xml:space="preserve">     Munkáltatói kölcsön</t>
  </si>
  <si>
    <t>Felhalmozási költségvetési kiadások mindösszesen</t>
  </si>
  <si>
    <t>Működési költségvetési bevételek mindösszesen</t>
  </si>
  <si>
    <t>Felhalmozási költségvetési bevételek mindösszesen</t>
  </si>
  <si>
    <t>Működési költségvetési kiadások</t>
  </si>
  <si>
    <t>Felhalmozási költségvetési kiadások</t>
  </si>
  <si>
    <t>Felhalmozási költségvetés kiadások mindösszesen</t>
  </si>
  <si>
    <t>Bevételek mindösszesen</t>
  </si>
  <si>
    <t>Polgármester tiszt. összefüggő egyéb feladatok</t>
  </si>
  <si>
    <t>Tartalék összesen</t>
  </si>
  <si>
    <t>ebből:társasházak lépcsőházi kamerák támogatása</t>
  </si>
  <si>
    <t>Pályázat előkészítés, lebonyolítás</t>
  </si>
  <si>
    <t xml:space="preserve">Kiadások összesen </t>
  </si>
  <si>
    <t>Óvodai sport tevékenység támogatása</t>
  </si>
  <si>
    <t>Ágazat összesen:</t>
  </si>
  <si>
    <t xml:space="preserve">      ebből tartalék:</t>
  </si>
  <si>
    <t>Közúti közlekedés</t>
  </si>
  <si>
    <t xml:space="preserve">   Ellátottak pénzbeli támogatása</t>
  </si>
  <si>
    <t xml:space="preserve">   Felhalmozási költségvetési kiadások</t>
  </si>
  <si>
    <t>Egyéb kiegészítő szolgáltatás</t>
  </si>
  <si>
    <t>Tulajdonosi bevétel</t>
  </si>
  <si>
    <t>Általános közszolgáltatások</t>
  </si>
  <si>
    <t>Általános közszolgáltatások, közrend - Gazdasági társaságok</t>
  </si>
  <si>
    <t>Szabadidő, sport, kultúra, és vallás</t>
  </si>
  <si>
    <t>Szabadidő, sport</t>
  </si>
  <si>
    <t xml:space="preserve">       - Egyéb szolgáltatás</t>
  </si>
  <si>
    <t xml:space="preserve">       - Bérleti díjak</t>
  </si>
  <si>
    <t xml:space="preserve">        - Önkormányzat kamat</t>
  </si>
  <si>
    <t xml:space="preserve">    Egyéb működési célú kiadások </t>
  </si>
  <si>
    <t>1/A melléklet</t>
  </si>
  <si>
    <t>Működési-felhalmozási bevételek-kiadások mérlegszerű bemutatása</t>
  </si>
  <si>
    <t>Egyéb működési célú kiadások</t>
  </si>
  <si>
    <t>Ellátottak pénzbeli juttatásai</t>
  </si>
  <si>
    <t>Örmény Nemzetiségi Önkormányzat</t>
  </si>
  <si>
    <t>Román Nemzetiségi Önkormányzat</t>
  </si>
  <si>
    <t>Szerb Nemzetiségi Önkormányzat</t>
  </si>
  <si>
    <t>Szlovák Nemzetiségi Önkormányzat</t>
  </si>
  <si>
    <t>Ukrán Nemzetiségi Önkormányzat</t>
  </si>
  <si>
    <t xml:space="preserve">     Munkaadókat terhelő járulékok és szociális hozzájárulási adó</t>
  </si>
  <si>
    <t xml:space="preserve">     Dologi kiadások</t>
  </si>
  <si>
    <t xml:space="preserve">   Munkaadókat terhelő járulékok és szociális hozzájárulási adó</t>
  </si>
  <si>
    <t>6.sz. melléklet</t>
  </si>
  <si>
    <t>Kiadások mindösszesen</t>
  </si>
  <si>
    <t xml:space="preserve">     Személyi juttatások </t>
  </si>
  <si>
    <t>Balatonszéplaki Üdülő</t>
  </si>
  <si>
    <t xml:space="preserve">   Személyi juttatások </t>
  </si>
  <si>
    <t>Polgármesteri Hivatal összesen:</t>
  </si>
  <si>
    <t>Férőhely fenntartási díj Magyar Vöröskereszt</t>
  </si>
  <si>
    <t>Fogyatékos személyek nappali ellátása Gond-viselés Kht.</t>
  </si>
  <si>
    <t xml:space="preserve">     Ellátottak pénzbeli juttatásai</t>
  </si>
  <si>
    <t xml:space="preserve">   Ellátottak pénzbeli juttatásai</t>
  </si>
  <si>
    <t>Közutak üzemeltetése</t>
  </si>
  <si>
    <t>Bérlakás és egyéb ingatlan elidegenítés</t>
  </si>
  <si>
    <t>Ingatlanokkal kapcsolatos egyéb feladatok</t>
  </si>
  <si>
    <t>Nem önkormányzati tulajdonú lakóépületek veszélyelhárítása</t>
  </si>
  <si>
    <t xml:space="preserve">Helyiség megszerzési díj </t>
  </si>
  <si>
    <t>Oktatás</t>
  </si>
  <si>
    <t>Csicsergő Óvoda felújítás</t>
  </si>
  <si>
    <t>Nemzetiségi Önkormányzat működési kiadásai</t>
  </si>
  <si>
    <t>Költségvetési kiadások</t>
  </si>
  <si>
    <t>Lakbértámogatás</t>
  </si>
  <si>
    <t>Adósságkezelési támogatás</t>
  </si>
  <si>
    <t>Köztisztasági feladatok</t>
  </si>
  <si>
    <t>Diáksport</t>
  </si>
  <si>
    <t>Testvérvárosi kapcsolatok</t>
  </si>
  <si>
    <t>Egyéb rendezvények</t>
  </si>
  <si>
    <t>Köztemetés</t>
  </si>
  <si>
    <t>Feladat megnevezése</t>
  </si>
  <si>
    <t>bizottság</t>
  </si>
  <si>
    <t>Támogatások összesen:</t>
  </si>
  <si>
    <t>4. sz. melléklet</t>
  </si>
  <si>
    <t>R e h a b i l i t á c i ó   ö s s z e s e n :</t>
  </si>
  <si>
    <t>5. sz. melléklet</t>
  </si>
  <si>
    <t>Egészségügyi prevenció</t>
  </si>
  <si>
    <t>Mindösszesen</t>
  </si>
  <si>
    <t xml:space="preserve">Összesen </t>
  </si>
  <si>
    <t>Társasház felújítási pályázat</t>
  </si>
  <si>
    <t>Kulturális feladatok összesen</t>
  </si>
  <si>
    <t>Támogató Szolgálat (Motiváció Alapítvány)</t>
  </si>
  <si>
    <t>Bursa Hungarica</t>
  </si>
  <si>
    <t xml:space="preserve">    Személyi juttatások</t>
  </si>
  <si>
    <t>Lakáslemondás térítés, lakásbiztosíték visszafizetés</t>
  </si>
  <si>
    <t xml:space="preserve">    Ellátottak pénzbeli juttatásai</t>
  </si>
  <si>
    <t>Megnevezés</t>
  </si>
  <si>
    <t>1.</t>
  </si>
  <si>
    <t>2.</t>
  </si>
  <si>
    <t>3.</t>
  </si>
  <si>
    <t xml:space="preserve">   Kerékbilincs levétele</t>
  </si>
  <si>
    <t xml:space="preserve">       - Parkolási díj, ügyviteli költség</t>
  </si>
  <si>
    <t>Concerto Akadémia Nonprofit Kft.</t>
  </si>
  <si>
    <t xml:space="preserve">   Személyi juttatás</t>
  </si>
  <si>
    <t>Sport Alap</t>
  </si>
  <si>
    <t>KÉK Pont</t>
  </si>
  <si>
    <t>Összesen:</t>
  </si>
  <si>
    <t>Bevételek</t>
  </si>
  <si>
    <t>Összesen</t>
  </si>
  <si>
    <t xml:space="preserve">    Idegenforgalmi adó</t>
  </si>
  <si>
    <t>Kényszer kiköltöztetés</t>
  </si>
  <si>
    <t>1/B. sz. melléklet</t>
  </si>
  <si>
    <t>(eFt-ban)</t>
  </si>
  <si>
    <t xml:space="preserve">    Iparűzési adó</t>
  </si>
  <si>
    <t xml:space="preserve">    Helyiség értékesítés</t>
  </si>
  <si>
    <t>Egyéb közhatalmi bevételek</t>
  </si>
  <si>
    <t>KF - rehabilitáció járulékos költségek</t>
  </si>
  <si>
    <t>Társasházak támogatása</t>
  </si>
  <si>
    <t>Soszám</t>
  </si>
  <si>
    <t>Ügyvédi díjak</t>
  </si>
  <si>
    <t xml:space="preserve"> Elvonások és befizetések bevételei</t>
  </si>
  <si>
    <t xml:space="preserve"> Egyéb működési célú támogatások bevételei Áh-n belülről</t>
  </si>
  <si>
    <t>Működési célú támogatások Áh-n belülről összesen</t>
  </si>
  <si>
    <t xml:space="preserve"> Szolgáltatások ellenértéke</t>
  </si>
  <si>
    <t xml:space="preserve">    Egyéb szolgáltatás</t>
  </si>
  <si>
    <t xml:space="preserve">    Bérleti díjak</t>
  </si>
  <si>
    <t xml:space="preserve"> Közvetített szolgáltatások ellenértéke</t>
  </si>
  <si>
    <t xml:space="preserve"> Ellátási díjak</t>
  </si>
  <si>
    <t xml:space="preserve"> Kiszámlázott általános forgalmi adó</t>
  </si>
  <si>
    <t xml:space="preserve"> Egyéb működési bevételek</t>
  </si>
  <si>
    <t>Lakhatást segítő támogatás</t>
  </si>
  <si>
    <t>Védőoltás támogatása</t>
  </si>
  <si>
    <t>Kerekerdő Óvoda /Vágóhíd u. 35.-37./</t>
  </si>
  <si>
    <t>Működési célú támogatások Áh-n belülről</t>
  </si>
  <si>
    <t>Intézmények mindösszesen</t>
  </si>
  <si>
    <t>Önkormányzatok működési támogatásai</t>
  </si>
  <si>
    <t xml:space="preserve">     - Helyi önkormányzatok működésének általános támogatása</t>
  </si>
  <si>
    <t xml:space="preserve">     - Települési önkormányzatok egyes köznevelési feladatainak támogatása</t>
  </si>
  <si>
    <t xml:space="preserve">     - Települési önkormányzatok kulturális feladatainak támogatása</t>
  </si>
  <si>
    <t>Elvonások és befizetések bevételei</t>
  </si>
  <si>
    <t>Működési célú támogatások Államháztartáson belülről összesen</t>
  </si>
  <si>
    <t>Vagyoni típusú adók (Helyi adó)</t>
  </si>
  <si>
    <t>Termékek és szolgáltatások adói</t>
  </si>
  <si>
    <t xml:space="preserve">   Igazgatásszolgáltatási díj</t>
  </si>
  <si>
    <t xml:space="preserve">   Környezetvédelmi bírság</t>
  </si>
  <si>
    <t xml:space="preserve">   Szabálysértési bírság</t>
  </si>
  <si>
    <t xml:space="preserve">   Parkolási bírság, pótdíj</t>
  </si>
  <si>
    <t xml:space="preserve">   Egyéb bírságból származó bevétel</t>
  </si>
  <si>
    <t>Közhatalmi bevételek összesen</t>
  </si>
  <si>
    <t>Szolgáltatások ellenértéke</t>
  </si>
  <si>
    <t>Közvetített szolgáltatások ellenértéke</t>
  </si>
  <si>
    <t xml:space="preserve">       - Vagyonkezeléssel kapcsolatos közvetített szolgáltatások ellenértéke </t>
  </si>
  <si>
    <t xml:space="preserve">       - Parkolással kapcsolatos közvetített szolgáltatások ellenértéke</t>
  </si>
  <si>
    <t>Ellátási díjak</t>
  </si>
  <si>
    <t>Kiszámlázott általános forgalmi adó</t>
  </si>
  <si>
    <t>Általános forgalmi adó visszatérítése</t>
  </si>
  <si>
    <t>Egyéb működési bevételek</t>
  </si>
  <si>
    <t>Egyéb működési célú átvett pénzeszköz</t>
  </si>
  <si>
    <t>Működési célú átvett pénzeszközök összesen</t>
  </si>
  <si>
    <t>Felhalmozási célú önkormányzati támogatások</t>
  </si>
  <si>
    <t>Egyéb felhalmozási célú támog.bevételei Áh-n belülről - EU-s pályázatok kapcsán</t>
  </si>
  <si>
    <t>Egyéb felhalmozási célú támog.bevételei ÁH-n belülről - Fővárosi Önkormányzattól</t>
  </si>
  <si>
    <t>Felhalmozási célú támogatások Államháztartáson belülről összesen</t>
  </si>
  <si>
    <t>Ingatlanok értékesítése</t>
  </si>
  <si>
    <t>Felhalmozási bevételek összesen</t>
  </si>
  <si>
    <t>Közterületi növényvédelem</t>
  </si>
  <si>
    <t>Egyéb felhalmozási célú átvett pénzeszközök</t>
  </si>
  <si>
    <t>Felhalmozási célú átvett pénzeszközök összesen</t>
  </si>
  <si>
    <t>Felhalmozási finanszírozási bevételek összesen</t>
  </si>
  <si>
    <t>Egyéb tárgyi eszköz értékesítése</t>
  </si>
  <si>
    <t xml:space="preserve">     Ellátottak pénzbeli juttatási</t>
  </si>
  <si>
    <t>Beruházások</t>
  </si>
  <si>
    <t>Felújítások</t>
  </si>
  <si>
    <t xml:space="preserve">     Beruházások</t>
  </si>
  <si>
    <t xml:space="preserve">     Felújítások</t>
  </si>
  <si>
    <r>
      <t xml:space="preserve">    </t>
    </r>
    <r>
      <rPr>
        <sz val="9"/>
        <rFont val="Arial CE"/>
        <charset val="238"/>
      </rPr>
      <t>Beruházások</t>
    </r>
  </si>
  <si>
    <t xml:space="preserve">  Beruházások</t>
  </si>
  <si>
    <t xml:space="preserve">  Felújítások</t>
  </si>
  <si>
    <t xml:space="preserve">   Beruházások</t>
  </si>
  <si>
    <t xml:space="preserve">   Felújítások</t>
  </si>
  <si>
    <t xml:space="preserve">    Felújítások</t>
  </si>
  <si>
    <t>Költségvetési kiadások mindösszesen</t>
  </si>
  <si>
    <t>Egyéb kommunális feladatok</t>
  </si>
  <si>
    <t>Egyéb kommunális feladatok összesen</t>
  </si>
  <si>
    <t>Nemzetiségi közfeladatok ellátása és támogatása</t>
  </si>
  <si>
    <t>Közrend és közbiztonság, közösségi szolgáltatások</t>
  </si>
  <si>
    <t>Egyéb általános szolgáltatások</t>
  </si>
  <si>
    <t>Önkormányzati vagyonnal való gazdálkodás - Ingatlanügyek</t>
  </si>
  <si>
    <t>Egészségügy, szociális védelem, szabadidő</t>
  </si>
  <si>
    <t>Egészségügy, szociális védelem, szabadidő összesen</t>
  </si>
  <si>
    <t>I. Önkormányzati felújítások</t>
  </si>
  <si>
    <t>I. Önkormányzati felújítások összesen:</t>
  </si>
  <si>
    <t xml:space="preserve">     Egyéb működési célú kiadás</t>
  </si>
  <si>
    <t>I. Önkormányzati beruházások összesen</t>
  </si>
  <si>
    <t xml:space="preserve">   Egyéb felhalmozási célú kiadások</t>
  </si>
  <si>
    <t>Utcai szociális munka (Menhely Alapítvány)</t>
  </si>
  <si>
    <t>1/C. sz. melléklet</t>
  </si>
  <si>
    <t>I. Polgármesteri Hivatal kiadásai</t>
  </si>
  <si>
    <t xml:space="preserve">     Személyi juttatások</t>
  </si>
  <si>
    <t>2. sz. melléklet</t>
  </si>
  <si>
    <t>Sorsz.</t>
  </si>
  <si>
    <t xml:space="preserve"> </t>
  </si>
  <si>
    <t xml:space="preserve"> 1.</t>
  </si>
  <si>
    <t xml:space="preserve"> 2.</t>
  </si>
  <si>
    <t xml:space="preserve">   Személyi juttatások</t>
  </si>
  <si>
    <t xml:space="preserve">   Dologi kiadások és egyéb folyó kiadások</t>
  </si>
  <si>
    <t xml:space="preserve">    Önkormányzati lakások értékesítése</t>
  </si>
  <si>
    <t>Veszélyelhárítás</t>
  </si>
  <si>
    <t>Veszélyes tűzfalak, kémények vizsgálata, bontása</t>
  </si>
  <si>
    <t>Ferenc busz működtetése</t>
  </si>
  <si>
    <t>Kiadás megnevezése</t>
  </si>
  <si>
    <t xml:space="preserve">     Egyéb működési célú kiadások</t>
  </si>
  <si>
    <t xml:space="preserve">   Egyéb működési célú kiadások</t>
  </si>
  <si>
    <t>Informatikai működés és fejlesztés</t>
  </si>
  <si>
    <t xml:space="preserve">   Dologi kiadások</t>
  </si>
  <si>
    <t>3/D. sz. melléklet</t>
  </si>
  <si>
    <t xml:space="preserve">   Munkaadókat terhelő jár. és szociális hozzájár.adó</t>
  </si>
  <si>
    <t>Bevétel</t>
  </si>
  <si>
    <t>Kiadások</t>
  </si>
  <si>
    <t>Személyi juttatások</t>
  </si>
  <si>
    <t>Dologi kiadások</t>
  </si>
  <si>
    <t xml:space="preserve">       - Önkormányzat ÁFA</t>
  </si>
  <si>
    <t>II. Polgármesteri Hivatal költségvetési bevételei</t>
  </si>
  <si>
    <t xml:space="preserve">    Munkaadókat terhelő járulékok és szociális hozzájárulási adó</t>
  </si>
  <si>
    <t xml:space="preserve">    Dologi kiadások</t>
  </si>
  <si>
    <t xml:space="preserve">       - Helyiség bérleti díj</t>
  </si>
  <si>
    <t>FESZGYI</t>
  </si>
  <si>
    <t>Bolgár Nemzetiségi Önkormányzat</t>
  </si>
  <si>
    <t>Görög Nemzetiségi Önkormányzat</t>
  </si>
  <si>
    <t>Német Nemzetiségi Önkormányzat</t>
  </si>
  <si>
    <t xml:space="preserve">   Önkormányzati Felújítási kiadások (4. sz. melléklet szerint)</t>
  </si>
  <si>
    <t xml:space="preserve">   Önkormányzati Fejlesztési, beruházási kiadások (5. sz. melléklet szerint)</t>
  </si>
  <si>
    <t xml:space="preserve">       - Parkolási feladatokkal kapcsolatos ÁFA</t>
  </si>
  <si>
    <t>3/C. sz. melléklet</t>
  </si>
  <si>
    <t>3/A sz. melléklet</t>
  </si>
  <si>
    <t xml:space="preserve">   Polgármesteri Hivatal kiadása (3/A. sz. melléklet szerint)</t>
  </si>
  <si>
    <t xml:space="preserve">     Helyi támogatás, házmesterek visszafizetése</t>
  </si>
  <si>
    <t xml:space="preserve">     Társasházak befizetései</t>
  </si>
  <si>
    <t xml:space="preserve">   Önkormányzat ktsv. szereplő Támogatások (3/D. sz. melléklet szerint)</t>
  </si>
  <si>
    <t>Csicsergő Óvoda /Thaly K. u. 38./</t>
  </si>
  <si>
    <t xml:space="preserve">     Egyéb felhalmozási célú kiadások</t>
  </si>
  <si>
    <t xml:space="preserve">       - Lakbér bevételek</t>
  </si>
  <si>
    <t xml:space="preserve">  Személyi juttatások</t>
  </si>
  <si>
    <t xml:space="preserve">  Munkaadókat terhelő járulékok és szociális hozzájárulási adó</t>
  </si>
  <si>
    <t xml:space="preserve">  Dologi kiadások</t>
  </si>
  <si>
    <t xml:space="preserve">  Egyéb működési célú kiadások</t>
  </si>
  <si>
    <t xml:space="preserve">  Ellátottak pénzbeli juttatásai</t>
  </si>
  <si>
    <t>Csudafa Óvoda /Óbester u. 9./</t>
  </si>
  <si>
    <t>Epres Óvoda /Epreserdő u. 10./</t>
  </si>
  <si>
    <t>Kicsi Bocs Óvoda /Erkel u. 10./</t>
  </si>
  <si>
    <t>Liliom Óvoda  /Liliom u. 15./</t>
  </si>
  <si>
    <t>Méhecske Óvoda /Ifjúmunkás u. 30./</t>
  </si>
  <si>
    <t>Napfény Óvoda /Napfény u. 4./</t>
  </si>
  <si>
    <t>Ugrifüles Óvoda  /Hurok u. 9./</t>
  </si>
  <si>
    <t>Óvodák összesen</t>
  </si>
  <si>
    <t>Ferencvárosi Egyesített Bölcsöde</t>
  </si>
  <si>
    <t>Szociális ágazat összesen</t>
  </si>
  <si>
    <t>Ferencvárosi Művelődési Központ</t>
  </si>
  <si>
    <t>I. Helyi Önkormányzat bevételei</t>
  </si>
  <si>
    <t>I. Helyi Önkormányzat bevételei mindösszesen:</t>
  </si>
  <si>
    <t>II. Polgármesteri Hivatal bevételei mindösszesen:</t>
  </si>
  <si>
    <t>Működési bevételek összesen</t>
  </si>
  <si>
    <t>Munkaadókat terh. járulékok és szociális hozzájárulási adó</t>
  </si>
  <si>
    <t>Tulajdonosi bevételek</t>
  </si>
  <si>
    <t xml:space="preserve">       Polgármesteri Hivatal támogatása</t>
  </si>
  <si>
    <t xml:space="preserve"> Általános forgalmi adó visszatérítése</t>
  </si>
  <si>
    <t>Roma Nemzetiségi Önkormányzat</t>
  </si>
  <si>
    <t>Önkormányzati szakmai feladatokkal kapcsolatos kiadások</t>
  </si>
  <si>
    <t>Környezetvédelem</t>
  </si>
  <si>
    <t>Nemzetiségi önkormányzatok pályázati támogatása</t>
  </si>
  <si>
    <t>Születési és életkezdési támogatás</t>
  </si>
  <si>
    <t>Önkormányzati vagyon gazd. kapcs. feladatok - általános</t>
  </si>
  <si>
    <t>Polgármesteri Hivatal igazgatási kiadásai</t>
  </si>
  <si>
    <t>Önkormányzati vagyon gazdálkodásával kapcs. feladatok</t>
  </si>
  <si>
    <t>Önkormányzati vagyon gazd. kapcs. feladatok - eseti</t>
  </si>
  <si>
    <t>Pályázatok</t>
  </si>
  <si>
    <t xml:space="preserve">       Költségvetési szervek támogatása</t>
  </si>
  <si>
    <t xml:space="preserve">       Költségvetési szervek étkezés támogatása</t>
  </si>
  <si>
    <t>Pszichiátriai betegek nappali ellátása Moravcsik Alapítvány</t>
  </si>
  <si>
    <t>Parkolóhely megváltás</t>
  </si>
  <si>
    <t xml:space="preserve">    Elvonások és befizetések</t>
  </si>
  <si>
    <t xml:space="preserve">    - Egyéb működési célú kiadások</t>
  </si>
  <si>
    <t xml:space="preserve">    Beruházások</t>
  </si>
  <si>
    <t>MÁV Szimfónikus Zenakari Alapítvány</t>
  </si>
  <si>
    <t xml:space="preserve">          Márton 5./a</t>
  </si>
  <si>
    <t>FESZ KN Kft.</t>
  </si>
  <si>
    <t>KÉSZ-ek tervezése</t>
  </si>
  <si>
    <t>Rendkívüli támogatás</t>
  </si>
  <si>
    <t>Ifjusági koncepció végrehajtásával összefüggő feladat</t>
  </si>
  <si>
    <t>VIII. kerület Józsefváros Önkormányzata ellátási szerződés</t>
  </si>
  <si>
    <t>Sport és szabadidős feladatok</t>
  </si>
  <si>
    <t>Térfigyelő rendszer karbantartásának, üzemeltetésének költs.</t>
  </si>
  <si>
    <t>Egyéb felhalmozási célú kiadások</t>
  </si>
  <si>
    <t>Személyi juttatás</t>
  </si>
  <si>
    <t>Munkaadókat terhelő járulékok</t>
  </si>
  <si>
    <t xml:space="preserve">     Beruházási kiadások</t>
  </si>
  <si>
    <t>Zeneművészeti szervezetek támogatása</t>
  </si>
  <si>
    <t>Polgármesteri Hivatal épületeinek felújítása</t>
  </si>
  <si>
    <t>Karácsonyi támogatás</t>
  </si>
  <si>
    <t>Ferencvárosi fűtés támogatás</t>
  </si>
  <si>
    <t>Egyéb felhalmozási célú támog.bevételei Áh-n belülről - Fővárosi Önkormányzattól</t>
  </si>
  <si>
    <t>Kulturális koncepció</t>
  </si>
  <si>
    <r>
      <t xml:space="preserve">    Fővárosi IPA visszafizetése </t>
    </r>
    <r>
      <rPr>
        <sz val="9"/>
        <rFont val="Arial CE"/>
        <charset val="238"/>
      </rPr>
      <t>- Dologi kiadások</t>
    </r>
  </si>
  <si>
    <t>Ferencvárosi Pinceszínház</t>
  </si>
  <si>
    <t xml:space="preserve">     Beruházások (2.mell.,3.A mell.,3.B., 3/C, 3/D, 4. mell.nélkül)</t>
  </si>
  <si>
    <t xml:space="preserve"> Készletértékesítés</t>
  </si>
  <si>
    <t xml:space="preserve"> Egyéb tárgyi eszköz értékesítés</t>
  </si>
  <si>
    <t xml:space="preserve"> Készlet értékesítés</t>
  </si>
  <si>
    <t>Készletértékesítés</t>
  </si>
  <si>
    <t>Belföldi értékpapírok bevételei</t>
  </si>
  <si>
    <t>Játszóterek karbantartása</t>
  </si>
  <si>
    <t>Képviselők és választott tisztségviselők juttatásai</t>
  </si>
  <si>
    <t>Parkolási feladatok (FEV IX. Zrt. által ellátott feladatokkal együtt)</t>
  </si>
  <si>
    <t>Egyéb működési célú támogatások bevételei államháztartáson belülről</t>
  </si>
  <si>
    <t>Működési célú támogatások államháztartáson belülről összesen</t>
  </si>
  <si>
    <t xml:space="preserve">    Belföldi gépjárművek adójának a helyi önkormányzatot megillető része</t>
  </si>
  <si>
    <t xml:space="preserve">   Helyi adó pótlék, bírság </t>
  </si>
  <si>
    <t xml:space="preserve">   Iparűzési adó pótlék, bírság</t>
  </si>
  <si>
    <t>Egyéb működési bevételek - Parkolási feladatokkal kapcsolatban</t>
  </si>
  <si>
    <t xml:space="preserve">       - Vagyonkezelési és városfejlesztési feladatokkal kapcsolatos ÁFA</t>
  </si>
  <si>
    <t>Felhalmozási célú támogatások államháztartáson belülről összesen</t>
  </si>
  <si>
    <t>Működési célú támogatások államháztartáson belülről</t>
  </si>
  <si>
    <t>Felhalmozási célú visszat. tám., kölcsönök visszatérülései államháztartáson kívülről</t>
  </si>
  <si>
    <t>Előző év költségvetési maradványának igénybevétele</t>
  </si>
  <si>
    <t>Előző év költségvetési maradványának igánybevétele</t>
  </si>
  <si>
    <t>Egyéb felhalmozási célú támogatás bevételei államháztartáson belülről</t>
  </si>
  <si>
    <t>Egyéb felhalmozási célú támog.bevételei államháztartáson belülről - EU-s pályázatok kapcsán</t>
  </si>
  <si>
    <t>Egyéb felhalmozási célú támog.bevételei államháztartáson belülről - Fővárosi Önkormányzattól</t>
  </si>
  <si>
    <t>Felhalmozási célú visszatérítendő tám. kölcsönök visszatérülései államháztartáson kívülről</t>
  </si>
  <si>
    <r>
      <t xml:space="preserve">    Szolidaritási hozzájárulási adó  -</t>
    </r>
    <r>
      <rPr>
        <sz val="9"/>
        <rFont val="Arial CE"/>
        <charset val="238"/>
      </rPr>
      <t xml:space="preserve"> Egyéb működési célú kiadások</t>
    </r>
  </si>
  <si>
    <t xml:space="preserve">     Egyéb felhalmozási célú kiadások - Munkáltatói kölcsön</t>
  </si>
  <si>
    <t xml:space="preserve">     Egyéb felhalmozási célú  kiadások</t>
  </si>
  <si>
    <t xml:space="preserve">  Egyéb felhalmozási célú kiadások</t>
  </si>
  <si>
    <t xml:space="preserve">   Egyéb felhalmozási célú kiadások - Munkáltatói kölcsön</t>
  </si>
  <si>
    <t xml:space="preserve">    Egyéb felhalmozási célú kiadások</t>
  </si>
  <si>
    <t xml:space="preserve">   Közigazgatási bírság</t>
  </si>
  <si>
    <t>Előző év vállalkozkozási maradványának igénybevétele</t>
  </si>
  <si>
    <t>Előző év vállalkozási maradványának igénybevétele</t>
  </si>
  <si>
    <t>Készletértékesítés ellenértéke</t>
  </si>
  <si>
    <t>Kamatbevételek és más nyereségjellegű bevételek</t>
  </si>
  <si>
    <t>Hitel-, kölcsöntörlesztés államháztartáson kívülre</t>
  </si>
  <si>
    <t xml:space="preserve">     - Települési önkormányzatok szociális, gyermekjóléti és gyermekétkeztési feladatainak támogatása</t>
  </si>
  <si>
    <t>Egyéb felhalmozási célú támogatás bevételei</t>
  </si>
  <si>
    <t>Felhalmozási célú visszatérítendő tám., kölcsönök visszatérülései államháztartáson kívülről</t>
  </si>
  <si>
    <t xml:space="preserve">Felhalmozási célú visszatérítendő tám., kölcsönönök törlesztése államháztartáson belülre </t>
  </si>
  <si>
    <t>Államháztartáson belüli megelőlegezések visszafizetése</t>
  </si>
  <si>
    <t>Hitel-, kölcsön törlesztése államháztartáson kívülre</t>
  </si>
  <si>
    <t xml:space="preserve"> Kamatbevételek és más nyereségjelegű bevételek</t>
  </si>
  <si>
    <t>Küldetés Egyesület ellátási szerződés</t>
  </si>
  <si>
    <t>FESZOFE kiemelkedően közhasznú Non-profit Kft működési tám.</t>
  </si>
  <si>
    <t>Belföldi értékpapírok kiadásai</t>
  </si>
  <si>
    <t>Irányító szervi támogatás</t>
  </si>
  <si>
    <t>Irányító szervi támogatások folyósítása</t>
  </si>
  <si>
    <t>Irányító szervi támogatás folyosítása</t>
  </si>
  <si>
    <t>Irányító szervi támogatás - étkezés</t>
  </si>
  <si>
    <t>Egyéb felhalmozási célú támogatások bevételei államháztartáson belülről</t>
  </si>
  <si>
    <t>Egyéb tárgyi eszköz értékesítés</t>
  </si>
  <si>
    <t>Kulturális, Egyházi és Nemzetiségi feladatok</t>
  </si>
  <si>
    <t>Jelzőrendszeres házi segítségnyújtás</t>
  </si>
  <si>
    <t>Egyházi jogi személyek, egyházi szervezetek támogatása</t>
  </si>
  <si>
    <t xml:space="preserve">       - Egyéb szolgáltatás </t>
  </si>
  <si>
    <t xml:space="preserve">       - Bérleti díjak  </t>
  </si>
  <si>
    <t xml:space="preserve">   Bakáts projekt</t>
  </si>
  <si>
    <t>Részesedések értékesítése, részesedések megszűnéséhez kapcsolódó bevételek</t>
  </si>
  <si>
    <t>Részesedések értékesítéséhez kapcsolódó realizált nyereség</t>
  </si>
  <si>
    <r>
      <t xml:space="preserve">    Fizetendő általános forgalmi adó  </t>
    </r>
    <r>
      <rPr>
        <sz val="9"/>
        <rFont val="Arial CE"/>
        <charset val="238"/>
      </rPr>
      <t>- Dologi kiadások</t>
    </r>
  </si>
  <si>
    <t xml:space="preserve">    Földterület, telek, ingatlan értékesítése</t>
  </si>
  <si>
    <t>Működési és felhalmozási költségvetési kiadások mindösszesen</t>
  </si>
  <si>
    <t>Óvodák, oktatási, szociális és kulturális intézmények  összesen</t>
  </si>
  <si>
    <t xml:space="preserve">Játszóterek, műfüves és sportpályák, fitness eszközök, zöldf. felúj., </t>
  </si>
  <si>
    <t>Haller park felújítás</t>
  </si>
  <si>
    <t xml:space="preserve">   ebből: Általános tartalék</t>
  </si>
  <si>
    <t xml:space="preserve">Egyéb felhalmozási célú támog.bevételei ÁH-n belülről </t>
  </si>
  <si>
    <t>Tűzliliom park</t>
  </si>
  <si>
    <t>Beruházási kiadások</t>
  </si>
  <si>
    <t>Felújítási kiadások</t>
  </si>
  <si>
    <t>8.</t>
  </si>
  <si>
    <t>9.</t>
  </si>
  <si>
    <t>Magyar Máltai Szeretetszolgálat Egyesület-Közösségi hasznosítás</t>
  </si>
  <si>
    <t>Közterületüzemeltetési egyéb feladatok</t>
  </si>
  <si>
    <t>Ferencvárosi 65+ támogatás</t>
  </si>
  <si>
    <t>Ferencvárosi internet támogatás</t>
  </si>
  <si>
    <t>Ferencvárosi diákbérlet</t>
  </si>
  <si>
    <t>Általános forgalmi adó visszatérítés</t>
  </si>
  <si>
    <t xml:space="preserve">   Felújítás</t>
  </si>
  <si>
    <t xml:space="preserve">   TÉR-KÖZ 2018</t>
  </si>
  <si>
    <t>Közrend, közbiztonság</t>
  </si>
  <si>
    <t>Zöldfelületi kataszter, fakataszter elkészítése</t>
  </si>
  <si>
    <t>Kerékbilincs bevétele</t>
  </si>
  <si>
    <t>Faültetés</t>
  </si>
  <si>
    <t>Bölcsőde konyha felújítása</t>
  </si>
  <si>
    <t>Kerékpáros infrastruktúra tervezés, kiépítés, fejlesztés</t>
  </si>
  <si>
    <t>Kifli, túró rudi, tej beszerzés iskolák részére</t>
  </si>
  <si>
    <t>Lakás és helyiség karbantartás</t>
  </si>
  <si>
    <t>Deák Alapítvány</t>
  </si>
  <si>
    <t>Fogyatékos személyek nappali ellátása (gyermekek) Újbuda Önkrom.</t>
  </si>
  <si>
    <t>Tervezési díjak TÉR-KÖZ</t>
  </si>
  <si>
    <t>IX. kerületi Rendőrkapitányság támogatása</t>
  </si>
  <si>
    <t>Faültetés támogatása</t>
  </si>
  <si>
    <t>Felhasználást és beszámolást koordináló</t>
  </si>
  <si>
    <t>(beszámolás)</t>
  </si>
  <si>
    <t>Felhasználást és beszámolást  koordináló</t>
  </si>
  <si>
    <t>ESZSIC Bizottság</t>
  </si>
  <si>
    <t>József Attila Városrészi Önk.</t>
  </si>
  <si>
    <t>ebből: Működési célú céltartalék</t>
  </si>
  <si>
    <t>ebből: Felhalmozási célú céltartalék</t>
  </si>
  <si>
    <t xml:space="preserve">   Felújítási kiadások</t>
  </si>
  <si>
    <t>Járdák felújítása</t>
  </si>
  <si>
    <t>MÁV lakótelep víz, közmű</t>
  </si>
  <si>
    <t xml:space="preserve">Közvilágítás kiépítése MÁV </t>
  </si>
  <si>
    <t>"Krízis Alap" bevétel</t>
  </si>
  <si>
    <t>Egyéb felhasználási célú támogatások bevételei Áh-n belülről</t>
  </si>
  <si>
    <t>Tárgyévi finanszírozási megelőlegezések</t>
  </si>
  <si>
    <t>FESZ épületének felújítása</t>
  </si>
  <si>
    <t xml:space="preserve">   Egyéb felhalmozási célú kiadások (Államháztartáson kívülre)</t>
  </si>
  <si>
    <t xml:space="preserve">       ebből államháztartáson belüli</t>
  </si>
  <si>
    <t xml:space="preserve">                 államháztartáson kívüli</t>
  </si>
  <si>
    <r>
      <t xml:space="preserve">    Kamat kiadás, banki költségek, tranzakciós díjak </t>
    </r>
    <r>
      <rPr>
        <sz val="9"/>
        <rFont val="Arial CE"/>
        <charset val="238"/>
      </rPr>
      <t>- Dologi kiadások</t>
    </r>
  </si>
  <si>
    <t>FEV IX. Zrt. (Bérlemény közszolg. + Megbízási)</t>
  </si>
  <si>
    <t>Bérlemény közszolgáltatás + Megbízási szerz.</t>
  </si>
  <si>
    <t>4.</t>
  </si>
  <si>
    <t>5.</t>
  </si>
  <si>
    <t>eFt</t>
  </si>
  <si>
    <t xml:space="preserve">Önkormányzati vagyonnal való gazdálkodás </t>
  </si>
  <si>
    <t>Lakásfenntartási támogatás</t>
  </si>
  <si>
    <t>Áh-n nelüli megelőlegezések tárgyéven túl</t>
  </si>
  <si>
    <t>Államháztartáson belüli megelőlegezések tárgyéven belül</t>
  </si>
  <si>
    <t xml:space="preserve">Közterületi takarítógépek beszerzése </t>
  </si>
  <si>
    <t>Egészségügy, szoc.,szabadidő, sport, kultúra, oktatás, vallás</t>
  </si>
  <si>
    <t>Felhasználást beszámolást koordináló</t>
  </si>
  <si>
    <t xml:space="preserve">   Beruházás</t>
  </si>
  <si>
    <t>Egyéb műk. célú támog.bevételei Áh-n belülről - EU-s pályázat KEHOP-1.2.1-18-2018-00006</t>
  </si>
  <si>
    <t>KEHOP-1.1.1.-18-2018-00006 Klímastratégia</t>
  </si>
  <si>
    <t>Egyéb működési célú tám.bev. Áh-n belülről</t>
  </si>
  <si>
    <t>Egyéb műk. célú támog.bevételei Áh-n belülről - EU-s pály. KEHOP-1.2.1-18-2018-00006</t>
  </si>
  <si>
    <t>6.</t>
  </si>
  <si>
    <t>7. sz. melléklet</t>
  </si>
  <si>
    <t>Többéves kihatással járó kötelezettségek</t>
  </si>
  <si>
    <t>Fejlesztési célú hitelállomány kimutatása</t>
  </si>
  <si>
    <t>Év</t>
  </si>
  <si>
    <t>Tőke/      kamat</t>
  </si>
  <si>
    <t>19383 UniCredit Bank</t>
  </si>
  <si>
    <t>Tőketörl.</t>
  </si>
  <si>
    <t>Kamat</t>
  </si>
  <si>
    <t>2024.</t>
  </si>
  <si>
    <t>További kötelezettségek</t>
  </si>
  <si>
    <t>Multifunkcionális nyomtatók üzemelt.</t>
  </si>
  <si>
    <t xml:space="preserve">IT- Informatika Biztonság </t>
  </si>
  <si>
    <t>Ásványvíz beszerzés</t>
  </si>
  <si>
    <t>Mobil flotta beszerzés</t>
  </si>
  <si>
    <t>Tisztítószer beszerzés</t>
  </si>
  <si>
    <t>Hivatali szállítás (taxi)</t>
  </si>
  <si>
    <t>Hivatali szállítás, rakodás</t>
  </si>
  <si>
    <t>Iratrendezés, levéltárba adás</t>
  </si>
  <si>
    <t>Üzemanyagkártya szerződés</t>
  </si>
  <si>
    <t>Hivatali parkolás bérlés</t>
  </si>
  <si>
    <t>Könyvvizsgálati díj</t>
  </si>
  <si>
    <t>ÁFA szakértői díj</t>
  </si>
  <si>
    <t>Semmelweis Egyetem bérl.díj Közter-f.</t>
  </si>
  <si>
    <t>Kifli, túró rudi beszerzés</t>
  </si>
  <si>
    <t>Fővárosi Szabó Ervin könyvtár</t>
  </si>
  <si>
    <t>Tisztító és takarítószerek beszerzése (FIÜK)</t>
  </si>
  <si>
    <t>FIÜK étkezés biztosítása</t>
  </si>
  <si>
    <t>8. sz. melléklet</t>
  </si>
  <si>
    <t>Tervezett költségvetési adatok</t>
  </si>
  <si>
    <t>Támogatás államháztartáson belülről -működési</t>
  </si>
  <si>
    <t>Támogatás államháztartáson belülről -felhalmozási</t>
  </si>
  <si>
    <t>Munkaadókat terhelő járulékok és szocho.</t>
  </si>
  <si>
    <t xml:space="preserve">   ebből önkormányzati hozzájárulás</t>
  </si>
  <si>
    <t>9. számú melléklet</t>
  </si>
  <si>
    <t>Ssz.</t>
  </si>
  <si>
    <t>Intézmény megnevezése (Polgármesteri Hivatalnál Irodánként)</t>
  </si>
  <si>
    <t>Engedélyezett létszám</t>
  </si>
  <si>
    <t>Szakmai létszám</t>
  </si>
  <si>
    <t>Egyéb létszám</t>
  </si>
  <si>
    <t xml:space="preserve">Közfoglalkoz-tatottak létszáma </t>
  </si>
  <si>
    <t xml:space="preserve">Teljes munkaidős </t>
  </si>
  <si>
    <t>Részmun-kaidős</t>
  </si>
  <si>
    <t>Teljes munkaidős</t>
  </si>
  <si>
    <t xml:space="preserve">Részmun-kaidős </t>
  </si>
  <si>
    <t>Polgármesteri Hivatal összesen</t>
  </si>
  <si>
    <t>Adóiroda</t>
  </si>
  <si>
    <t>Belső ellenőrzési csoport</t>
  </si>
  <si>
    <t>Hatósági Iroda</t>
  </si>
  <si>
    <t>Humánszolgáltatási Iroda</t>
  </si>
  <si>
    <t>Közszolgáltatási Iroda</t>
  </si>
  <si>
    <t>7.</t>
  </si>
  <si>
    <t>Pénzügyi Iroda</t>
  </si>
  <si>
    <t>10.</t>
  </si>
  <si>
    <t>Üzemeltetési Iroda</t>
  </si>
  <si>
    <t>11.</t>
  </si>
  <si>
    <t>Vagyonkezelési Iroda</t>
  </si>
  <si>
    <t>12.</t>
  </si>
  <si>
    <t>13.</t>
  </si>
  <si>
    <t>15.</t>
  </si>
  <si>
    <t>Csicsergő Óvoda</t>
  </si>
  <si>
    <t>16.</t>
  </si>
  <si>
    <t>Csudafa Óvoda</t>
  </si>
  <si>
    <t>17.</t>
  </si>
  <si>
    <t>Epres Óvoda</t>
  </si>
  <si>
    <t>18.</t>
  </si>
  <si>
    <t>Kerekerdő Óvoda</t>
  </si>
  <si>
    <t>19.</t>
  </si>
  <si>
    <t>Kicsi Bocs Óvoda</t>
  </si>
  <si>
    <t xml:space="preserve">20. </t>
  </si>
  <si>
    <t xml:space="preserve">Liliom Óvoda </t>
  </si>
  <si>
    <t>21.</t>
  </si>
  <si>
    <t xml:space="preserve">Méhecske Óvoda </t>
  </si>
  <si>
    <t>22.</t>
  </si>
  <si>
    <t>Napfény Óvoda</t>
  </si>
  <si>
    <t>23.</t>
  </si>
  <si>
    <t>Ugrifüles Óvoda</t>
  </si>
  <si>
    <t>24.</t>
  </si>
  <si>
    <t>Ferencvárosi Intézmény Üzemeltetés Központ</t>
  </si>
  <si>
    <t>25.</t>
  </si>
  <si>
    <t>Fvi Egyesített Bölcsödék</t>
  </si>
  <si>
    <t>26.</t>
  </si>
  <si>
    <t>27.</t>
  </si>
  <si>
    <t>FMK</t>
  </si>
  <si>
    <t>28.</t>
  </si>
  <si>
    <t>Pinceszínház</t>
  </si>
  <si>
    <t>Összesen nevelési, szoc., kult, intézmények</t>
  </si>
  <si>
    <t>Mindösszesen:</t>
  </si>
  <si>
    <t>10. sz. melléklet</t>
  </si>
  <si>
    <t>A támogatás jellege</t>
  </si>
  <si>
    <t>Adókedvezmény</t>
  </si>
  <si>
    <t>Egyéb kedvezmény</t>
  </si>
  <si>
    <t>jogcím</t>
  </si>
  <si>
    <t>összeg</t>
  </si>
  <si>
    <t>Építményadó</t>
  </si>
  <si>
    <t>elengedés</t>
  </si>
  <si>
    <t>részletfizetés</t>
  </si>
  <si>
    <t>Telekadó</t>
  </si>
  <si>
    <t>Ellátottak térítési díja gyermekétkeztetés</t>
  </si>
  <si>
    <t>méltányosság</t>
  </si>
  <si>
    <t>Ellátottak térítési díja személyes gondoskodás</t>
  </si>
  <si>
    <t>Helyiség bérleti díj</t>
  </si>
  <si>
    <t>közérdekű bérbeadás</t>
  </si>
  <si>
    <t>11. sz. melléklet</t>
  </si>
  <si>
    <t xml:space="preserve">A helyi önkormányzat kötelező feladatai ellátásának költségvetési forrásai és kiadásai </t>
  </si>
  <si>
    <t>Kötelező feladatok
(Mötv. 23. § (5) bekezdés alapján)</t>
  </si>
  <si>
    <t>Költségvetési bevételi előirányzat</t>
  </si>
  <si>
    <t>Önkormányzatok működési támogatása, elvonások és befizetések</t>
  </si>
  <si>
    <t>Közhatalmi bevételek</t>
  </si>
  <si>
    <t>Saját bevétel</t>
  </si>
  <si>
    <t>Támogatás Áht-n belülről</t>
  </si>
  <si>
    <t>Átvett pénzeszköz</t>
  </si>
  <si>
    <t>Előző évi mar. igénybev.</t>
  </si>
  <si>
    <t>Felhalm. Bev.</t>
  </si>
  <si>
    <t>Hitelfel-  vétel, kölcsön visszat. , tévi megel. Visszaf.</t>
  </si>
  <si>
    <t>Működési bevételek</t>
  </si>
  <si>
    <t>Műk. Célú</t>
  </si>
  <si>
    <t>Felhal. Célú</t>
  </si>
  <si>
    <t>Felhalm. Célú</t>
  </si>
  <si>
    <t>Helyi közutak, közterek és parkok kezelése, fejlesztése és üzemeltetése</t>
  </si>
  <si>
    <t xml:space="preserve">             3054 Kerületi növényvédelem</t>
  </si>
  <si>
    <t xml:space="preserve">             3056 Közterületüzemeltetési egyéb feladatok</t>
  </si>
  <si>
    <t xml:space="preserve">             3061 Köztutak üzemeltetése</t>
  </si>
  <si>
    <t xml:space="preserve">             3071 Köztisztasági feladatok</t>
  </si>
  <si>
    <t xml:space="preserve">             3112 Játszóterek karbantartása</t>
  </si>
  <si>
    <t xml:space="preserve">             3205 Környezetvédelem</t>
  </si>
  <si>
    <t xml:space="preserve">             3216 FESZOFE Nonprofit Kft </t>
  </si>
  <si>
    <t xml:space="preserve">             4012 Haller park</t>
  </si>
  <si>
    <t xml:space="preserve">             4014 Játszóterek, műfüves és sportpályák, fitness eszközök, zöldf.felúj., </t>
  </si>
  <si>
    <t>Közterületek használatára vonatkozó szabályok és díjak megáll.</t>
  </si>
  <si>
    <t xml:space="preserve">             3911 Társasházak támogatása</t>
  </si>
  <si>
    <t>Parkolás üzemeltetése</t>
  </si>
  <si>
    <t xml:space="preserve">             3212 Parkolási feladatok (FEV IX. Zrt. Parkolási feladatokkal együttt)</t>
  </si>
  <si>
    <t>Helyi településrendezés, településfejlesztés</t>
  </si>
  <si>
    <t xml:space="preserve">             3211 FEV IX. Zrt.</t>
  </si>
  <si>
    <t xml:space="preserve">             3116 Magyar Máltai Szeretetszolgálat Egyesület Közz.Haszn.</t>
  </si>
  <si>
    <t xml:space="preserve">             4121 Felújításokkal kapcsolatos tervezések</t>
  </si>
  <si>
    <t xml:space="preserve">             4141 KÉSZ-ek tervezése</t>
  </si>
  <si>
    <t>Helyi településrendezési szabályok megalkotása</t>
  </si>
  <si>
    <t>Turizmussal kapcsolatos szabályok</t>
  </si>
  <si>
    <t>Ipari és keresk. tev. kapcs. szabályozási jogkörök</t>
  </si>
  <si>
    <t>Egészségügyi alapell., az egészséges életmód segítését célzó szolg.</t>
  </si>
  <si>
    <t xml:space="preserve">       3301 Egészségügyi prevenció</t>
  </si>
  <si>
    <t xml:space="preserve">       3348 KÉK Pont</t>
  </si>
  <si>
    <t xml:space="preserve">       3302 FESZ KN Kft.</t>
  </si>
  <si>
    <t>Óvodai ellátás</t>
  </si>
  <si>
    <t>2305 Csicsergő Óvoda</t>
  </si>
  <si>
    <t>2309 Csudafa Óvoda</t>
  </si>
  <si>
    <t>2310 Epres Óvoda</t>
  </si>
  <si>
    <t>2325 Kicsi Bocs Óvoda</t>
  </si>
  <si>
    <t>2315 Kerekerdő Óvoda</t>
  </si>
  <si>
    <t>2330 Liliom Óvoda</t>
  </si>
  <si>
    <t>2335 Méhecske Óvoda</t>
  </si>
  <si>
    <t>2345 Napfény Óvoda</t>
  </si>
  <si>
    <t>2360 Ugrifüles Óvoda</t>
  </si>
  <si>
    <t>Gyermekjóléti szolgáltatások, szociális szolgált.ell.</t>
  </si>
  <si>
    <t xml:space="preserve">      3081 Köztemetés</t>
  </si>
  <si>
    <t xml:space="preserve">      3311 Lakbértámogatás</t>
  </si>
  <si>
    <t xml:space="preserve">      3323 Születési és életkezdési támogatás</t>
  </si>
  <si>
    <t xml:space="preserve">      3340 Jelzőrendszeres házi segítségnyújtás</t>
  </si>
  <si>
    <t xml:space="preserve">      3341 VIII. kerület Józsefváros Önkormányzata ellátási szerződés</t>
  </si>
  <si>
    <t xml:space="preserve">      3342 Küldetés Egyesület ellátási szerződés</t>
  </si>
  <si>
    <t xml:space="preserve">      3345 Támogató Szolgálat (Motivácó Alapítvány)</t>
  </si>
  <si>
    <t xml:space="preserve">      3346 Férőhely fenntartási díj Magyar Vöröskereszt</t>
  </si>
  <si>
    <t xml:space="preserve">      3347 Fogyatékos személyek nappali ellátása Gond-viselés Kht.</t>
  </si>
  <si>
    <t xml:space="preserve">      3349 Pszichiátriai betegek nappali ellátása Moravcsik Alapítvány</t>
  </si>
  <si>
    <t xml:space="preserve">      3350 Fogyatékos személyek nappali ellátása gyermekek Újbuda Önk.</t>
  </si>
  <si>
    <t>Hajléktalanná vált személyek ell.és rehab., vmint megakadályozása</t>
  </si>
  <si>
    <t xml:space="preserve">      3344 Utcai szociális munka (Menhely Alapítvány)</t>
  </si>
  <si>
    <t>Helyi közművelődési tevékenység támogatása, kult. örökség véd.</t>
  </si>
  <si>
    <t xml:space="preserve">      3428 Ferencvárosi Helytörténeti Egyesület</t>
  </si>
  <si>
    <t xml:space="preserve">      3429 Karaván Művészeti Alapítvány</t>
  </si>
  <si>
    <t xml:space="preserve">      3431 Concerto Akadémia Nonprofit Kft.</t>
  </si>
  <si>
    <t xml:space="preserve">      3432 MÁV Szimfónikus Zenekari Alapítvány</t>
  </si>
  <si>
    <t xml:space="preserve">      3931 Bursa Hungarica</t>
  </si>
  <si>
    <t xml:space="preserve">     3961 Zeneművészeti szervezetek támogatása</t>
  </si>
  <si>
    <t xml:space="preserve">      3963 Budapest Art Center Nonprofit Kft. - Színházművészeti szerv.támogatása</t>
  </si>
  <si>
    <t>14.</t>
  </si>
  <si>
    <t>Saját tulajdonú lakás és helyiség gazdálkodás</t>
  </si>
  <si>
    <t xml:space="preserve">      3111 Lakáslemondás térítés, lakásbiztosítés visszafizetése</t>
  </si>
  <si>
    <t xml:space="preserve">      3114 Ingatlanokkal kapcsolatos egyéb feladatok</t>
  </si>
  <si>
    <t xml:space="preserve">      3115 Lakás és helyiség karbantartás, berendezési tárgyak cseréje</t>
  </si>
  <si>
    <t xml:space="preserve">      3121 KF - rehabilitáció járulékos költségek</t>
  </si>
  <si>
    <t xml:space="preserve">      3122 Kényszer kiköltöztetés</t>
  </si>
  <si>
    <t xml:space="preserve">      3123 Bérlakás és egyéb ingatlan elidegenítés</t>
  </si>
  <si>
    <t xml:space="preserve">      3124 Helyiség megszerzési díj</t>
  </si>
  <si>
    <t xml:space="preserve">      3213 Önkormányzati bérlemények üzemeltetési költségei</t>
  </si>
  <si>
    <t xml:space="preserve">      4131 Veszélyelhárítás</t>
  </si>
  <si>
    <t xml:space="preserve">      4133 Veszélyes tűzfalak, kémények vizsgálata, bontása</t>
  </si>
  <si>
    <t>Helyi adóval kapcsolatos feladatok</t>
  </si>
  <si>
    <t>Kistermelők, őstermelők számára értékesítési lehetőségek bizt.</t>
  </si>
  <si>
    <t>Kerületi sport és szabadidő sport támogatása, ifjúsági ügyek</t>
  </si>
  <si>
    <t xml:space="preserve">      3142 Humánszolgáltatási feladatok</t>
  </si>
  <si>
    <t xml:space="preserve">      3143 Szociális és köznevelési feladatok</t>
  </si>
  <si>
    <t xml:space="preserve">      3146 Kulturális, Egyházi és Nemzetiségi feladatok</t>
  </si>
  <si>
    <t xml:space="preserve">      3145 Ifjusági koncepció végrehajtásával összefüggő feladatok</t>
  </si>
  <si>
    <t xml:space="preserve">      3357 Ifjusági és drogprevenciós feladatok</t>
  </si>
  <si>
    <t xml:space="preserve">      3412 Sport és szabadidős feladatok</t>
  </si>
  <si>
    <t xml:space="preserve">      3413 Diáksport</t>
  </si>
  <si>
    <t xml:space="preserve">      3414 Óvodai sport tevékenység támogatása</t>
  </si>
  <si>
    <t>Közreműködés a helyi közbiztonság biztosításában</t>
  </si>
  <si>
    <t xml:space="preserve">      3204 Térfigyelő rendszer karbantartásának, üzemeltetésének költsége</t>
  </si>
  <si>
    <t xml:space="preserve">       5033 Térfigyelő kamerák</t>
  </si>
  <si>
    <t>Nemzetiségi ügyek</t>
  </si>
  <si>
    <t xml:space="preserve">     3202 Roma koncepció</t>
  </si>
  <si>
    <t xml:space="preserve">     3362 Esélyegyenlőségi feladatok</t>
  </si>
  <si>
    <t xml:space="preserve">     3451 Nemzetiségi Önkormányzatok működési kiadásai</t>
  </si>
  <si>
    <t>3200 Képviselők és választott tisztségviselők juttatásai</t>
  </si>
  <si>
    <t>3201 Önkormányzati szakmai feladatokkal kapcsolatos kiadások</t>
  </si>
  <si>
    <t>3021-3026 PH  Igazgatási és informatikai működés és fejlesztés kiadásai</t>
  </si>
  <si>
    <t>3208 Ügyvédi díjak</t>
  </si>
  <si>
    <t>3223 Pályázat előkészítés, lebonyolítás</t>
  </si>
  <si>
    <t>3925 FEV IX. Zrt. támogatása</t>
  </si>
  <si>
    <t>1801 Kamat kiadás</t>
  </si>
  <si>
    <t>1802 IPA visszafizetés</t>
  </si>
  <si>
    <t>1803 Szolidaritási hozzájárulási adó</t>
  </si>
  <si>
    <t>1804 Fizetendő Általános forgalmi adó</t>
  </si>
  <si>
    <t>1843 Áh-n belüli megelőlegezések visszaf.</t>
  </si>
  <si>
    <t>1851 Hitel-, kölcsön törlesztése államháztartáson kívülre</t>
  </si>
  <si>
    <t>2795 Ferencvárosi Intézmény Üzemeltetési Központ</t>
  </si>
  <si>
    <t>2850 Ferencvárosi Egyesített Bölcsöde</t>
  </si>
  <si>
    <t>2875 FESZGYI</t>
  </si>
  <si>
    <t>2985 Ferencvárosi Művelődési Központ</t>
  </si>
  <si>
    <t xml:space="preserve"> Ferencvárosi Önkormányzat és Intézményei Összesen</t>
  </si>
  <si>
    <t>12. sz. melléklet</t>
  </si>
  <si>
    <t xml:space="preserve">A helyi önkormányzat önként vállalt feladatai ellátásának költségvetési forrásai és kiadásai </t>
  </si>
  <si>
    <t xml:space="preserve">Önként vállalt feladatok                                                                    </t>
  </si>
  <si>
    <t xml:space="preserve">Költségvetési bevételi előirányzat                           </t>
  </si>
  <si>
    <t>Előző évi marad. Igénybev.</t>
  </si>
  <si>
    <t>Felhalmozási bevételek</t>
  </si>
  <si>
    <t>Kölcsön visszatérülés/Működ.finansz.bev</t>
  </si>
  <si>
    <t xml:space="preserve">Működési célú </t>
  </si>
  <si>
    <t>Felhalmozási célú</t>
  </si>
  <si>
    <t>Működési célú</t>
  </si>
  <si>
    <t>Polgármesteri tisztséggel összefüggő egyéb feladatok</t>
  </si>
  <si>
    <t>Kifli, túró rudi, tej beszerzés</t>
  </si>
  <si>
    <t>Közfoglalkoztatottak pályázat támogatásának önrésze, kapcsolódó egyéb kiadások támogatása</t>
  </si>
  <si>
    <t>IX. ker. Rendőrségi támogatás</t>
  </si>
  <si>
    <t>Deák ösztöndíj</t>
  </si>
  <si>
    <t>FESZOFE kiemelkedően közhasznú Non-Profit Kft működési támogatása</t>
  </si>
  <si>
    <t>Kulturális tevékenység támogatása</t>
  </si>
  <si>
    <t>13. sz. melléklet</t>
  </si>
  <si>
    <t>A helyi önkormányzat államigazgatási feladatai</t>
  </si>
  <si>
    <t>Államigazgatási feladatok 
(Mötv. 18. § alapján)</t>
  </si>
  <si>
    <t>A helyi önkormányzatok, helyi nemzetiségi önkormányzatok általános működéséhez és ágazati feladataihoz kapcsolódó támogatások</t>
  </si>
  <si>
    <t>A központi költségvetésből származó egyéb költségvetési támogatások</t>
  </si>
  <si>
    <t>Közhatalmi bevétel</t>
  </si>
  <si>
    <t>14. sz . Melléklet</t>
  </si>
  <si>
    <t>I.</t>
  </si>
  <si>
    <t>II.</t>
  </si>
  <si>
    <t>III.</t>
  </si>
  <si>
    <t>IV.</t>
  </si>
  <si>
    <t>V.</t>
  </si>
  <si>
    <t>VI.</t>
  </si>
  <si>
    <t>VII.</t>
  </si>
  <si>
    <t>VIII.</t>
  </si>
  <si>
    <t>IX.</t>
  </si>
  <si>
    <t>X.</t>
  </si>
  <si>
    <t>XI.</t>
  </si>
  <si>
    <t>XII.</t>
  </si>
  <si>
    <t>1. Működési célú támogatások Áh-n belülről</t>
  </si>
  <si>
    <t>2. Közhatalmi bevételek</t>
  </si>
  <si>
    <t>3. Működési bevételek + Működési célú átvett pénzeszk.</t>
  </si>
  <si>
    <t>4. Felhalmozási cálú támogatások Áh-n belülről</t>
  </si>
  <si>
    <t>5. Felhalmozási bevétel</t>
  </si>
  <si>
    <t>6. Felhalmozási cálú átvett pénzeszközök</t>
  </si>
  <si>
    <t>7. Felhalmozási, működési finanszírozású bevétel</t>
  </si>
  <si>
    <t>8. Bevételek mindösszesen</t>
  </si>
  <si>
    <t>9. Személyi juttatások</t>
  </si>
  <si>
    <t>10. Munkaadókat terh. jár. és szoc.hozzáj.adó</t>
  </si>
  <si>
    <t>11. Dologi kiadások</t>
  </si>
  <si>
    <t>12. Ellátottak pénzbeli juttatásai</t>
  </si>
  <si>
    <t>13. Egyéb működési célú kiadások</t>
  </si>
  <si>
    <t>14. Beruházások</t>
  </si>
  <si>
    <t>15. Felújítások</t>
  </si>
  <si>
    <t>16. Egyéb felhalmozási célú kiadások</t>
  </si>
  <si>
    <t>17. Hosszú lejáratú hitel tőke összegének törlesztése, megelőlegezett norm., működ.fin.kiad</t>
  </si>
  <si>
    <t>18. Kiadások mindösszesen</t>
  </si>
  <si>
    <t>15. sz. melléklet</t>
  </si>
  <si>
    <t>Saját bevételek és adósságot keletkeztető ügyletekből eredő fizetési kötelezettségek költségvetési évet követő 3 évre várható kihatása</t>
  </si>
  <si>
    <t>Önkormányzat saját bevételei</t>
  </si>
  <si>
    <t>Helyi adóból és a települési adóból származó bevétel (építményadó, telekadó, idegenforgalmi adó, iparűzési adó)</t>
  </si>
  <si>
    <t>Osztalék, koncessziós díj és hozambevétel</t>
  </si>
  <si>
    <t>---</t>
  </si>
  <si>
    <t>Tárgyi eszköz és immateriális jószág, részvény, részesedés, vállalat értékesítéséből vagy privatizációból származó bevétel (telek, földterület, helyiség, lakás, törzstőke ért.)</t>
  </si>
  <si>
    <r>
      <t xml:space="preserve">Bírság, pótlék, és díjbevétel </t>
    </r>
    <r>
      <rPr>
        <sz val="9"/>
        <rFont val="Times New Roman"/>
        <family val="1"/>
        <charset val="238"/>
      </rPr>
      <t>(egyéb közhatalmi bevételek között szereplő tételek)</t>
    </r>
  </si>
  <si>
    <t>Kezesség illetve garancia vállalással kapcsolatos megtérülés</t>
  </si>
  <si>
    <t>Adósságot keletkeztető ügyletből eredő fizetési kötelezettség</t>
  </si>
  <si>
    <t>16. sz. melléklet</t>
  </si>
  <si>
    <t>Kiadások felosztása KOFOG szerint</t>
  </si>
  <si>
    <t>011130</t>
  </si>
  <si>
    <t>Önkormányzatok és önkormányzati hivatalok jogalkotó és általános igazgatási tevékenysége</t>
  </si>
  <si>
    <t>Polgármesteri Hivatal kiadásai</t>
  </si>
  <si>
    <t>Kamatkiadás</t>
  </si>
  <si>
    <t>Fővárosi IPA visszafizetés</t>
  </si>
  <si>
    <t>Fizetendő Általános forgalmi adó</t>
  </si>
  <si>
    <t>013350</t>
  </si>
  <si>
    <t>Az önkormányzati vagyonnal való gazdálkodással kapcsolatos feladatok</t>
  </si>
  <si>
    <t>Magyar Máltai Szeretszolg. E. közösségi haszn.</t>
  </si>
  <si>
    <t>FEV IX. Zrt.</t>
  </si>
  <si>
    <t>Önkormányzati bérlemények üzemeltetési költségei</t>
  </si>
  <si>
    <t>Lakások komfortosítás</t>
  </si>
  <si>
    <t>Lakás és helyiség karbantartás, berendezési tárgyak cseréje</t>
  </si>
  <si>
    <t>016080</t>
  </si>
  <si>
    <t>Kiemelt állami és önkormányzati rendezvények</t>
  </si>
  <si>
    <t>018020</t>
  </si>
  <si>
    <t>Központi költségvetési befizetések</t>
  </si>
  <si>
    <t>Szolidaritási hozzájárulási adó</t>
  </si>
  <si>
    <t>031030</t>
  </si>
  <si>
    <t>Közetület rendjének fenntartása</t>
  </si>
  <si>
    <t>Közterület-felügyelet kiadásai</t>
  </si>
  <si>
    <t>031060</t>
  </si>
  <si>
    <t>Bűnmegelőzés</t>
  </si>
  <si>
    <t>Térfigyelő rendszer karbantartásának, üzemeltetésének költsége</t>
  </si>
  <si>
    <t>Térfigyelő kamerák</t>
  </si>
  <si>
    <t>032020</t>
  </si>
  <si>
    <t>Tűz és katasztrófavédelmi tevékenység</t>
  </si>
  <si>
    <t>Veszélyhelyzettel kapcsolatos kiadások</t>
  </si>
  <si>
    <t>013360</t>
  </si>
  <si>
    <t>Más szerv részére végzett pénzügyi-gazdálkodási, üzemeltetési, egyéb szolgáltatások</t>
  </si>
  <si>
    <t>Ferencvárosi Intézményüzemeltetési Központ</t>
  </si>
  <si>
    <t>041231</t>
  </si>
  <si>
    <t>Rövid időtartamú közfoglalkoztatás</t>
  </si>
  <si>
    <t>Közfoglalkoztatottak pályázat támogatás önrésze, egyéb kapcs. kiadások</t>
  </si>
  <si>
    <t>041233</t>
  </si>
  <si>
    <t>Hosszabb időtartamú közfoglalkoztatás</t>
  </si>
  <si>
    <t>FESZOFE kiemelkedően közhasznú Non-profit Kft. Működési támogatása</t>
  </si>
  <si>
    <t>045140</t>
  </si>
  <si>
    <t>Városi és elővárosi közúti személyszállítás</t>
  </si>
  <si>
    <t>045170</t>
  </si>
  <si>
    <t>Parkoló, garázsüzemeltetés, fenntartása</t>
  </si>
  <si>
    <t xml:space="preserve">Parkolási feladatok (FEV IX. Zrt. által ellátott feladatokkal együtt) </t>
  </si>
  <si>
    <t>053010</t>
  </si>
  <si>
    <t>Környezetszennyezés csökkentésének igazgatása</t>
  </si>
  <si>
    <t>064010</t>
  </si>
  <si>
    <t>Közvilágítás</t>
  </si>
  <si>
    <t>Közvilágítás kiépítése MÁV</t>
  </si>
  <si>
    <t>066010</t>
  </si>
  <si>
    <t>Zöldterület-kezelés</t>
  </si>
  <si>
    <t>FESZOFE Nonprofit Kft.</t>
  </si>
  <si>
    <t>066020</t>
  </si>
  <si>
    <t>Város-, községgazdálkodási egyéb szolgáltatások</t>
  </si>
  <si>
    <t>Közterületi takarítógép működtetése</t>
  </si>
  <si>
    <t>Városfejlesztés, üzemeltetés és közbiztonság</t>
  </si>
  <si>
    <t>Társasházak támogatásai</t>
  </si>
  <si>
    <t>FESZ épület felújítás</t>
  </si>
  <si>
    <t>Faültetés támogatás</t>
  </si>
  <si>
    <t>FIÜK munkásszálló üzemeltetés</t>
  </si>
  <si>
    <t>072210</t>
  </si>
  <si>
    <t>Járóbetegek gyógyító szakellátása</t>
  </si>
  <si>
    <t>IX. kerületi szakrendelő</t>
  </si>
  <si>
    <t>074052</t>
  </si>
  <si>
    <t>Kábítószer megelőzés programjai, tevékenységei</t>
  </si>
  <si>
    <t>Ifjúsági és drogprevenciós feladatok</t>
  </si>
  <si>
    <t>074054</t>
  </si>
  <si>
    <t>Komplex egészségfejlesztő, prevenciós programok</t>
  </si>
  <si>
    <t>081041</t>
  </si>
  <si>
    <t>Versenysport- és utánpótlás-nevelési tevékenység és támogatása</t>
  </si>
  <si>
    <t>081043</t>
  </si>
  <si>
    <t>Iskolai, diáksport-tevékenység és támogatása</t>
  </si>
  <si>
    <t>081045</t>
  </si>
  <si>
    <t>Szabadidősport- (rekreációs sport-) tevékenység és támogatása</t>
  </si>
  <si>
    <t>081071</t>
  </si>
  <si>
    <t>Üdülő szálláshely szolgáltatás és étkeztetés</t>
  </si>
  <si>
    <t>FIÜK</t>
  </si>
  <si>
    <t>082010</t>
  </si>
  <si>
    <t>Kultúra igazgatása</t>
  </si>
  <si>
    <t>Concerto Akadémia Nonprofit Kft</t>
  </si>
  <si>
    <t>MÁV Szimfónikus Zenekari Alapítvány</t>
  </si>
  <si>
    <t>082020</t>
  </si>
  <si>
    <t>Színházak</t>
  </si>
  <si>
    <t>082030</t>
  </si>
  <si>
    <t>Művészeti tevékenység kivéve színház</t>
  </si>
  <si>
    <t>082061</t>
  </si>
  <si>
    <t>Múzeumi gyűjtemény tevékenység</t>
  </si>
  <si>
    <t>082063</t>
  </si>
  <si>
    <t>Múzeumi kiállítási tevékenység</t>
  </si>
  <si>
    <t>082091</t>
  </si>
  <si>
    <t>Közművelődés - közösségi és társadalmi részvétel fejlesztése</t>
  </si>
  <si>
    <t>084010</t>
  </si>
  <si>
    <t>Társadalmi tevékenységekkel, esélyegyenlőséggel, érdekképviselettel,nemzetiségekkel, egyházakkal összefüggő feladatok igazgatása és szabályozása</t>
  </si>
  <si>
    <t>084020</t>
  </si>
  <si>
    <t>Nemzetiségi közfeladatok és ellátása és támogatása</t>
  </si>
  <si>
    <t>084031</t>
  </si>
  <si>
    <t>Civil szervezetek működési támogatása</t>
  </si>
  <si>
    <t>084032</t>
  </si>
  <si>
    <t>Civil szervezetek programtámogatása</t>
  </si>
  <si>
    <t>Kulturális tevékenységek pályázati támogatása</t>
  </si>
  <si>
    <t>084040</t>
  </si>
  <si>
    <t>Egyházak közösségi és hitéleti tevékenységének támogatása</t>
  </si>
  <si>
    <t>Templom felújítás pályázat</t>
  </si>
  <si>
    <t>084070</t>
  </si>
  <si>
    <t>A fiatalok társadalmi integrációját segítő struktúra, szakmai szolgáltatások fejlesztése, működtetése</t>
  </si>
  <si>
    <t>Ifjusági koncepció végrehajtásával összefüggő feladatok</t>
  </si>
  <si>
    <t>086010</t>
  </si>
  <si>
    <t>Határon túli magyarok egyéb támogatása</t>
  </si>
  <si>
    <t>091110</t>
  </si>
  <si>
    <t>Óvodai nevelés, ellátás szakmai feladatai</t>
  </si>
  <si>
    <t>Óvoda összesen</t>
  </si>
  <si>
    <t>091140</t>
  </si>
  <si>
    <t>Óvodai nevelés, ellátás működtetési feladatai</t>
  </si>
  <si>
    <t>094250</t>
  </si>
  <si>
    <t>Tankönyv és jegyzettámogatás</t>
  </si>
  <si>
    <t>096015</t>
  </si>
  <si>
    <t>Gyermekétkeztetés köznevelési intézményben</t>
  </si>
  <si>
    <t>098010</t>
  </si>
  <si>
    <t>Oktatás igazgatása</t>
  </si>
  <si>
    <t>101141</t>
  </si>
  <si>
    <t xml:space="preserve">Pszichiátriai betegek nappali ellátása </t>
  </si>
  <si>
    <t>Pszichiátriai betegek nappali ellátása Moravcsik Alapítváy</t>
  </si>
  <si>
    <t>101142</t>
  </si>
  <si>
    <t>Szenvedélybetegek nappali ellátása</t>
  </si>
  <si>
    <t>101221</t>
  </si>
  <si>
    <t>Fogyatékossággal élők nappali ellátása</t>
  </si>
  <si>
    <t>Fogyatékos személyek nappali ellátása gyerekek Újbuda Önk.</t>
  </si>
  <si>
    <t>101222</t>
  </si>
  <si>
    <t>Támogató szolgáltatás fogyatékos személyek részére</t>
  </si>
  <si>
    <t>Támogató Szolgálat (Motíváció Alapítvány)</t>
  </si>
  <si>
    <t>102031</t>
  </si>
  <si>
    <t>Idősek nappali ellátása</t>
  </si>
  <si>
    <t>102050</t>
  </si>
  <si>
    <t>Az időskorúak társadalmi integrációját célzó programok</t>
  </si>
  <si>
    <t>104031</t>
  </si>
  <si>
    <t>Gyermekek bölcsődei ellátása</t>
  </si>
  <si>
    <t>Ferencvárosi Egyesített Bölcsőde</t>
  </si>
  <si>
    <t>104035</t>
  </si>
  <si>
    <t>Gyermekétkeztetés bölcsődében, fogyatékosok nappali intézményében</t>
  </si>
  <si>
    <t>104036</t>
  </si>
  <si>
    <t>Mumkahelyi étkeztetés gyermekek napközbeni ellátását biztosító intézményben</t>
  </si>
  <si>
    <t>104051</t>
  </si>
  <si>
    <t>Gyermekvédelmi pénzbeli és természetbeni ellátások</t>
  </si>
  <si>
    <t>Rendkívüli gyermekvédelmi támogatás</t>
  </si>
  <si>
    <t>106020</t>
  </si>
  <si>
    <t>Lakásfenntartással, lakhatással összefüggő ellátások</t>
  </si>
  <si>
    <t>107015</t>
  </si>
  <si>
    <t>Hajléktalanok nappali ellátása</t>
  </si>
  <si>
    <t>107016</t>
  </si>
  <si>
    <t>Utcai szociális munka</t>
  </si>
  <si>
    <t>107052</t>
  </si>
  <si>
    <t>Házi segítségnyújtás</t>
  </si>
  <si>
    <t>107053</t>
  </si>
  <si>
    <t>107060</t>
  </si>
  <si>
    <t>Egyéb szociális pénzbeli és természetbeni ellátások, támogatások</t>
  </si>
  <si>
    <t>107090</t>
  </si>
  <si>
    <t>Romák társadalmi integrációját elősegítő tevékenységek, programok</t>
  </si>
  <si>
    <t>900060</t>
  </si>
  <si>
    <t>Forgatási és befektetési célú finanszírozási műveletek</t>
  </si>
  <si>
    <t>Megelőlegezett állami normatíva visszafiz.</t>
  </si>
  <si>
    <t>Általános tartalék</t>
  </si>
  <si>
    <t>17. sz. melléklet</t>
  </si>
  <si>
    <t>Bevételek felosztása KOFOG szerint</t>
  </si>
  <si>
    <t>Elvonások és  befizetések bevételei</t>
  </si>
  <si>
    <t>Igazgatászolgáltatási díj</t>
  </si>
  <si>
    <t>Környezetvédelmi bírság</t>
  </si>
  <si>
    <t>Szabálysértési bírság</t>
  </si>
  <si>
    <t>Egyéb bírságból származó bevételek</t>
  </si>
  <si>
    <t>Egyéb szolgáltatás</t>
  </si>
  <si>
    <t>Önkormányzat közvetített szolgáltatások ellenértéke</t>
  </si>
  <si>
    <t>Ellátási díjak - Önkormáyzat</t>
  </si>
  <si>
    <t>Önkormányzat ÁFA</t>
  </si>
  <si>
    <t>Vagyonkezelés és városfejlesztési feladatokkal kapcsolatos ÁFA</t>
  </si>
  <si>
    <t>Parkolási feladatokkal kapcsolatos ÁFa</t>
  </si>
  <si>
    <t>Parkoló Alap befizetés</t>
  </si>
  <si>
    <t>Egyéb működési célú támogatások bevételei Áh-n belülről</t>
  </si>
  <si>
    <t>Felhalmozási célú visszat. tám., kölcs. visszat. államháztartáson kívülről</t>
  </si>
  <si>
    <t>Egyéb működési célú támogatások Áh-n belülről</t>
  </si>
  <si>
    <t>Egyéb felhalmozási célú támogatás Áh-n belülről</t>
  </si>
  <si>
    <t>Egyéb bevételek</t>
  </si>
  <si>
    <t>Tárgyévi finanszírozás megelőlegezés</t>
  </si>
  <si>
    <t>900020</t>
  </si>
  <si>
    <t>Önkormányzatok funkcióra nem sorolható bevételei államháztartáson kívülről</t>
  </si>
  <si>
    <t>Iparűzési adó</t>
  </si>
  <si>
    <t>Belföldi gépjűrművek adójának helyi önkormányzatot megillető része</t>
  </si>
  <si>
    <t>Idegenforgalmi adó</t>
  </si>
  <si>
    <t>Helyi adó pótlék, bírság</t>
  </si>
  <si>
    <t>Iparűzési adó pótlék, bírság</t>
  </si>
  <si>
    <t>Közterületfoglalási díj</t>
  </si>
  <si>
    <t>Bérleti díjak</t>
  </si>
  <si>
    <t>Lakbérbevételek</t>
  </si>
  <si>
    <t>Helyiség megszerzési díj</t>
  </si>
  <si>
    <t>Vagyonkezeléssel kapcsolatos közvetített szolgáltatások ellenértéke</t>
  </si>
  <si>
    <t>Földterület, telek értékesítése</t>
  </si>
  <si>
    <t>Helyiség értékesítés</t>
  </si>
  <si>
    <t>Önkormányzati lakások értékesítése</t>
  </si>
  <si>
    <t>018010</t>
  </si>
  <si>
    <t>Önkormányzatok elszámolása a központi költségvetéssel</t>
  </si>
  <si>
    <t>018030</t>
  </si>
  <si>
    <t>Támogatási célú finanszírozású műveletek</t>
  </si>
  <si>
    <t>Előző évi költségvetési maradványának igénybevétele</t>
  </si>
  <si>
    <t>Előző évi vállalkozási maradványának igénybevétele</t>
  </si>
  <si>
    <t>Parkolási bírság, pótdíj</t>
  </si>
  <si>
    <t>Közigazgatási bírság</t>
  </si>
  <si>
    <t>Kerékbilincs levétele</t>
  </si>
  <si>
    <t>Parkolási díj, ügyviteli költség</t>
  </si>
  <si>
    <t>Nyomvonal létesítés kártalanítás</t>
  </si>
  <si>
    <t>Parkolással kapcsolatos közvetített szolgáltatások ellenértéke</t>
  </si>
  <si>
    <t>Utak felújítása, javítása</t>
  </si>
  <si>
    <t>Fasorfenntartás</t>
  </si>
  <si>
    <t>Erdőgazdálkodás</t>
  </si>
  <si>
    <t>Oktatási támogatás</t>
  </si>
  <si>
    <t>Gyermeknevelési támogatás</t>
  </si>
  <si>
    <t>Gyógyszertámogatás</t>
  </si>
  <si>
    <t>65+ támogatás</t>
  </si>
  <si>
    <t>Ferencvárosi Média Nonprofit Kft.</t>
  </si>
  <si>
    <t>Adatvédelmi tistv. GDPR</t>
  </si>
  <si>
    <t>Helyiség bérleti díj (nettó)</t>
  </si>
  <si>
    <t xml:space="preserve">             4018 Utak javítása, felújítása</t>
  </si>
  <si>
    <t>3021 Polgármesteri Hivatal Igazgatási kiadásai 23 fő</t>
  </si>
  <si>
    <t xml:space="preserve">              3057 Fasorfenntartás</t>
  </si>
  <si>
    <t xml:space="preserve">              3058 Erdőgazdálkodás</t>
  </si>
  <si>
    <t xml:space="preserve">Médiacég </t>
  </si>
  <si>
    <t>Lakásfentartási támogatás</t>
  </si>
  <si>
    <t>Bérlemény üzemeltetéssel kapcs. Kiadások mind. + Megb.sz.</t>
  </si>
  <si>
    <t>Kulturális tevékenység, egyházi és civil szerv.támog támogatása</t>
  </si>
  <si>
    <t xml:space="preserve">   Közterületfoglalási díj</t>
  </si>
  <si>
    <t>Önkormányzati lakások komfortosítása, lakások és helyiségek felújítása</t>
  </si>
  <si>
    <t xml:space="preserve">       4126 Önkor-i lakások komfort., lakások és helyiségek felújítása</t>
  </si>
  <si>
    <t>Önkorm-i lakások komfort., lakások és helyiségek felújítás</t>
  </si>
  <si>
    <t xml:space="preserve">          Parkoló Alap</t>
  </si>
  <si>
    <t>Előző évi vállalkozási maradvány</t>
  </si>
  <si>
    <t>Előző évi vállalkozási maradvány igénybevétele</t>
  </si>
  <si>
    <t>SOS Krízis Alapítvány</t>
  </si>
  <si>
    <t>Haller u. 50. függőfolyosó felújítás</t>
  </si>
  <si>
    <t>Boráros téri lámpás zebra</t>
  </si>
  <si>
    <t>Pöttyös utcai metró felszíni rendezés</t>
  </si>
  <si>
    <t>6135 Parkoló Alap</t>
  </si>
  <si>
    <t>Parkoló hely megváltás</t>
  </si>
  <si>
    <t>"Törd a betont"</t>
  </si>
  <si>
    <t>Irodalmi  pályázat</t>
  </si>
  <si>
    <t>Kerékpáros infr. tervezés, kiépítés, fejlesztés, okosbicikli tárolók</t>
  </si>
  <si>
    <t>Közterület-felügyeleti Iroda</t>
  </si>
  <si>
    <t>Törd a betont</t>
  </si>
  <si>
    <t>Irodalmi pályázat</t>
  </si>
  <si>
    <t>Jegyzői kabinet</t>
  </si>
  <si>
    <t>Polgármesteri Kabinet (ebből 1 fő Polgármester, 2 fő Alpolgármester az Önkormányzat létszámába tartozik)</t>
  </si>
  <si>
    <t>Városüzemeltetési Iroda</t>
  </si>
  <si>
    <t>Főépítészi és Városrendezési csoport</t>
  </si>
  <si>
    <t>Kulturális, oktatási, egyházügyi és Nemzetiségi feladatok</t>
  </si>
  <si>
    <t>Epres Óvoda felújítás</t>
  </si>
  <si>
    <t>Liliom Óvoda felújítás</t>
  </si>
  <si>
    <t>Helyi esélyegyenlőségi program végrehajtásával összefüggő feladatok</t>
  </si>
  <si>
    <t xml:space="preserve">Egyéb közterületek felújítása, fejlesztése </t>
  </si>
  <si>
    <t xml:space="preserve">              4021 Egyéb közterületek felújítása, fejlesztése</t>
  </si>
  <si>
    <t>Egyéb közterületek felújítása, fejlesztése</t>
  </si>
  <si>
    <t>Lakásfenntartási támogatás és lakhatáshoz kapcs.rendkívüli t.</t>
  </si>
  <si>
    <t>Egyéb műk. célú támog.bevételei Áh-n belülről - VEKOP-7 3 4-17-2017-00011</t>
  </si>
  <si>
    <t>VEKOP-7 3 4-17-2017-00011</t>
  </si>
  <si>
    <t>HERO pályázat</t>
  </si>
  <si>
    <t>Egyéb műk. célú támog.bevételei Áh-n belülről - VEKOP-7 3 4-17-2017-00012</t>
  </si>
  <si>
    <t>"Egészséges Budapest Program" Integrélt Alapell. Járóbeteg szakell. Központ megv.</t>
  </si>
  <si>
    <t>"Egészséges Budapest Program" Integrélt Alapell. Járób. szakell. Közp. megv.</t>
  </si>
  <si>
    <t>"Egészséges Budapest Program" Integr. Alapell. Járób. szakell. Központ megv.</t>
  </si>
  <si>
    <t xml:space="preserve">       - Munkásszálló bérleti díj</t>
  </si>
  <si>
    <t>Jövedelemkiegészítő támogatás</t>
  </si>
  <si>
    <t>2025. év várható terv szám</t>
  </si>
  <si>
    <t>Lekötött betétek</t>
  </si>
  <si>
    <t>BEVÉTELEK MINDÖSSZ.:(Irányítószervi támogatás, lekötött betét nélkül)</t>
  </si>
  <si>
    <t>KIADÁSOK MINDÖSSZ.:(Irányítószervi tám., lekötött bet. nélkül)</t>
  </si>
  <si>
    <t>Vállalkozási maradvány</t>
  </si>
  <si>
    <t>Gyáli úti aluljáró felújítása</t>
  </si>
  <si>
    <t xml:space="preserve">Haller parkba illemhelyiség építése </t>
  </si>
  <si>
    <t>Egészségügyi, Szociális, Sport, Ifj. és Civil feladatok</t>
  </si>
  <si>
    <t>VEKOP -7 3 4-17-2017-00011</t>
  </si>
  <si>
    <t>Helyi esélyegyenlőségi progr. Végrehat.</t>
  </si>
  <si>
    <t>1029-1033</t>
  </si>
  <si>
    <t>Egészséges Budapest program</t>
  </si>
  <si>
    <t>Munkásszálló bérleti díj</t>
  </si>
  <si>
    <t xml:space="preserve">  Beruházások (bútorok, berendezési tárgyak)</t>
  </si>
  <si>
    <t xml:space="preserve">             Céltartalék 6. sz. melléklet szerint</t>
  </si>
  <si>
    <t>SNI-s és BTM-es gyermekek ellátása</t>
  </si>
  <si>
    <t>Részvételi költségvetés</t>
  </si>
  <si>
    <t>Tűzoltóság támogtása</t>
  </si>
  <si>
    <t>Konkáv Közösségi tér - Köztes átmenetek Nonprofit Kft.</t>
  </si>
  <si>
    <t>Epreserdő utcában parkolóhelyek kialakítása</t>
  </si>
  <si>
    <t>Valéria tér felújítása</t>
  </si>
  <si>
    <t>Börzsöny u. 19. sz. orvosi rendelő felújítása</t>
  </si>
  <si>
    <t>Ifjúmunkás u. útburkolat felújítása</t>
  </si>
  <si>
    <t>Tűzoltóság támogatása</t>
  </si>
  <si>
    <t>Konkáv Közösségi tér-Köztes Átmenetek Kft.</t>
  </si>
  <si>
    <t xml:space="preserve">       4311 Börzsöny u. 19. orvosi rendelő felújítása</t>
  </si>
  <si>
    <t xml:space="preserve">             4013 Valéria tér felújítása</t>
  </si>
  <si>
    <t xml:space="preserve">             4015 Ifjúmunkás utca útburkolat felújítása</t>
  </si>
  <si>
    <t xml:space="preserve">        4129 Telepy u. 34. személyfelvonó létesítése</t>
  </si>
  <si>
    <t>Telepy u. 34. személyfelvonó létesítése</t>
  </si>
  <si>
    <t>Konkáv közösségi tér- Köztes Átmenetek Kft.</t>
  </si>
  <si>
    <t>Ferencvárosi Klímastratégia végrehajtása</t>
  </si>
  <si>
    <t>ÉFOÉSZ ellátási szerződés</t>
  </si>
  <si>
    <t>Kitüntetések adományozásával kapcs. Költségek</t>
  </si>
  <si>
    <t>Nemzeti, önkormányzati ünnepek, rendezvények</t>
  </si>
  <si>
    <t>Kitüntetésekkel kapcsolatos költségek</t>
  </si>
  <si>
    <t>Ferencvárosi Klímastratégia végrehatása</t>
  </si>
  <si>
    <t>Ferencvárosi Klíma strat.</t>
  </si>
  <si>
    <t>Részvételi költségetés</t>
  </si>
  <si>
    <t>Nemzeti, önkormányzati ünnepek, kitüntetésekkel j. kiadások</t>
  </si>
  <si>
    <t>IX. Kerület Rendőrség támogatása</t>
  </si>
  <si>
    <t xml:space="preserve"> Ebből bérleményüzemeltetési közszolg.szerz. Bruttó</t>
  </si>
  <si>
    <t xml:space="preserve">             Megbízási szerződési díj bruttó</t>
  </si>
  <si>
    <t>Ebből Parkolási közszolgáltatási szerződési díj</t>
  </si>
  <si>
    <t>Ebből: Polgármester, alpolgármesterek</t>
  </si>
  <si>
    <t xml:space="preserve">             Képviselő-testület tagok</t>
  </si>
  <si>
    <t xml:space="preserve">             Külsős bizottsági tagok</t>
  </si>
  <si>
    <t>Ebből: 9 magazin</t>
  </si>
  <si>
    <t xml:space="preserve">            9TV</t>
  </si>
  <si>
    <t xml:space="preserve">            Bérköltség</t>
  </si>
  <si>
    <t xml:space="preserve">           Közüzemi költségek, egyéb kiadások</t>
  </si>
  <si>
    <t xml:space="preserve">           Naptár</t>
  </si>
  <si>
    <t xml:space="preserve">             Önként vállalt feladatellátás</t>
  </si>
  <si>
    <t>Ebből: Közszolgáltató díj</t>
  </si>
  <si>
    <t xml:space="preserve">            Eseti megrendelés</t>
  </si>
  <si>
    <t>Lónyay u. 19. orvosi rendelő nyílászáró</t>
  </si>
  <si>
    <t>Felújításokkal kapcsolatos tervezések, MÁV-Aszódi csatorna tervezls</t>
  </si>
  <si>
    <t>Ferencvárosi Humanitárius Alap</t>
  </si>
  <si>
    <t>II. Önkormányzat kiadásai</t>
  </si>
  <si>
    <t>III. Költségvetési szervek bevételei</t>
  </si>
  <si>
    <t>III. Költségvetési szervek bevételei mindösszesen:</t>
  </si>
  <si>
    <t>IV. Kerületi bevételek</t>
  </si>
  <si>
    <t xml:space="preserve">IV. Bevételek mindösszesen  (I+II+III.) Irányítószervi támogatása nélkül) </t>
  </si>
  <si>
    <t>III. Költségvetési szervek kiadásai (2.sz.mell.sz.)</t>
  </si>
  <si>
    <t>III. Költségvetési szervek kiadásai mindösszesen</t>
  </si>
  <si>
    <t>IV. Kerületi kiadások</t>
  </si>
  <si>
    <t xml:space="preserve">IV. Kiadások mindösszesen  (I+II+III.) Irányítószervi támogatás folyósítása nélkül) </t>
  </si>
  <si>
    <t>PH és Önkormányzat költségvetési kiadásai mindössz:</t>
  </si>
  <si>
    <t>Önkormányzati lakások komfortosítása</t>
  </si>
  <si>
    <t>Elszámolásból származó bevételek</t>
  </si>
  <si>
    <t>Önkormányzati lakóházak tetőfelújítás</t>
  </si>
  <si>
    <t>Gát u. 24.-26. sz. ingatlan felújítás</t>
  </si>
  <si>
    <t>Köztéri nyilvános illemhelyek kialakítása</t>
  </si>
  <si>
    <t xml:space="preserve">       4114 Önkormányzati lakóházak tetőfelújítás</t>
  </si>
  <si>
    <t>Díszkivilágítás</t>
  </si>
  <si>
    <t>Idősgondozás átalakítása</t>
  </si>
  <si>
    <t>Csengettyű utcai rendelő</t>
  </si>
  <si>
    <t>Boráros téri lift tervezése</t>
  </si>
  <si>
    <t>AVICO Riverbay telekátlkítási megállapodás</t>
  </si>
  <si>
    <t xml:space="preserve">          AVICO Riverbay telekátlkítási megállapodás</t>
  </si>
  <si>
    <t>Hátrányos helyzetű diákok sport támogatása</t>
  </si>
  <si>
    <t>Jégpálya</t>
  </si>
  <si>
    <t>6110 Általános tartalék</t>
  </si>
  <si>
    <t xml:space="preserve">        - Közterületfoglalási díj</t>
  </si>
  <si>
    <t>013210</t>
  </si>
  <si>
    <t>Átfogó tervezési és statisztikai szolgáltatások</t>
  </si>
  <si>
    <t xml:space="preserve">    - Egyéb felhalmozási célú kiadások</t>
  </si>
  <si>
    <t>Soroksári út 84- Koppány utca 3. Épületbontás</t>
  </si>
  <si>
    <t>Tűzifa program</t>
  </si>
  <si>
    <t>Elvonások és befizetések felhalmozási célú</t>
  </si>
  <si>
    <t>Elvonások és befizetések működési célú</t>
  </si>
  <si>
    <t>Toronyház u. 11. tetőfelújítás</t>
  </si>
  <si>
    <t>INCLUDATE</t>
  </si>
  <si>
    <t>2026. év várható terv szám</t>
  </si>
  <si>
    <t>Orvosi rendelők fűtéskorszerűsítése</t>
  </si>
  <si>
    <t>Molnár F. Magyar-Angol Két Tanítási Nyelvi Ált. Isk. Okostanterem kial.</t>
  </si>
  <si>
    <t>VEKOP-7 3 4-17-2017-00011 József Attila</t>
  </si>
  <si>
    <t>5056</t>
  </si>
  <si>
    <t>Molnár F. Magyar-Angol Két Tanítási Nyelvi Ált. Isk. Okostanterem kialakítása</t>
  </si>
  <si>
    <t>Elektromos rásegítésű teherszállító kerékpár</t>
  </si>
  <si>
    <t>EUCF pályázat</t>
  </si>
  <si>
    <t>EUCF</t>
  </si>
  <si>
    <t>Életjáradéki szolgáltatás</t>
  </si>
  <si>
    <t>Közbeszerzési beszerzésekhez kapcsolódó többletkiadások</t>
  </si>
  <si>
    <t xml:space="preserve">      3125 Életjáradéki szolgáltatás</t>
  </si>
  <si>
    <t>Felújításokkal kapcsolatos tervezések , MÁV csatorna tervezés</t>
  </si>
  <si>
    <t>Balázs Béla utca 27/B, felújítás-tervezés</t>
  </si>
  <si>
    <t xml:space="preserve">          Beruházás (eszközbeszerzések, monitor, laptop, kamera, stb. )</t>
  </si>
  <si>
    <t>Távíró utca "Zöldaparkoló"</t>
  </si>
  <si>
    <t xml:space="preserve">    Ebből: Hibaelhárítás, karbantartás br. 331.000 eFt</t>
  </si>
  <si>
    <t xml:space="preserve">                 Garanciális javítások pótlása br. 50.000 eFt</t>
  </si>
  <si>
    <t xml:space="preserve">             4019 Járdák felújítása</t>
  </si>
  <si>
    <t xml:space="preserve">             5025 Távíró utca "zöldparkoló"</t>
  </si>
  <si>
    <t>3147 SNI, BMI gyermekek ellátása</t>
  </si>
  <si>
    <t>Termelői piac</t>
  </si>
  <si>
    <t>Ebből: Kötelező feladatellátás</t>
  </si>
  <si>
    <t xml:space="preserve"> Felhalmozási költségvetési kiadások</t>
  </si>
  <si>
    <t>Orvosi rendelők energ. költs. Támogatása</t>
  </si>
  <si>
    <t>Ferencvárosi Média Nonprofit Kft. (Ferencvárosi naptár is 2022-től)</t>
  </si>
  <si>
    <t>Önkormányzati lakóházak közös területeinek felújítása</t>
  </si>
  <si>
    <t>Tartószerkezeti statikai vizsgálatok</t>
  </si>
  <si>
    <t>Tartószerkezeti statikai felújítások</t>
  </si>
  <si>
    <t>Balázs Béla utca 27/B lakóépület felújítása</t>
  </si>
  <si>
    <t>Kutyafuttatók felújítása</t>
  </si>
  <si>
    <t>Tanoda támogatás</t>
  </si>
  <si>
    <t>CT vizsgálat</t>
  </si>
  <si>
    <t>Vágóhíd u. 31-33. sz. épület vízvzeték felújítása</t>
  </si>
  <si>
    <t xml:space="preserve">      4155 Balázs Béla utca 27/B lakóépület felújítása</t>
  </si>
  <si>
    <t>Balázs Béla u. 27. épületfelújítás</t>
  </si>
  <si>
    <t>Balázs B. u. 27/B. lakóépület felújítása</t>
  </si>
  <si>
    <t>Vágóhíd u. 31-33. sz. épület vízvezeték felújítás</t>
  </si>
  <si>
    <t>----</t>
  </si>
  <si>
    <t>Moravcsik Alapítvány</t>
  </si>
  <si>
    <t>Ferencvárosi Kosárlabda Egyesület</t>
  </si>
  <si>
    <t>Ferencvárosi Torna Club</t>
  </si>
  <si>
    <t>FTC Vizilabda Utánpótlás</t>
  </si>
  <si>
    <t>Ippon Kyokushin Karate SE</t>
  </si>
  <si>
    <t>FTC Icehokey Utánpótlás</t>
  </si>
  <si>
    <t>Szent István Sportegyesület</t>
  </si>
  <si>
    <t>Computrend Kft.</t>
  </si>
  <si>
    <t>IP telefon szolg.díja</t>
  </si>
  <si>
    <t>Asztali nyomtatók üzemelt.</t>
  </si>
  <si>
    <t>Digitális közműtérkép</t>
  </si>
  <si>
    <t>Informatikai rendszer támogatása</t>
  </si>
  <si>
    <t>KAPU térinformatika</t>
  </si>
  <si>
    <t>GAPS Alapítvány</t>
  </si>
  <si>
    <t>Diákok látogatása Holocaust emlékközpontban</t>
  </si>
  <si>
    <t>Polgárőr Egyesület támogatása</t>
  </si>
  <si>
    <t>Településrendezési eszközök</t>
  </si>
  <si>
    <t>2024. évi közvetett támogatások</t>
  </si>
  <si>
    <t>2027. év várható terv szám</t>
  </si>
  <si>
    <t>Ferencvárosi lakótömb rehabilitációjának I. üteme</t>
  </si>
  <si>
    <t>EU-s és önkormányzati választás</t>
  </si>
  <si>
    <t>2024. év</t>
  </si>
  <si>
    <t>Az önkormányzat 2024. évi bevételei</t>
  </si>
  <si>
    <t>Az önkormányzat 2024. évi kiadásai</t>
  </si>
  <si>
    <t>Költségvetési szervek 2024. évi költségvetése</t>
  </si>
  <si>
    <t>A Polgármesteri Hivatal kiadásai 2024.</t>
  </si>
  <si>
    <t xml:space="preserve">Az önkormányzat  költségvetésében szereplő 2024. évi kiadások </t>
  </si>
  <si>
    <t xml:space="preserve">Az önkormányzat  költségvetésében szereplő támogatások 2024. évi kiadásai </t>
  </si>
  <si>
    <t>2024. évi felújítások (felújítási kiadások, egyéb felhalmozási célú kiadások és egyéb felújítási munkákhoz kapcsolódó kiadások)</t>
  </si>
  <si>
    <t>2024. évi beruházási, fejlesztési kiadások</t>
  </si>
  <si>
    <t xml:space="preserve">          Bérfejlesztés 2024</t>
  </si>
  <si>
    <t>FIÜK Munkásszálló, nyári táboroztatás, termelői piac,NOVUS (Inkubátor), jégpálya, tábor</t>
  </si>
  <si>
    <t>WIFI4EU</t>
  </si>
  <si>
    <t>SMS rendszer</t>
  </si>
  <si>
    <t>WIFI4EU AP-k üzemeltetése</t>
  </si>
  <si>
    <t>Magyar telekom internet előfiz.</t>
  </si>
  <si>
    <t>Digitális földtani alaptérkép</t>
  </si>
  <si>
    <t>Casco, kötelező, biztosítások</t>
  </si>
  <si>
    <t>Villamos energia</t>
  </si>
  <si>
    <t>Gázdíj</t>
  </si>
  <si>
    <t>Praktiker</t>
  </si>
  <si>
    <t>Újság, folyóirat, napilap</t>
  </si>
  <si>
    <t>Épület és vagyon biztosítás</t>
  </si>
  <si>
    <t>Hivatal őrzés</t>
  </si>
  <si>
    <t>0161010</t>
  </si>
  <si>
    <t>Önkormányzati választás, EU választás</t>
  </si>
  <si>
    <t>Önkormányzati és EU-s választás</t>
  </si>
  <si>
    <t>Bérköltség</t>
  </si>
  <si>
    <t xml:space="preserve">          FIÜK beruházási feladatokra céltartalék</t>
  </si>
  <si>
    <t>FEV IX. Zrt. Alaptőke csökkentés befizetése</t>
  </si>
  <si>
    <t>FEV Zrt. Alaptőke csökkentés</t>
  </si>
  <si>
    <t xml:space="preserve">          Fejlesztési céltartalék</t>
  </si>
  <si>
    <t>Fejlesztési céltartalék</t>
  </si>
  <si>
    <t>FIÜK beruházási költség</t>
  </si>
  <si>
    <t>Az Európai Unió-s forrásokkal támogatott fejlesztések tervezett 2024. évi adatairól</t>
  </si>
  <si>
    <t>2024. évi Polgármesteri Hivatal és Intézményi engedélyezett létszámadatok</t>
  </si>
  <si>
    <t xml:space="preserve"> 2024. évi előirányzat felhasználási ütemterv</t>
  </si>
  <si>
    <t>Márton u. 8/a lakóház tervezése</t>
  </si>
  <si>
    <t>Márton u. 8. részleges bontás</t>
  </si>
  <si>
    <t>MÁV lakótelep parkoló</t>
  </si>
  <si>
    <t>Közlekedésbiztonsági fejlesztés</t>
  </si>
  <si>
    <t>Napfény u. - Gyáli sarok fásítás</t>
  </si>
  <si>
    <t>Tinódi parkba illemhelyiség</t>
  </si>
  <si>
    <t>Belső-Ferencváros akadálymentesítés</t>
  </si>
  <si>
    <t>Okostanterem kialakítása</t>
  </si>
  <si>
    <t xml:space="preserve">       4153 Tartószerkezeti statikai vizsgálat</t>
  </si>
  <si>
    <t xml:space="preserve">      4152 Márton u. 8. lakóháztervezés</t>
  </si>
  <si>
    <t xml:space="preserve">     4151 Önkormányzati lakóházak közös területeinek közös felújítása</t>
  </si>
  <si>
    <t>Belső-Ferencváros parkolás</t>
  </si>
  <si>
    <t xml:space="preserve">              4022 kutyafuttatóf felújítása</t>
  </si>
  <si>
    <t xml:space="preserve">      4156 Vágóhd u. 31-33.</t>
  </si>
  <si>
    <t xml:space="preserve">      4157 Márton 8 részleges bontás</t>
  </si>
  <si>
    <t xml:space="preserve">      4154 Tartószerkezeti statikai felújítás</t>
  </si>
  <si>
    <t>Pöttyös utca metrófelszín</t>
  </si>
  <si>
    <t>Okostanterem</t>
  </si>
  <si>
    <t xml:space="preserve">              5011 Haller park illemhelyiség</t>
  </si>
  <si>
    <t xml:space="preserve">             5008 Tinódi park illemhelyiség</t>
  </si>
  <si>
    <t xml:space="preserve">             5006 Napfény gyáli fásitás</t>
  </si>
  <si>
    <t xml:space="preserve">              5005 Közlekedésbiztonsági fejlesztés</t>
  </si>
  <si>
    <t xml:space="preserve">             6143 Haller utca fejlesztés</t>
  </si>
  <si>
    <t>Pöttyös utca metro felszín rendezés</t>
  </si>
  <si>
    <t>Tinódi illemhelyiség</t>
  </si>
  <si>
    <t>Márton u. 8/a sz.  lakóházak tervezése</t>
  </si>
  <si>
    <t>Játszóterek, Ifjumunkás felúj.</t>
  </si>
  <si>
    <t>Kutyafuttatók</t>
  </si>
  <si>
    <t>Börzsöny u. 19. sz. orvosi rendelő</t>
  </si>
  <si>
    <t>Gát u. 23-25. tervezés</t>
  </si>
  <si>
    <t>Thaly passzázs közvilágítás</t>
  </si>
  <si>
    <t xml:space="preserve">             4016 Thaly passzázs közvilágítás</t>
  </si>
  <si>
    <t>Boráros téri lift tervezés</t>
  </si>
  <si>
    <t xml:space="preserve">       4158 Gát u. 23.-25. lakóház tervezés</t>
  </si>
  <si>
    <t>Belső Ferencváros akadálymentesítése</t>
  </si>
  <si>
    <t>Boráros téri lift</t>
  </si>
  <si>
    <t xml:space="preserve">Haller parkba illemhely </t>
  </si>
  <si>
    <t>5061</t>
  </si>
  <si>
    <t>Önkormányzati lakóházak tetőfelújítása</t>
  </si>
  <si>
    <t>2024. évi  előirányzat 3/2024.</t>
  </si>
  <si>
    <t>2024. évi előirányzat 3/2024.</t>
  </si>
  <si>
    <t>2024. évi előirányzat  3/2024.</t>
  </si>
  <si>
    <t>Ferencvárosi Egészségügyi Szolgálat</t>
  </si>
  <si>
    <t>29.</t>
  </si>
  <si>
    <t>2987 Ferencvárosi Egészségügyi Szolgálat</t>
  </si>
  <si>
    <t>NEXT LEVEL Parking pályázat</t>
  </si>
  <si>
    <t>Krízis Alap-ból kifizetés</t>
  </si>
  <si>
    <t>Munkásszálló kialakítása</t>
  </si>
  <si>
    <t xml:space="preserve"> AVICO Riverbay telekátalakítási megállapodás</t>
  </si>
  <si>
    <t xml:space="preserve">       4122 Balázs Béla utca 27/B, felújítás-tervezés</t>
  </si>
  <si>
    <t xml:space="preserve">      4123 Közbeszerzési beszerzésekhez kapcsolódó többletkiadások</t>
  </si>
  <si>
    <t xml:space="preserve">      4125 Gát u. 24.-26. sz. ingatlan felújítás</t>
  </si>
  <si>
    <t>1806  Elvonások és befizetések</t>
  </si>
  <si>
    <t xml:space="preserve">      4127 Haller u. 50. függőfolyosó felújítás</t>
  </si>
  <si>
    <t xml:space="preserve">      4124 Önkormányzati lakások komfortosítása</t>
  </si>
  <si>
    <t>1842 Tárgyévi finanszírozási megelőlegezések</t>
  </si>
  <si>
    <t>3027 EP és Önkormányzati választások</t>
  </si>
  <si>
    <t>Gyáli úti okososzlop telepítése</t>
  </si>
  <si>
    <t>Haller park fejlesztés (Gladiátor)</t>
  </si>
  <si>
    <t xml:space="preserve">Marhagödör és Vágó utcai felújítás </t>
  </si>
  <si>
    <t>Márton utca 8. Lakóház felújítás</t>
  </si>
  <si>
    <t>Ügyfélszolgálati Iroda felújítás</t>
  </si>
  <si>
    <t xml:space="preserve">       4161 Ügyfélszolgálati Iroda felújítás</t>
  </si>
  <si>
    <t xml:space="preserve">       4160 Márton utca 8. Lakóház felújítás</t>
  </si>
  <si>
    <t xml:space="preserve">       4159 Marhagödör és Vágó utcai felújítás </t>
  </si>
  <si>
    <t xml:space="preserve">EUCF </t>
  </si>
  <si>
    <t xml:space="preserve">NEXT LEVEL Parking </t>
  </si>
  <si>
    <t>Ifjúmunkás utca 28-30 Sportpályák felújítása</t>
  </si>
  <si>
    <t xml:space="preserve">Ifjúmunkás utca 32. Fitnesz park </t>
  </si>
  <si>
    <t xml:space="preserve">             4010 Ifjúmunkás utca 28-30 Sportpályák felújítása</t>
  </si>
  <si>
    <t>Ifjúmunkás utca 32. Fitnesz park ,Máv parkoló, Közlekedés fejl., Napfény fásítás</t>
  </si>
  <si>
    <t>Munkásszálló</t>
  </si>
  <si>
    <t>Aprók Háza villámvédelem kiépítése</t>
  </si>
  <si>
    <t>Toronyház u. 11.(2 POD) Napelemrendszer kiépítése</t>
  </si>
  <si>
    <t>Csudafa Óvoda villamos hálózat teljesítménybővítése</t>
  </si>
  <si>
    <t>Kerekerdő Óvoda "A" épület előtti térburkolat kialakítása</t>
  </si>
  <si>
    <t>Kerekerdő Óvoda "A" épület homlokzat bejárat melletti oromfalakkal együtt</t>
  </si>
  <si>
    <t>Bakáts bunker világításkorsz.tervezés</t>
  </si>
  <si>
    <t>Bakáts bunker riasztó rendszer kiépítés</t>
  </si>
  <si>
    <t>Varázskert Bölcsőde klíma beszerzés</t>
  </si>
  <si>
    <t>Gyermekek átmeneti otthona kerítés</t>
  </si>
  <si>
    <t>Írisz intézmény riasztó rendszer</t>
  </si>
  <si>
    <t>Szivárvány nyílászárók csere</t>
  </si>
  <si>
    <t>Toronyház u. 11.villámvédelmi hálózat kiép.</t>
  </si>
  <si>
    <t>Napfény mérőóra szekrény csere</t>
  </si>
  <si>
    <t>FMK erősáramú csatlakozó kiép.</t>
  </si>
  <si>
    <t>Informatikai eszközök</t>
  </si>
  <si>
    <t>Csudafa részleges nyílászáró csere, kopolit üvegfal csere</t>
  </si>
  <si>
    <t>Csudafa villamoshálózat teljesítménybőv.tervezés</t>
  </si>
  <si>
    <t xml:space="preserve">  Liliom óvoda műanyag ablakokra redőny</t>
  </si>
  <si>
    <t>Kerekerdő óvoda acélszerkezetű feljárólétra</t>
  </si>
  <si>
    <t>Kicsi Bocs Óvoda Napelem</t>
  </si>
  <si>
    <t>Tárgyi eszköz</t>
  </si>
  <si>
    <t xml:space="preserve"> FMK balett terem sportpadló készítése</t>
  </si>
  <si>
    <t>Bakáts Bunker elektromos hálózat bővítése</t>
  </si>
  <si>
    <t xml:space="preserve">Kerekerdó Óvoda veszélytelenítéskor kivágott fák helyénel helyreállítása játék telepítéssel </t>
  </si>
  <si>
    <t>Szoftver beszerzés</t>
  </si>
  <si>
    <t>Bakáts Bunker Főbejárat nagykapu felújítása</t>
  </si>
  <si>
    <t>Pöttyös Bölcsőde Tetőfelújítás</t>
  </si>
  <si>
    <t xml:space="preserve">Kerekerdő Óvoda gázfogadó épület homlokzat és járda felújítása </t>
  </si>
  <si>
    <t>Friss u. 5. meglévő akadálymenetes öltöző és WC felújítása</t>
  </si>
  <si>
    <t>Kincsesbánya Főépülethez csatlakozó gépkocsi és gyalogos közlekedő és főbejárat szélfogó statikai megtámasztása és teljes felújítása tervezés</t>
  </si>
  <si>
    <t>Pöttyös Bölcsőde konyha átalakítása ÁNTSZ levél szerint</t>
  </si>
  <si>
    <t>Csicsergő Thaly K. u. 17. konyha bútorzat csere</t>
  </si>
  <si>
    <t>Kerekerdő Óvoda elektromos hálózat részleges felújítása</t>
  </si>
  <si>
    <t>Kerekerdő Óvoda biztonsági világítás kiép, PVC burkolat készítés</t>
  </si>
  <si>
    <t>Kerekerdő Óvoda lapostető felújítása</t>
  </si>
  <si>
    <t>Kulturosztag tetőkér belső helyreállítása</t>
  </si>
  <si>
    <t>Kerekerdő kerítés felújítás</t>
  </si>
  <si>
    <t>Kerekerdő Óvoda homlokzat felújítás tervezés, járulékos munkák</t>
  </si>
  <si>
    <t>Bakáts bunker főbejárat felújítás terv.</t>
  </si>
  <si>
    <t>Pöttyös Bölcsőde villámvédelem felújítás</t>
  </si>
  <si>
    <t>Kincsebánya tetőfelújítás</t>
  </si>
  <si>
    <t>Kerekerdő Óvoda elektromos hálózat felújítása</t>
  </si>
  <si>
    <t xml:space="preserve">Aprók Háza homlokzat hőszigetelés teraszfelújítással </t>
  </si>
  <si>
    <t xml:space="preserve">Szerető Kezek Id. Klubja tetőfelújítása </t>
  </si>
  <si>
    <t>ebből: Komplex Óvoda bejárati ajtó csere és falburkolás jár. Munk.</t>
  </si>
  <si>
    <t>ebből: Jégpálya ROLBA jégkészítő csere</t>
  </si>
  <si>
    <t>Veszélyes tűzfalak, kémények vizsgálata, bontása, ellenőrzése</t>
  </si>
  <si>
    <t>MÁV csatornázás</t>
  </si>
  <si>
    <t>5002, 5003,5004,5005,5006</t>
  </si>
  <si>
    <t>Ferencvárosi Településképi Arculati Kézikönyv</t>
  </si>
  <si>
    <t>Márton 8/a felújítás</t>
  </si>
  <si>
    <t>Az önkormányzat költségvetésében szereplő 2024. évi tartalékok</t>
  </si>
  <si>
    <t>2024. évi  előirányzat 10/2024.</t>
  </si>
  <si>
    <t>2024. évi előirányzat 10/2024.</t>
  </si>
  <si>
    <t>2024. évi előirányzat  10/2024.</t>
  </si>
  <si>
    <t>Index     5./4.</t>
  </si>
  <si>
    <t xml:space="preserve">Egyéb felhalmozási célú kiadások </t>
  </si>
  <si>
    <t xml:space="preserve">   Talajterhelési díj </t>
  </si>
  <si>
    <t xml:space="preserve">     Parkolóhely megváltása </t>
  </si>
  <si>
    <t xml:space="preserve">     - Egyéb felhalmozási célú kiadások</t>
  </si>
  <si>
    <t xml:space="preserve">1809 Parkolóhely megváltása </t>
  </si>
  <si>
    <t xml:space="preserve"> Parkolóhely megváltása </t>
  </si>
  <si>
    <t>Térfelügyeleit kamararendszer kameráinak karbantartása (156 db +7 db)</t>
  </si>
  <si>
    <t>Napfény Óvoda Napelemrendszer kiépítése</t>
  </si>
  <si>
    <t>FIÜK külső nyílászárók cseréje</t>
  </si>
  <si>
    <t>Tealajterhelési díj</t>
  </si>
  <si>
    <t>NEXT Level Parking pályázat</t>
  </si>
  <si>
    <t>FESZ részesedés</t>
  </si>
  <si>
    <t>Támogatás államháztartáson kívülről -működési</t>
  </si>
  <si>
    <t>Támogatás államháztartáson kívülről -felhalmozási</t>
  </si>
  <si>
    <t>2024. évi  előirányzat 14/2024.</t>
  </si>
  <si>
    <t>2024. évi előirányzat 14/2024.</t>
  </si>
  <si>
    <t>Tanúsított irat-és dokumentumkezelő licencbérlet</t>
  </si>
  <si>
    <t>2024. évi előirányzat /2024.</t>
  </si>
  <si>
    <t>Index       6./5.</t>
  </si>
  <si>
    <t>Index    6./5.</t>
  </si>
  <si>
    <t>Ruszin Nemzetiségi Önkormányzat</t>
  </si>
  <si>
    <t>Horvát Nemzetiségi Önkormányzat</t>
  </si>
  <si>
    <t>Index     6./5.</t>
  </si>
  <si>
    <t>2024. évi  előirányzat /2024.</t>
  </si>
  <si>
    <t>Fedett, zárható kerékpártárolók társasházak, lakótelepek környékén</t>
  </si>
  <si>
    <t xml:space="preserve">    Fedett, zárható kerékpártárolók társasházak, lakótelepek környékén</t>
  </si>
  <si>
    <t xml:space="preserve"> Fedett, zárható kerékpártárolók társasházak, lakótelepek környékén</t>
  </si>
  <si>
    <t xml:space="preserve">Személyi juttatások </t>
  </si>
  <si>
    <t>Munkaadókat terhelő jár. és szociális hozzájár.adó</t>
  </si>
  <si>
    <t>Iktató program</t>
  </si>
  <si>
    <t>Csudafa tűzjelző csengőhálózat bővítés</t>
  </si>
  <si>
    <t>Beruházás és Felújítási munkák terveztetése</t>
  </si>
  <si>
    <t>2024. évi előirányzat    /2024.</t>
  </si>
  <si>
    <t>2024. évi előirányzat  /2024.</t>
  </si>
  <si>
    <t>Engedélye-zett létszám összesen 2024. év   /2024.</t>
  </si>
  <si>
    <t>Ecseri metromegálló felszíni rendezés</t>
  </si>
  <si>
    <t>Ecseri úti metró megálló felszíni rendezése</t>
  </si>
  <si>
    <t>Parkolóhely megváltás visszafizetése</t>
  </si>
  <si>
    <t>Ecseri úti metró megálló felszíni rendezés</t>
  </si>
  <si>
    <t>Városfejlesztési Bizottság</t>
  </si>
  <si>
    <t>Városfejlesztési Bizottság (beszámolás)</t>
  </si>
  <si>
    <t>Gazdasági Bizottság</t>
  </si>
  <si>
    <t>József Attila Városrészi Önk. (beszámolás)</t>
  </si>
  <si>
    <t>Gazdasági Bizottság (beszámolás)</t>
  </si>
  <si>
    <t>Szociális és Egészségügyi Bizottság (beszámolás)</t>
  </si>
  <si>
    <t>Kulturális Bizottság beszámolás</t>
  </si>
  <si>
    <t>Szociális és Egészségügyi Bizottság</t>
  </si>
  <si>
    <t>Kulturális Bizottság</t>
  </si>
  <si>
    <t>Kulturális Bizottság (beszámolás)</t>
  </si>
  <si>
    <t>Szociális és egészségügyi Bizottság</t>
  </si>
  <si>
    <t>Városfejlesztés Bizottság</t>
  </si>
  <si>
    <t>Szociális és egészségügyi Bizottság (beszámolás)</t>
  </si>
  <si>
    <r>
      <t xml:space="preserve">Önkormányzati vagyon és önkormányzatot megillető vagyoni értékű jog hasznosításából származó bevétel </t>
    </r>
    <r>
      <rPr>
        <sz val="9"/>
        <rFont val="Times New Roman"/>
        <family val="1"/>
        <charset val="238"/>
      </rPr>
      <t>(lakbér, helyiség bérleti díj, helyiség megszerzési díj)</t>
    </r>
  </si>
  <si>
    <t>Városfejlesztési Bizottság,Gazdasági Bizottság (beszámolás)</t>
  </si>
  <si>
    <t xml:space="preserve">Városfejlesztési Bizottság </t>
  </si>
  <si>
    <t>Városfejl. Biz., Szoc. és Eügyi Biz., Gazdasági Biz. (beszámolás)</t>
  </si>
  <si>
    <t>Városfejlesztési Bizottság, József A. Városrészi Önk.</t>
  </si>
  <si>
    <t>Városfejlesztési Biz., József A. Városrészi Önk. (beszámolás)</t>
  </si>
  <si>
    <t xml:space="preserve">Városfejlesztési Biz., József A. Városrészi Önk. </t>
  </si>
  <si>
    <t>Városfejlesztési Biz., József A. Városrészi Önk.</t>
  </si>
  <si>
    <t>Kulturális Bizottság, Szociális és Egészségügyi Bizottság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</si>
</sst>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0.0%"/>
  </numFmts>
  <fonts count="84" x14ac:knownFonts="1">
    <font>
      <sz val="10"/>
      <name val="Arial CE"/>
      <charset val="238"/>
    </font>
    <font>
      <sz val="10"/>
      <name val="Arial CE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i/>
      <sz val="9"/>
      <name val="Arial CE"/>
      <family val="2"/>
      <charset val="238"/>
    </font>
    <font>
      <b/>
      <i/>
      <sz val="9"/>
      <name val="Arial CE"/>
      <family val="2"/>
      <charset val="238"/>
    </font>
    <font>
      <b/>
      <sz val="10"/>
      <name val="Arial CE"/>
      <charset val="238"/>
    </font>
    <font>
      <sz val="9"/>
      <name val="Arial CE"/>
      <charset val="238"/>
    </font>
    <font>
      <i/>
      <sz val="9"/>
      <name val="Arial CE"/>
      <charset val="238"/>
    </font>
    <font>
      <sz val="9"/>
      <name val="Arial"/>
      <family val="2"/>
      <charset val="238"/>
    </font>
    <font>
      <b/>
      <sz val="9"/>
      <name val="Arial CE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  <font>
      <b/>
      <sz val="11"/>
      <name val="Arial CE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i/>
      <sz val="9"/>
      <name val="Arial CE"/>
      <charset val="238"/>
    </font>
    <font>
      <sz val="9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Times New Roman CE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name val="Arial CE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i/>
      <sz val="11"/>
      <name val="Arial CE"/>
      <family val="2"/>
      <charset val="238"/>
    </font>
    <font>
      <b/>
      <i/>
      <sz val="9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9"/>
      <name val="Arial"/>
      <family val="2"/>
      <charset val="238"/>
    </font>
    <font>
      <b/>
      <i/>
      <sz val="9"/>
      <name val="Arial"/>
      <family val="2"/>
      <charset val="238"/>
    </font>
    <font>
      <b/>
      <sz val="12"/>
      <name val="Arial CE"/>
      <family val="2"/>
      <charset val="238"/>
    </font>
    <font>
      <b/>
      <sz val="12"/>
      <name val="Arial CE"/>
      <charset val="238"/>
    </font>
    <font>
      <sz val="11"/>
      <name val="Arial"/>
      <family val="2"/>
      <charset val="238"/>
    </font>
    <font>
      <i/>
      <sz val="10"/>
      <name val="Arial CE"/>
      <charset val="238"/>
    </font>
    <font>
      <sz val="10"/>
      <name val="Arial CE"/>
      <charset val="238"/>
    </font>
    <font>
      <b/>
      <i/>
      <sz val="10"/>
      <name val="Arial CE"/>
      <charset val="238"/>
    </font>
    <font>
      <i/>
      <sz val="10"/>
      <name val="Times New Roman"/>
      <family val="1"/>
      <charset val="238"/>
    </font>
    <font>
      <sz val="10"/>
      <color rgb="FF000000"/>
      <name val="Arial CE"/>
    </font>
    <font>
      <b/>
      <sz val="12"/>
      <name val="Arial"/>
      <family val="2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4"/>
      <name val="Arial"/>
      <family val="2"/>
      <charset val="238"/>
    </font>
    <font>
      <sz val="12"/>
      <name val="Arial"/>
      <family val="2"/>
      <charset val="238"/>
    </font>
    <font>
      <b/>
      <sz val="12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6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name val="MS Sans Serif"/>
      <family val="2"/>
      <charset val="238"/>
    </font>
    <font>
      <sz val="10"/>
      <name val="MS Sans Serif"/>
      <family val="2"/>
      <charset val="238"/>
    </font>
    <font>
      <sz val="9"/>
      <color rgb="FFFF0000"/>
      <name val="Arial CE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name val="Arial"/>
      <family val="2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name val="Arial CE"/>
    </font>
  </fonts>
  <fills count="23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3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2"/>
      </patternFill>
    </fill>
  </fills>
  <borders count="6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</borders>
  <cellStyleXfs count="83">
    <xf numFmtId="0" fontId="0" fillId="0" borderId="0"/>
    <xf numFmtId="0" fontId="21" fillId="2" borderId="0" applyNumberFormat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2" borderId="0" applyNumberFormat="0" applyBorder="0" applyAlignment="0" applyProtection="0"/>
    <xf numFmtId="0" fontId="21" fillId="5" borderId="0" applyNumberFormat="0" applyBorder="0" applyAlignment="0" applyProtection="0"/>
    <xf numFmtId="0" fontId="21" fillId="4" borderId="0" applyNumberFormat="0" applyBorder="0" applyAlignment="0" applyProtection="0"/>
    <xf numFmtId="0" fontId="21" fillId="6" borderId="0" applyNumberFormat="0" applyBorder="0" applyAlignment="0" applyProtection="0"/>
    <xf numFmtId="0" fontId="21" fillId="3" borderId="0" applyNumberFormat="0" applyBorder="0" applyAlignment="0" applyProtection="0"/>
    <xf numFmtId="0" fontId="21" fillId="7" borderId="0" applyNumberFormat="0" applyBorder="0" applyAlignment="0" applyProtection="0"/>
    <xf numFmtId="0" fontId="21" fillId="6" borderId="0" applyNumberFormat="0" applyBorder="0" applyAlignment="0" applyProtection="0"/>
    <xf numFmtId="0" fontId="21" fillId="8" borderId="0" applyNumberFormat="0" applyBorder="0" applyAlignment="0" applyProtection="0"/>
    <xf numFmtId="0" fontId="21" fillId="7" borderId="0" applyNumberFormat="0" applyBorder="0" applyAlignment="0" applyProtection="0"/>
    <xf numFmtId="0" fontId="22" fillId="9" borderId="0" applyNumberFormat="0" applyBorder="0" applyAlignment="0" applyProtection="0"/>
    <xf numFmtId="0" fontId="22" fillId="3" borderId="0" applyNumberFormat="0" applyBorder="0" applyAlignment="0" applyProtection="0"/>
    <xf numFmtId="0" fontId="22" fillId="7" borderId="0" applyNumberFormat="0" applyBorder="0" applyAlignment="0" applyProtection="0"/>
    <xf numFmtId="0" fontId="22" fillId="6" borderId="0" applyNumberFormat="0" applyBorder="0" applyAlignment="0" applyProtection="0"/>
    <xf numFmtId="0" fontId="22" fillId="9" borderId="0" applyNumberFormat="0" applyBorder="0" applyAlignment="0" applyProtection="0"/>
    <xf numFmtId="0" fontId="22" fillId="3" borderId="0" applyNumberFormat="0" applyBorder="0" applyAlignment="0" applyProtection="0"/>
    <xf numFmtId="0" fontId="23" fillId="7" borderId="1" applyNumberFormat="0" applyAlignment="0" applyProtection="0"/>
    <xf numFmtId="0" fontId="24" fillId="0" borderId="0" applyNumberFormat="0" applyFill="0" applyBorder="0" applyAlignment="0" applyProtection="0"/>
    <xf numFmtId="0" fontId="25" fillId="0" borderId="2" applyNumberFormat="0" applyFill="0" applyAlignment="0" applyProtection="0"/>
    <xf numFmtId="0" fontId="26" fillId="0" borderId="3" applyNumberFormat="0" applyFill="0" applyAlignment="0" applyProtection="0"/>
    <xf numFmtId="0" fontId="27" fillId="0" borderId="4" applyNumberFormat="0" applyFill="0" applyAlignment="0" applyProtection="0"/>
    <xf numFmtId="0" fontId="27" fillId="0" borderId="0" applyNumberFormat="0" applyFill="0" applyBorder="0" applyAlignment="0" applyProtection="0"/>
    <xf numFmtId="0" fontId="28" fillId="10" borderId="5" applyNumberFormat="0" applyAlignment="0" applyProtection="0"/>
    <xf numFmtId="164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6" applyNumberFormat="0" applyFill="0" applyAlignment="0" applyProtection="0"/>
    <xf numFmtId="0" fontId="1" fillId="4" borderId="7" applyNumberFormat="0" applyFont="0" applyAlignment="0" applyProtection="0"/>
    <xf numFmtId="0" fontId="31" fillId="11" borderId="0" applyNumberFormat="0" applyBorder="0" applyAlignment="0" applyProtection="0"/>
    <xf numFmtId="0" fontId="32" fillId="12" borderId="8" applyNumberFormat="0" applyAlignment="0" applyProtection="0"/>
    <xf numFmtId="0" fontId="33" fillId="0" borderId="0" applyNumberFormat="0" applyFill="0" applyBorder="0" applyAlignment="0" applyProtection="0"/>
    <xf numFmtId="0" fontId="34" fillId="0" borderId="0"/>
    <xf numFmtId="0" fontId="14" fillId="0" borderId="0"/>
    <xf numFmtId="0" fontId="14" fillId="0" borderId="0"/>
    <xf numFmtId="0" fontId="1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35" fillId="0" borderId="9" applyNumberFormat="0" applyFill="0" applyAlignment="0" applyProtection="0"/>
    <xf numFmtId="0" fontId="36" fillId="13" borderId="0" applyNumberFormat="0" applyBorder="0" applyAlignment="0" applyProtection="0"/>
    <xf numFmtId="0" fontId="37" fillId="7" borderId="0" applyNumberFormat="0" applyBorder="0" applyAlignment="0" applyProtection="0"/>
    <xf numFmtId="0" fontId="38" fillId="12" borderId="1" applyNumberFormat="0" applyAlignment="0" applyProtection="0"/>
    <xf numFmtId="9" fontId="1" fillId="0" borderId="0" applyFont="0" applyFill="0" applyBorder="0" applyAlignment="0" applyProtection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78" fillId="0" borderId="0"/>
    <xf numFmtId="0" fontId="21" fillId="16" borderId="0" applyNumberFormat="0" applyBorder="0" applyAlignment="0" applyProtection="0"/>
    <xf numFmtId="0" fontId="21" fillId="13" borderId="0" applyNumberFormat="0" applyBorder="0" applyAlignment="0" applyProtection="0"/>
    <xf numFmtId="0" fontId="21" fillId="11" borderId="0" applyNumberFormat="0" applyBorder="0" applyAlignment="0" applyProtection="0"/>
    <xf numFmtId="0" fontId="21" fillId="17" borderId="0" applyNumberFormat="0" applyBorder="0" applyAlignment="0" applyProtection="0"/>
    <xf numFmtId="0" fontId="21" fillId="2" borderId="0" applyNumberFormat="0" applyBorder="0" applyAlignment="0" applyProtection="0"/>
    <xf numFmtId="0" fontId="21" fillId="8" borderId="0" applyNumberFormat="0" applyBorder="0" applyAlignment="0" applyProtection="0"/>
    <xf numFmtId="0" fontId="21" fillId="19" borderId="0" applyNumberFormat="0" applyBorder="0" applyAlignment="0" applyProtection="0"/>
    <xf numFmtId="0" fontId="21" fillId="17" borderId="0" applyNumberFormat="0" applyBorder="0" applyAlignment="0" applyProtection="0"/>
    <xf numFmtId="0" fontId="21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19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3" fillId="2" borderId="1" applyNumberFormat="0" applyAlignment="0" applyProtection="0"/>
    <xf numFmtId="0" fontId="79" fillId="0" borderId="0" applyNumberFormat="0" applyFill="0" applyBorder="0" applyAlignment="0" applyProtection="0"/>
    <xf numFmtId="0" fontId="80" fillId="0" borderId="55" applyNumberFormat="0" applyFill="0" applyAlignment="0" applyProtection="0"/>
    <xf numFmtId="0" fontId="81" fillId="0" borderId="3" applyNumberFormat="0" applyFill="0" applyAlignment="0" applyProtection="0"/>
    <xf numFmtId="0" fontId="82" fillId="0" borderId="56" applyNumberFormat="0" applyFill="0" applyAlignment="0" applyProtection="0"/>
    <xf numFmtId="0" fontId="82" fillId="0" borderId="0" applyNumberFormat="0" applyFill="0" applyBorder="0" applyAlignment="0" applyProtection="0"/>
    <xf numFmtId="0" fontId="78" fillId="4" borderId="7" applyNumberFormat="0" applyFont="0" applyAlignment="0" applyProtection="0"/>
    <xf numFmtId="0" fontId="32" fillId="6" borderId="8" applyNumberFormat="0" applyAlignment="0" applyProtection="0"/>
    <xf numFmtId="0" fontId="14" fillId="0" borderId="0"/>
    <xf numFmtId="0" fontId="35" fillId="0" borderId="57" applyNumberFormat="0" applyFill="0" applyAlignment="0" applyProtection="0"/>
    <xf numFmtId="0" fontId="38" fillId="6" borderId="1" applyNumberFormat="0" applyAlignment="0" applyProtection="0"/>
  </cellStyleXfs>
  <cellXfs count="1465">
    <xf numFmtId="0" fontId="0" fillId="0" borderId="0" xfId="0"/>
    <xf numFmtId="3" fontId="2" fillId="0" borderId="10" xfId="0" applyNumberFormat="1" applyFont="1" applyBorder="1" applyAlignment="1">
      <alignment horizontal="center"/>
    </xf>
    <xf numFmtId="3" fontId="2" fillId="0" borderId="11" xfId="0" applyNumberFormat="1" applyFont="1" applyBorder="1" applyAlignment="1">
      <alignment horizontal="center"/>
    </xf>
    <xf numFmtId="3" fontId="2" fillId="0" borderId="12" xfId="0" applyNumberFormat="1" applyFont="1" applyBorder="1" applyAlignment="1">
      <alignment horizontal="center"/>
    </xf>
    <xf numFmtId="3" fontId="2" fillId="0" borderId="12" xfId="0" applyNumberFormat="1" applyFont="1" applyBorder="1"/>
    <xf numFmtId="3" fontId="3" fillId="0" borderId="12" xfId="0" applyNumberFormat="1" applyFont="1" applyBorder="1"/>
    <xf numFmtId="3" fontId="3" fillId="0" borderId="11" xfId="0" applyNumberFormat="1" applyFont="1" applyBorder="1"/>
    <xf numFmtId="3" fontId="2" fillId="0" borderId="11" xfId="0" applyNumberFormat="1" applyFont="1" applyBorder="1"/>
    <xf numFmtId="0" fontId="5" fillId="0" borderId="0" xfId="0" applyFont="1"/>
    <xf numFmtId="3" fontId="5" fillId="0" borderId="0" xfId="0" applyNumberFormat="1" applyFont="1"/>
    <xf numFmtId="0" fontId="2" fillId="0" borderId="10" xfId="0" applyFont="1" applyBorder="1" applyAlignment="1">
      <alignment horizontal="center"/>
    </xf>
    <xf numFmtId="3" fontId="4" fillId="0" borderId="12" xfId="0" applyNumberFormat="1" applyFont="1" applyBorder="1" applyAlignment="1">
      <alignment horizontal="center"/>
    </xf>
    <xf numFmtId="0" fontId="4" fillId="0" borderId="0" xfId="0" applyFont="1"/>
    <xf numFmtId="0" fontId="2" fillId="0" borderId="11" xfId="0" applyFont="1" applyBorder="1" applyAlignment="1">
      <alignment horizontal="center"/>
    </xf>
    <xf numFmtId="3" fontId="4" fillId="0" borderId="12" xfId="0" applyNumberFormat="1" applyFont="1" applyBorder="1"/>
    <xf numFmtId="0" fontId="2" fillId="0" borderId="0" xfId="0" applyFont="1"/>
    <xf numFmtId="3" fontId="3" fillId="0" borderId="0" xfId="0" applyNumberFormat="1" applyFont="1"/>
    <xf numFmtId="3" fontId="2" fillId="0" borderId="13" xfId="0" applyNumberFormat="1" applyFont="1" applyBorder="1"/>
    <xf numFmtId="3" fontId="2" fillId="0" borderId="14" xfId="0" applyNumberFormat="1" applyFont="1" applyBorder="1" applyAlignment="1">
      <alignment horizontal="center"/>
    </xf>
    <xf numFmtId="3" fontId="2" fillId="0" borderId="12" xfId="0" applyNumberFormat="1" applyFont="1" applyBorder="1" applyAlignment="1">
      <alignment horizontal="left"/>
    </xf>
    <xf numFmtId="3" fontId="2" fillId="0" borderId="0" xfId="0" applyNumberFormat="1" applyFont="1"/>
    <xf numFmtId="3" fontId="3" fillId="0" borderId="10" xfId="0" applyNumberFormat="1" applyFont="1" applyBorder="1"/>
    <xf numFmtId="3" fontId="7" fillId="0" borderId="0" xfId="0" applyNumberFormat="1" applyFont="1"/>
    <xf numFmtId="3" fontId="6" fillId="0" borderId="0" xfId="0" applyNumberFormat="1" applyFont="1"/>
    <xf numFmtId="3" fontId="4" fillId="0" borderId="11" xfId="0" applyNumberFormat="1" applyFont="1" applyBorder="1"/>
    <xf numFmtId="3" fontId="4" fillId="0" borderId="0" xfId="0" applyNumberFormat="1" applyFont="1"/>
    <xf numFmtId="3" fontId="7" fillId="0" borderId="15" xfId="0" applyNumberFormat="1" applyFont="1" applyBorder="1"/>
    <xf numFmtId="3" fontId="7" fillId="0" borderId="14" xfId="0" applyNumberFormat="1" applyFont="1" applyBorder="1"/>
    <xf numFmtId="0" fontId="3" fillId="0" borderId="0" xfId="0" applyFont="1"/>
    <xf numFmtId="0" fontId="3" fillId="0" borderId="10" xfId="0" applyFont="1" applyBorder="1"/>
    <xf numFmtId="0" fontId="2" fillId="0" borderId="15" xfId="0" applyFont="1" applyBorder="1"/>
    <xf numFmtId="0" fontId="2" fillId="0" borderId="10" xfId="0" applyFont="1" applyBorder="1"/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/>
    <xf numFmtId="0" fontId="3" fillId="0" borderId="12" xfId="0" applyFont="1" applyBorder="1"/>
    <xf numFmtId="0" fontId="3" fillId="0" borderId="16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5" fillId="0" borderId="13" xfId="0" applyFont="1" applyBorder="1"/>
    <xf numFmtId="0" fontId="4" fillId="0" borderId="17" xfId="0" applyFont="1" applyBorder="1" applyAlignment="1">
      <alignment horizontal="centerContinuous" vertical="top"/>
    </xf>
    <xf numFmtId="0" fontId="4" fillId="0" borderId="10" xfId="0" applyFont="1" applyBorder="1"/>
    <xf numFmtId="0" fontId="4" fillId="0" borderId="10" xfId="0" applyFont="1" applyBorder="1" applyAlignment="1">
      <alignment horizontal="center"/>
    </xf>
    <xf numFmtId="0" fontId="4" fillId="0" borderId="14" xfId="0" applyFont="1" applyBorder="1"/>
    <xf numFmtId="0" fontId="4" fillId="0" borderId="14" xfId="0" applyFont="1" applyBorder="1" applyAlignment="1">
      <alignment horizontal="centerContinuous" vertical="top"/>
    </xf>
    <xf numFmtId="0" fontId="4" fillId="0" borderId="14" xfId="0" applyFont="1" applyBorder="1" applyAlignment="1">
      <alignment horizontal="center"/>
    </xf>
    <xf numFmtId="0" fontId="5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3" fontId="0" fillId="0" borderId="0" xfId="0" applyNumberFormat="1"/>
    <xf numFmtId="3" fontId="2" fillId="0" borderId="18" xfId="0" applyNumberFormat="1" applyFont="1" applyBorder="1"/>
    <xf numFmtId="0" fontId="2" fillId="0" borderId="15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3" fontId="10" fillId="0" borderId="11" xfId="0" applyNumberFormat="1" applyFont="1" applyBorder="1"/>
    <xf numFmtId="0" fontId="12" fillId="0" borderId="0" xfId="0" applyFont="1"/>
    <xf numFmtId="3" fontId="4" fillId="0" borderId="11" xfId="0" applyNumberFormat="1" applyFont="1" applyBorder="1" applyAlignment="1">
      <alignment horizontal="center"/>
    </xf>
    <xf numFmtId="3" fontId="9" fillId="0" borderId="11" xfId="0" applyNumberFormat="1" applyFont="1" applyBorder="1"/>
    <xf numFmtId="3" fontId="12" fillId="0" borderId="12" xfId="0" applyNumberFormat="1" applyFont="1" applyBorder="1"/>
    <xf numFmtId="3" fontId="12" fillId="0" borderId="11" xfId="0" applyNumberFormat="1" applyFont="1" applyBorder="1"/>
    <xf numFmtId="3" fontId="9" fillId="0" borderId="12" xfId="0" applyNumberFormat="1" applyFont="1" applyBorder="1"/>
    <xf numFmtId="0" fontId="8" fillId="0" borderId="0" xfId="0" applyFont="1" applyAlignment="1">
      <alignment horizontal="right"/>
    </xf>
    <xf numFmtId="0" fontId="12" fillId="0" borderId="19" xfId="0" applyFont="1" applyBorder="1" applyAlignment="1">
      <alignment horizontal="right"/>
    </xf>
    <xf numFmtId="3" fontId="3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3" fontId="7" fillId="0" borderId="11" xfId="0" applyNumberFormat="1" applyFont="1" applyBorder="1"/>
    <xf numFmtId="0" fontId="11" fillId="0" borderId="10" xfId="0" applyFont="1" applyBorder="1"/>
    <xf numFmtId="3" fontId="2" fillId="0" borderId="17" xfId="0" applyNumberFormat="1" applyFont="1" applyBorder="1" applyAlignment="1">
      <alignment horizontal="center"/>
    </xf>
    <xf numFmtId="3" fontId="2" fillId="0" borderId="20" xfId="0" applyNumberFormat="1" applyFont="1" applyBorder="1" applyAlignment="1">
      <alignment horizontal="left"/>
    </xf>
    <xf numFmtId="0" fontId="9" fillId="0" borderId="10" xfId="0" applyFont="1" applyBorder="1"/>
    <xf numFmtId="0" fontId="4" fillId="0" borderId="16" xfId="0" applyFont="1" applyBorder="1" applyAlignment="1">
      <alignment horizontal="centerContinuous" vertical="top"/>
    </xf>
    <xf numFmtId="3" fontId="4" fillId="0" borderId="13" xfId="0" applyNumberFormat="1" applyFont="1" applyBorder="1" applyAlignment="1">
      <alignment horizontal="center"/>
    </xf>
    <xf numFmtId="3" fontId="2" fillId="0" borderId="11" xfId="0" applyNumberFormat="1" applyFont="1" applyBorder="1" applyAlignment="1">
      <alignment horizontal="left"/>
    </xf>
    <xf numFmtId="3" fontId="11" fillId="0" borderId="10" xfId="0" applyNumberFormat="1" applyFont="1" applyBorder="1"/>
    <xf numFmtId="3" fontId="2" fillId="0" borderId="0" xfId="0" applyNumberFormat="1" applyFont="1" applyAlignment="1">
      <alignment horizontal="center"/>
    </xf>
    <xf numFmtId="3" fontId="7" fillId="0" borderId="10" xfId="0" applyNumberFormat="1" applyFont="1" applyBorder="1"/>
    <xf numFmtId="3" fontId="19" fillId="0" borderId="11" xfId="0" applyNumberFormat="1" applyFont="1" applyBorder="1"/>
    <xf numFmtId="3" fontId="12" fillId="0" borderId="21" xfId="0" applyNumberFormat="1" applyFont="1" applyBorder="1"/>
    <xf numFmtId="3" fontId="12" fillId="0" borderId="15" xfId="0" applyNumberFormat="1" applyFont="1" applyBorder="1"/>
    <xf numFmtId="3" fontId="8" fillId="0" borderId="14" xfId="0" applyNumberFormat="1" applyFont="1" applyBorder="1"/>
    <xf numFmtId="3" fontId="3" fillId="0" borderId="21" xfId="0" applyNumberFormat="1" applyFont="1" applyBorder="1"/>
    <xf numFmtId="3" fontId="19" fillId="0" borderId="12" xfId="0" applyNumberFormat="1" applyFont="1" applyBorder="1"/>
    <xf numFmtId="0" fontId="14" fillId="0" borderId="0" xfId="35"/>
    <xf numFmtId="0" fontId="9" fillId="0" borderId="14" xfId="0" applyFont="1" applyBorder="1" applyAlignment="1">
      <alignment horizontal="center"/>
    </xf>
    <xf numFmtId="3" fontId="4" fillId="0" borderId="12" xfId="0" applyNumberFormat="1" applyFont="1" applyBorder="1" applyAlignment="1">
      <alignment horizontal="left"/>
    </xf>
    <xf numFmtId="3" fontId="8" fillId="0" borderId="11" xfId="0" applyNumberFormat="1" applyFont="1" applyBorder="1"/>
    <xf numFmtId="0" fontId="2" fillId="0" borderId="13" xfId="0" applyFont="1" applyBorder="1" applyAlignment="1">
      <alignment horizontal="center" vertical="top"/>
    </xf>
    <xf numFmtId="0" fontId="2" fillId="0" borderId="0" xfId="36" applyFont="1" applyAlignment="1">
      <alignment horizontal="center"/>
    </xf>
    <xf numFmtId="0" fontId="1" fillId="0" borderId="0" xfId="36"/>
    <xf numFmtId="0" fontId="3" fillId="0" borderId="0" xfId="36" applyFont="1"/>
    <xf numFmtId="0" fontId="8" fillId="0" borderId="0" xfId="36" applyFont="1" applyAlignment="1">
      <alignment horizontal="right"/>
    </xf>
    <xf numFmtId="0" fontId="2" fillId="0" borderId="0" xfId="36" applyFont="1"/>
    <xf numFmtId="3" fontId="2" fillId="0" borderId="12" xfId="36" applyNumberFormat="1" applyFont="1" applyBorder="1" applyAlignment="1">
      <alignment horizontal="center"/>
    </xf>
    <xf numFmtId="0" fontId="2" fillId="0" borderId="12" xfId="36" applyFont="1" applyBorder="1" applyAlignment="1">
      <alignment horizontal="center"/>
    </xf>
    <xf numFmtId="3" fontId="5" fillId="0" borderId="12" xfId="36" applyNumberFormat="1" applyFont="1" applyBorder="1"/>
    <xf numFmtId="0" fontId="4" fillId="0" borderId="12" xfId="36" applyFont="1" applyBorder="1"/>
    <xf numFmtId="0" fontId="5" fillId="0" borderId="0" xfId="36" applyFont="1"/>
    <xf numFmtId="3" fontId="3" fillId="0" borderId="12" xfId="36" applyNumberFormat="1" applyFont="1" applyBorder="1"/>
    <xf numFmtId="0" fontId="3" fillId="0" borderId="12" xfId="36" applyFont="1" applyBorder="1"/>
    <xf numFmtId="3" fontId="2" fillId="0" borderId="12" xfId="36" applyNumberFormat="1" applyFont="1" applyBorder="1"/>
    <xf numFmtId="0" fontId="2" fillId="0" borderId="12" xfId="36" applyFont="1" applyBorder="1"/>
    <xf numFmtId="3" fontId="12" fillId="0" borderId="12" xfId="36" applyNumberFormat="1" applyFont="1" applyBorder="1"/>
    <xf numFmtId="0" fontId="12" fillId="0" borderId="11" xfId="36" applyFont="1" applyBorder="1"/>
    <xf numFmtId="3" fontId="12" fillId="0" borderId="11" xfId="36" applyNumberFormat="1" applyFont="1" applyBorder="1"/>
    <xf numFmtId="0" fontId="2" fillId="0" borderId="11" xfId="36" applyFont="1" applyBorder="1"/>
    <xf numFmtId="0" fontId="3" fillId="0" borderId="11" xfId="36" applyFont="1" applyBorder="1"/>
    <xf numFmtId="0" fontId="9" fillId="0" borderId="12" xfId="36" applyFont="1" applyBorder="1"/>
    <xf numFmtId="0" fontId="2" fillId="0" borderId="15" xfId="36" applyFont="1" applyBorder="1"/>
    <xf numFmtId="3" fontId="9" fillId="0" borderId="12" xfId="36" applyNumberFormat="1" applyFont="1" applyBorder="1"/>
    <xf numFmtId="3" fontId="9" fillId="0" borderId="11" xfId="36" applyNumberFormat="1" applyFont="1" applyBorder="1"/>
    <xf numFmtId="0" fontId="9" fillId="0" borderId="11" xfId="36" applyFont="1" applyBorder="1"/>
    <xf numFmtId="0" fontId="12" fillId="0" borderId="12" xfId="36" applyFont="1" applyBorder="1"/>
    <xf numFmtId="0" fontId="9" fillId="0" borderId="10" xfId="36" applyFont="1" applyBorder="1"/>
    <xf numFmtId="3" fontId="9" fillId="0" borderId="21" xfId="36" applyNumberFormat="1" applyFont="1" applyBorder="1"/>
    <xf numFmtId="0" fontId="9" fillId="0" borderId="21" xfId="36" applyFont="1" applyBorder="1"/>
    <xf numFmtId="0" fontId="12" fillId="0" borderId="15" xfId="36" applyFont="1" applyBorder="1"/>
    <xf numFmtId="3" fontId="12" fillId="0" borderId="15" xfId="36" applyNumberFormat="1" applyFont="1" applyBorder="1"/>
    <xf numFmtId="0" fontId="2" fillId="0" borderId="13" xfId="36" applyFont="1" applyBorder="1"/>
    <xf numFmtId="0" fontId="9" fillId="0" borderId="13" xfId="36" applyFont="1" applyBorder="1"/>
    <xf numFmtId="0" fontId="8" fillId="0" borderId="15" xfId="36" applyFont="1" applyBorder="1"/>
    <xf numFmtId="3" fontId="12" fillId="0" borderId="10" xfId="36" applyNumberFormat="1" applyFont="1" applyBorder="1"/>
    <xf numFmtId="3" fontId="9" fillId="0" borderId="18" xfId="36" applyNumberFormat="1" applyFont="1" applyBorder="1"/>
    <xf numFmtId="0" fontId="9" fillId="0" borderId="18" xfId="36" applyFont="1" applyBorder="1"/>
    <xf numFmtId="3" fontId="12" fillId="0" borderId="18" xfId="36" applyNumberFormat="1" applyFont="1" applyBorder="1"/>
    <xf numFmtId="3" fontId="9" fillId="0" borderId="14" xfId="36" applyNumberFormat="1" applyFont="1" applyBorder="1"/>
    <xf numFmtId="3" fontId="12" fillId="0" borderId="14" xfId="36" applyNumberFormat="1" applyFont="1" applyBorder="1"/>
    <xf numFmtId="3" fontId="9" fillId="0" borderId="15" xfId="36" applyNumberFormat="1" applyFont="1" applyBorder="1"/>
    <xf numFmtId="3" fontId="4" fillId="0" borderId="10" xfId="36" applyNumberFormat="1" applyFont="1" applyBorder="1" applyAlignment="1">
      <alignment horizontal="right"/>
    </xf>
    <xf numFmtId="0" fontId="4" fillId="0" borderId="0" xfId="36" applyFont="1"/>
    <xf numFmtId="3" fontId="4" fillId="0" borderId="12" xfId="36" applyNumberFormat="1" applyFont="1" applyBorder="1"/>
    <xf numFmtId="0" fontId="9" fillId="0" borderId="14" xfId="36" applyFont="1" applyBorder="1"/>
    <xf numFmtId="3" fontId="3" fillId="0" borderId="0" xfId="36" applyNumberFormat="1" applyFont="1"/>
    <xf numFmtId="0" fontId="12" fillId="0" borderId="10" xfId="36" applyFont="1" applyBorder="1"/>
    <xf numFmtId="0" fontId="20" fillId="0" borderId="0" xfId="35" applyFont="1"/>
    <xf numFmtId="3" fontId="4" fillId="0" borderId="26" xfId="0" applyNumberFormat="1" applyFont="1" applyBorder="1"/>
    <xf numFmtId="3" fontId="9" fillId="0" borderId="21" xfId="0" applyNumberFormat="1" applyFont="1" applyBorder="1"/>
    <xf numFmtId="3" fontId="8" fillId="0" borderId="15" xfId="0" applyNumberFormat="1" applyFont="1" applyBorder="1" applyAlignment="1">
      <alignment vertical="center"/>
    </xf>
    <xf numFmtId="0" fontId="4" fillId="0" borderId="10" xfId="36" applyFont="1" applyBorder="1"/>
    <xf numFmtId="3" fontId="3" fillId="0" borderId="23" xfId="0" applyNumberFormat="1" applyFont="1" applyBorder="1"/>
    <xf numFmtId="0" fontId="8" fillId="0" borderId="15" xfId="36" applyFont="1" applyBorder="1" applyAlignment="1">
      <alignment vertical="center"/>
    </xf>
    <xf numFmtId="0" fontId="41" fillId="0" borderId="15" xfId="36" applyFont="1" applyBorder="1"/>
    <xf numFmtId="3" fontId="12" fillId="0" borderId="15" xfId="0" applyNumberFormat="1" applyFont="1" applyBorder="1" applyAlignment="1">
      <alignment vertical="center"/>
    </xf>
    <xf numFmtId="3" fontId="8" fillId="0" borderId="14" xfId="0" applyNumberFormat="1" applyFont="1" applyBorder="1" applyAlignment="1">
      <alignment vertical="center"/>
    </xf>
    <xf numFmtId="3" fontId="12" fillId="0" borderId="18" xfId="0" applyNumberFormat="1" applyFont="1" applyBorder="1"/>
    <xf numFmtId="3" fontId="48" fillId="0" borderId="14" xfId="0" applyNumberFormat="1" applyFont="1" applyBorder="1" applyAlignment="1">
      <alignment vertical="center"/>
    </xf>
    <xf numFmtId="0" fontId="5" fillId="0" borderId="12" xfId="36" applyFont="1" applyBorder="1"/>
    <xf numFmtId="0" fontId="12" fillId="0" borderId="18" xfId="36" applyFont="1" applyBorder="1"/>
    <xf numFmtId="9" fontId="12" fillId="0" borderId="12" xfId="0" applyNumberFormat="1" applyFont="1" applyBorder="1"/>
    <xf numFmtId="0" fontId="10" fillId="0" borderId="10" xfId="0" applyFont="1" applyBorder="1"/>
    <xf numFmtId="3" fontId="10" fillId="0" borderId="21" xfId="0" applyNumberFormat="1" applyFont="1" applyBorder="1"/>
    <xf numFmtId="0" fontId="11" fillId="0" borderId="12" xfId="36" applyFont="1" applyBorder="1"/>
    <xf numFmtId="3" fontId="8" fillId="0" borderId="10" xfId="0" applyNumberFormat="1" applyFont="1" applyBorder="1"/>
    <xf numFmtId="0" fontId="4" fillId="0" borderId="18" xfId="0" applyFont="1" applyBorder="1" applyAlignment="1">
      <alignment horizontal="center" vertical="center"/>
    </xf>
    <xf numFmtId="3" fontId="4" fillId="0" borderId="30" xfId="0" applyNumberFormat="1" applyFont="1" applyBorder="1" applyAlignment="1">
      <alignment horizontal="center" vertical="center"/>
    </xf>
    <xf numFmtId="3" fontId="4" fillId="0" borderId="18" xfId="0" applyNumberFormat="1" applyFont="1" applyBorder="1" applyAlignment="1">
      <alignment horizontal="center" vertical="center"/>
    </xf>
    <xf numFmtId="0" fontId="2" fillId="0" borderId="18" xfId="36" applyFont="1" applyBorder="1"/>
    <xf numFmtId="0" fontId="13" fillId="0" borderId="10" xfId="0" applyFont="1" applyBorder="1" applyAlignment="1">
      <alignment horizontal="center"/>
    </xf>
    <xf numFmtId="0" fontId="13" fillId="0" borderId="10" xfId="0" applyFont="1" applyBorder="1"/>
    <xf numFmtId="0" fontId="13" fillId="0" borderId="15" xfId="0" applyFont="1" applyBorder="1" applyAlignment="1">
      <alignment horizontal="center"/>
    </xf>
    <xf numFmtId="0" fontId="13" fillId="0" borderId="15" xfId="0" applyFont="1" applyBorder="1"/>
    <xf numFmtId="0" fontId="13" fillId="0" borderId="31" xfId="0" applyFont="1" applyBorder="1" applyAlignment="1">
      <alignment horizontal="center"/>
    </xf>
    <xf numFmtId="0" fontId="13" fillId="0" borderId="31" xfId="0" applyFont="1" applyBorder="1"/>
    <xf numFmtId="3" fontId="10" fillId="0" borderId="12" xfId="0" applyNumberFormat="1" applyFont="1" applyBorder="1"/>
    <xf numFmtId="0" fontId="11" fillId="0" borderId="11" xfId="36" applyFont="1" applyBorder="1"/>
    <xf numFmtId="0" fontId="2" fillId="0" borderId="32" xfId="0" applyFont="1" applyBorder="1" applyAlignment="1">
      <alignment horizontal="left" vertical="top"/>
    </xf>
    <xf numFmtId="0" fontId="41" fillId="0" borderId="10" xfId="36" applyFont="1" applyBorder="1"/>
    <xf numFmtId="0" fontId="8" fillId="0" borderId="11" xfId="0" applyFont="1" applyBorder="1" applyAlignment="1">
      <alignment horizontal="center"/>
    </xf>
    <xf numFmtId="3" fontId="9" fillId="0" borderId="13" xfId="36" applyNumberFormat="1" applyFont="1" applyBorder="1"/>
    <xf numFmtId="3" fontId="8" fillId="0" borderId="26" xfId="0" applyNumberFormat="1" applyFont="1" applyBorder="1" applyAlignment="1">
      <alignment vertical="center"/>
    </xf>
    <xf numFmtId="0" fontId="1" fillId="0" borderId="0" xfId="38"/>
    <xf numFmtId="0" fontId="2" fillId="0" borderId="0" xfId="38" applyFont="1" applyAlignment="1">
      <alignment horizontal="centerContinuous"/>
    </xf>
    <xf numFmtId="3" fontId="15" fillId="0" borderId="10" xfId="38" applyNumberFormat="1" applyFont="1" applyBorder="1" applyAlignment="1">
      <alignment horizontal="center"/>
    </xf>
    <xf numFmtId="3" fontId="15" fillId="0" borderId="10" xfId="38" applyNumberFormat="1" applyFont="1" applyBorder="1" applyAlignment="1" applyProtection="1">
      <alignment horizontal="center"/>
      <protection locked="0"/>
    </xf>
    <xf numFmtId="3" fontId="15" fillId="0" borderId="31" xfId="38" applyNumberFormat="1" applyFont="1" applyBorder="1" applyAlignment="1" applyProtection="1">
      <alignment horizontal="center"/>
      <protection locked="0"/>
    </xf>
    <xf numFmtId="3" fontId="18" fillId="0" borderId="10" xfId="38" applyNumberFormat="1" applyFont="1" applyBorder="1" applyAlignment="1" applyProtection="1">
      <alignment horizontal="center"/>
      <protection locked="0"/>
    </xf>
    <xf numFmtId="0" fontId="15" fillId="0" borderId="31" xfId="38" applyFont="1" applyBorder="1" applyProtection="1">
      <protection locked="0"/>
    </xf>
    <xf numFmtId="0" fontId="41" fillId="0" borderId="14" xfId="36" applyFont="1" applyBorder="1"/>
    <xf numFmtId="0" fontId="13" fillId="0" borderId="12" xfId="36" applyFont="1" applyBorder="1"/>
    <xf numFmtId="0" fontId="41" fillId="0" borderId="18" xfId="36" applyFont="1" applyBorder="1"/>
    <xf numFmtId="0" fontId="54" fillId="0" borderId="15" xfId="36" applyFont="1" applyBorder="1"/>
    <xf numFmtId="0" fontId="54" fillId="0" borderId="10" xfId="36" applyFont="1" applyBorder="1"/>
    <xf numFmtId="0" fontId="53" fillId="0" borderId="15" xfId="36" applyFont="1" applyBorder="1" applyAlignment="1">
      <alignment vertical="center"/>
    </xf>
    <xf numFmtId="0" fontId="54" fillId="0" borderId="15" xfId="36" applyFont="1" applyBorder="1" applyAlignment="1">
      <alignment vertical="center"/>
    </xf>
    <xf numFmtId="0" fontId="4" fillId="0" borderId="13" xfId="36" applyFont="1" applyBorder="1"/>
    <xf numFmtId="0" fontId="15" fillId="0" borderId="12" xfId="36" applyFont="1" applyBorder="1" applyAlignment="1">
      <alignment vertical="center"/>
    </xf>
    <xf numFmtId="0" fontId="41" fillId="0" borderId="15" xfId="36" applyFont="1" applyBorder="1" applyAlignment="1">
      <alignment vertical="center"/>
    </xf>
    <xf numFmtId="0" fontId="53" fillId="0" borderId="12" xfId="36" applyFont="1" applyBorder="1" applyAlignment="1">
      <alignment vertical="center"/>
    </xf>
    <xf numFmtId="0" fontId="17" fillId="0" borderId="15" xfId="36" applyFont="1" applyBorder="1"/>
    <xf numFmtId="0" fontId="8" fillId="0" borderId="25" xfId="36" applyFont="1" applyBorder="1"/>
    <xf numFmtId="0" fontId="54" fillId="0" borderId="28" xfId="36" applyFont="1" applyBorder="1"/>
    <xf numFmtId="0" fontId="8" fillId="0" borderId="33" xfId="36" applyFont="1" applyBorder="1"/>
    <xf numFmtId="0" fontId="54" fillId="0" borderId="28" xfId="36" applyFont="1" applyBorder="1" applyAlignment="1">
      <alignment vertical="center"/>
    </xf>
    <xf numFmtId="0" fontId="9" fillId="0" borderId="15" xfId="36" applyFont="1" applyBorder="1"/>
    <xf numFmtId="0" fontId="40" fillId="0" borderId="15" xfId="35" applyFont="1" applyBorder="1" applyAlignment="1">
      <alignment vertical="center"/>
    </xf>
    <xf numFmtId="3" fontId="12" fillId="0" borderId="33" xfId="36" applyNumberFormat="1" applyFont="1" applyBorder="1"/>
    <xf numFmtId="3" fontId="12" fillId="0" borderId="28" xfId="36" applyNumberFormat="1" applyFont="1" applyBorder="1"/>
    <xf numFmtId="3" fontId="12" fillId="0" borderId="25" xfId="36" applyNumberFormat="1" applyFont="1" applyBorder="1"/>
    <xf numFmtId="0" fontId="11" fillId="0" borderId="14" xfId="36" applyFont="1" applyBorder="1"/>
    <xf numFmtId="9" fontId="12" fillId="0" borderId="12" xfId="36" applyNumberFormat="1" applyFont="1" applyBorder="1"/>
    <xf numFmtId="0" fontId="13" fillId="0" borderId="10" xfId="36" applyFont="1" applyBorder="1"/>
    <xf numFmtId="3" fontId="9" fillId="0" borderId="10" xfId="0" applyNumberFormat="1" applyFont="1" applyBorder="1"/>
    <xf numFmtId="9" fontId="9" fillId="0" borderId="10" xfId="0" applyNumberFormat="1" applyFont="1" applyBorder="1" applyAlignment="1">
      <alignment horizontal="right"/>
    </xf>
    <xf numFmtId="3" fontId="3" fillId="0" borderId="11" xfId="0" applyNumberFormat="1" applyFont="1" applyBorder="1" applyAlignment="1">
      <alignment horizontal="right"/>
    </xf>
    <xf numFmtId="0" fontId="3" fillId="0" borderId="19" xfId="38" applyFont="1" applyBorder="1" applyAlignment="1">
      <alignment horizontal="center"/>
    </xf>
    <xf numFmtId="0" fontId="3" fillId="0" borderId="19" xfId="38" applyFont="1" applyBorder="1"/>
    <xf numFmtId="0" fontId="12" fillId="0" borderId="19" xfId="38" applyFont="1" applyBorder="1" applyAlignment="1">
      <alignment horizontal="right"/>
    </xf>
    <xf numFmtId="0" fontId="2" fillId="0" borderId="14" xfId="38" applyFont="1" applyBorder="1" applyAlignment="1">
      <alignment horizontal="center"/>
    </xf>
    <xf numFmtId="0" fontId="2" fillId="0" borderId="38" xfId="38" applyFont="1" applyBorder="1" applyAlignment="1">
      <alignment horizontal="center"/>
    </xf>
    <xf numFmtId="0" fontId="15" fillId="0" borderId="16" xfId="38" applyFont="1" applyBorder="1"/>
    <xf numFmtId="0" fontId="2" fillId="0" borderId="10" xfId="38" applyFont="1" applyBorder="1" applyAlignment="1">
      <alignment horizontal="center"/>
    </xf>
    <xf numFmtId="0" fontId="9" fillId="0" borderId="16" xfId="38" applyFont="1" applyBorder="1"/>
    <xf numFmtId="0" fontId="9" fillId="0" borderId="14" xfId="38" applyFont="1" applyBorder="1"/>
    <xf numFmtId="0" fontId="2" fillId="0" borderId="15" xfId="38" applyFont="1" applyBorder="1"/>
    <xf numFmtId="3" fontId="3" fillId="0" borderId="10" xfId="38" applyNumberFormat="1" applyFont="1" applyBorder="1" applyAlignment="1">
      <alignment horizontal="center"/>
    </xf>
    <xf numFmtId="0" fontId="10" fillId="0" borderId="16" xfId="38" applyFont="1" applyBorder="1"/>
    <xf numFmtId="0" fontId="3" fillId="0" borderId="16" xfId="38" applyFont="1" applyBorder="1"/>
    <xf numFmtId="0" fontId="3" fillId="0" borderId="10" xfId="38" applyFont="1" applyBorder="1"/>
    <xf numFmtId="0" fontId="3" fillId="0" borderId="14" xfId="38" applyFont="1" applyBorder="1"/>
    <xf numFmtId="0" fontId="12" fillId="0" borderId="15" xfId="38" applyFont="1" applyBorder="1"/>
    <xf numFmtId="3" fontId="2" fillId="0" borderId="10" xfId="38" applyNumberFormat="1" applyFont="1" applyBorder="1" applyAlignment="1">
      <alignment horizontal="center"/>
    </xf>
    <xf numFmtId="0" fontId="4" fillId="0" borderId="38" xfId="38" applyFont="1" applyBorder="1" applyAlignment="1">
      <alignment vertical="center"/>
    </xf>
    <xf numFmtId="0" fontId="12" fillId="0" borderId="39" xfId="38" applyFont="1" applyBorder="1" applyAlignment="1">
      <alignment vertical="center"/>
    </xf>
    <xf numFmtId="0" fontId="8" fillId="0" borderId="38" xfId="34" applyFont="1" applyBorder="1" applyAlignment="1">
      <alignment vertical="center"/>
    </xf>
    <xf numFmtId="3" fontId="6" fillId="0" borderId="10" xfId="38" applyNumberFormat="1" applyFont="1" applyBorder="1" applyAlignment="1">
      <alignment horizontal="center"/>
    </xf>
    <xf numFmtId="0" fontId="41" fillId="0" borderId="39" xfId="34" applyFont="1" applyBorder="1"/>
    <xf numFmtId="0" fontId="9" fillId="0" borderId="16" xfId="34" applyFont="1" applyBorder="1" applyAlignment="1">
      <alignment horizontal="left"/>
    </xf>
    <xf numFmtId="0" fontId="9" fillId="0" borderId="10" xfId="34" applyFont="1" applyBorder="1" applyAlignment="1">
      <alignment horizontal="left"/>
    </xf>
    <xf numFmtId="0" fontId="9" fillId="0" borderId="14" xfId="34" applyFont="1" applyBorder="1" applyAlignment="1">
      <alignment horizontal="left"/>
    </xf>
    <xf numFmtId="0" fontId="12" fillId="0" borderId="14" xfId="34" applyFont="1" applyBorder="1" applyAlignment="1">
      <alignment horizontal="left"/>
    </xf>
    <xf numFmtId="0" fontId="12" fillId="0" borderId="39" xfId="34" applyFont="1" applyBorder="1" applyAlignment="1">
      <alignment horizontal="left"/>
    </xf>
    <xf numFmtId="0" fontId="15" fillId="0" borderId="39" xfId="34" applyFont="1" applyBorder="1" applyAlignment="1">
      <alignment horizontal="left"/>
    </xf>
    <xf numFmtId="0" fontId="15" fillId="0" borderId="31" xfId="38" applyFont="1" applyBorder="1"/>
    <xf numFmtId="0" fontId="15" fillId="0" borderId="16" xfId="38" applyFont="1" applyBorder="1" applyProtection="1">
      <protection locked="0"/>
    </xf>
    <xf numFmtId="3" fontId="15" fillId="0" borderId="31" xfId="38" applyNumberFormat="1" applyFont="1" applyBorder="1" applyAlignment="1" applyProtection="1">
      <alignment horizontal="left"/>
      <protection locked="0"/>
    </xf>
    <xf numFmtId="0" fontId="41" fillId="0" borderId="39" xfId="34" applyFont="1" applyBorder="1" applyAlignment="1">
      <alignment vertical="center"/>
    </xf>
    <xf numFmtId="0" fontId="2" fillId="0" borderId="17" xfId="0" applyFont="1" applyBorder="1" applyAlignment="1">
      <alignment horizontal="center"/>
    </xf>
    <xf numFmtId="0" fontId="2" fillId="0" borderId="17" xfId="0" applyFont="1" applyBorder="1"/>
    <xf numFmtId="0" fontId="2" fillId="0" borderId="16" xfId="0" applyFont="1" applyBorder="1" applyAlignment="1">
      <alignment horizontal="center" vertical="top"/>
    </xf>
    <xf numFmtId="0" fontId="2" fillId="0" borderId="38" xfId="0" applyFont="1" applyBorder="1" applyAlignment="1">
      <alignment horizontal="center"/>
    </xf>
    <xf numFmtId="0" fontId="2" fillId="0" borderId="14" xfId="0" applyFont="1" applyBorder="1" applyAlignment="1">
      <alignment horizontal="center" vertical="top"/>
    </xf>
    <xf numFmtId="0" fontId="2" fillId="0" borderId="18" xfId="0" applyFont="1" applyBorder="1" applyAlignment="1">
      <alignment horizontal="center"/>
    </xf>
    <xf numFmtId="0" fontId="2" fillId="0" borderId="18" xfId="0" applyFont="1" applyBorder="1" applyAlignment="1">
      <alignment horizontal="center" vertical="top"/>
    </xf>
    <xf numFmtId="0" fontId="2" fillId="0" borderId="23" xfId="0" applyFont="1" applyBorder="1"/>
    <xf numFmtId="3" fontId="2" fillId="0" borderId="11" xfId="0" applyNumberFormat="1" applyFont="1" applyBorder="1" applyAlignment="1">
      <alignment horizontal="right"/>
    </xf>
    <xf numFmtId="0" fontId="2" fillId="0" borderId="11" xfId="0" applyFont="1" applyBorder="1"/>
    <xf numFmtId="0" fontId="3" fillId="0" borderId="27" xfId="0" applyFont="1" applyBorder="1"/>
    <xf numFmtId="0" fontId="2" fillId="0" borderId="39" xfId="0" applyFont="1" applyBorder="1"/>
    <xf numFmtId="0" fontId="2" fillId="0" borderId="40" xfId="0" applyFont="1" applyBorder="1" applyAlignment="1">
      <alignment horizontal="center"/>
    </xf>
    <xf numFmtId="0" fontId="2" fillId="0" borderId="27" xfId="0" applyFont="1" applyBorder="1" applyAlignment="1">
      <alignment horizontal="left"/>
    </xf>
    <xf numFmtId="0" fontId="2" fillId="0" borderId="14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2" xfId="0" applyFont="1" applyBorder="1"/>
    <xf numFmtId="0" fontId="2" fillId="0" borderId="27" xfId="0" applyFont="1" applyBorder="1"/>
    <xf numFmtId="0" fontId="12" fillId="0" borderId="15" xfId="0" applyFont="1" applyBorder="1" applyAlignment="1">
      <alignment horizontal="center"/>
    </xf>
    <xf numFmtId="0" fontId="12" fillId="0" borderId="15" xfId="0" applyFont="1" applyBorder="1"/>
    <xf numFmtId="0" fontId="11" fillId="0" borderId="16" xfId="0" applyFont="1" applyBorder="1" applyAlignment="1">
      <alignment horizontal="center"/>
    </xf>
    <xf numFmtId="0" fontId="2" fillId="0" borderId="12" xfId="0" applyFont="1" applyBorder="1"/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3" fontId="13" fillId="0" borderId="12" xfId="0" applyNumberFormat="1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0" fontId="12" fillId="0" borderId="0" xfId="0" applyFont="1" applyAlignment="1">
      <alignment horizontal="right"/>
    </xf>
    <xf numFmtId="0" fontId="2" fillId="0" borderId="13" xfId="0" applyFont="1" applyBorder="1"/>
    <xf numFmtId="1" fontId="2" fillId="0" borderId="13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Continuous" vertical="top"/>
    </xf>
    <xf numFmtId="0" fontId="12" fillId="0" borderId="38" xfId="0" applyFont="1" applyBorder="1" applyAlignment="1">
      <alignment horizontal="center"/>
    </xf>
    <xf numFmtId="0" fontId="2" fillId="0" borderId="14" xfId="0" applyFont="1" applyBorder="1" applyAlignment="1">
      <alignment horizontal="centerContinuous" vertical="top"/>
    </xf>
    <xf numFmtId="0" fontId="2" fillId="0" borderId="32" xfId="0" applyFont="1" applyBorder="1" applyAlignment="1">
      <alignment horizontal="center"/>
    </xf>
    <xf numFmtId="3" fontId="2" fillId="0" borderId="32" xfId="0" applyNumberFormat="1" applyFont="1" applyBorder="1" applyAlignment="1">
      <alignment horizontal="center"/>
    </xf>
    <xf numFmtId="0" fontId="8" fillId="0" borderId="12" xfId="0" applyFont="1" applyBorder="1" applyAlignment="1">
      <alignment horizontal="left" vertical="center"/>
    </xf>
    <xf numFmtId="0" fontId="12" fillId="0" borderId="12" xfId="0" applyFont="1" applyBorder="1" applyAlignment="1">
      <alignment horizontal="center"/>
    </xf>
    <xf numFmtId="0" fontId="2" fillId="0" borderId="10" xfId="0" applyFont="1" applyBorder="1" applyAlignment="1">
      <alignment horizontal="left" vertical="top"/>
    </xf>
    <xf numFmtId="3" fontId="2" fillId="0" borderId="10" xfId="0" applyNumberFormat="1" applyFont="1" applyBorder="1" applyAlignment="1">
      <alignment horizontal="right"/>
    </xf>
    <xf numFmtId="0" fontId="12" fillId="0" borderId="12" xfId="0" applyFont="1" applyBorder="1"/>
    <xf numFmtId="0" fontId="2" fillId="0" borderId="20" xfId="0" applyFont="1" applyBorder="1"/>
    <xf numFmtId="0" fontId="9" fillId="0" borderId="20" xfId="0" applyFont="1" applyBorder="1"/>
    <xf numFmtId="0" fontId="3" fillId="0" borderId="20" xfId="0" applyFont="1" applyBorder="1"/>
    <xf numFmtId="0" fontId="3" fillId="0" borderId="11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12" fillId="0" borderId="11" xfId="0" applyFont="1" applyBorder="1"/>
    <xf numFmtId="0" fontId="2" fillId="0" borderId="16" xfId="0" applyFont="1" applyBorder="1" applyAlignment="1">
      <alignment horizontal="left"/>
    </xf>
    <xf numFmtId="3" fontId="12" fillId="0" borderId="10" xfId="0" applyNumberFormat="1" applyFont="1" applyBorder="1"/>
    <xf numFmtId="3" fontId="19" fillId="0" borderId="10" xfId="0" applyNumberFormat="1" applyFont="1" applyBorder="1"/>
    <xf numFmtId="0" fontId="3" fillId="0" borderId="27" xfId="0" applyFont="1" applyBorder="1" applyAlignment="1">
      <alignment horizontal="center"/>
    </xf>
    <xf numFmtId="0" fontId="2" fillId="0" borderId="19" xfId="0" applyFont="1" applyBorder="1" applyAlignment="1">
      <alignment horizontal="centerContinuous"/>
    </xf>
    <xf numFmtId="3" fontId="2" fillId="0" borderId="0" xfId="0" applyNumberFormat="1" applyFont="1" applyAlignment="1">
      <alignment horizontal="centerContinuous"/>
    </xf>
    <xf numFmtId="3" fontId="13" fillId="0" borderId="0" xfId="0" applyNumberFormat="1" applyFont="1" applyAlignment="1">
      <alignment horizontal="centerContinuous"/>
    </xf>
    <xf numFmtId="0" fontId="4" fillId="0" borderId="12" xfId="0" applyFont="1" applyBorder="1" applyAlignment="1">
      <alignment horizontal="left"/>
    </xf>
    <xf numFmtId="9" fontId="11" fillId="0" borderId="10" xfId="0" applyNumberFormat="1" applyFont="1" applyBorder="1"/>
    <xf numFmtId="0" fontId="11" fillId="0" borderId="10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45" fillId="0" borderId="10" xfId="0" applyFont="1" applyBorder="1"/>
    <xf numFmtId="0" fontId="3" fillId="0" borderId="12" xfId="0" applyFont="1" applyBorder="1" applyAlignment="1">
      <alignment horizontal="center"/>
    </xf>
    <xf numFmtId="3" fontId="8" fillId="0" borderId="0" xfId="0" applyNumberFormat="1" applyFont="1"/>
    <xf numFmtId="0" fontId="8" fillId="0" borderId="14" xfId="36" applyFont="1" applyBorder="1"/>
    <xf numFmtId="0" fontId="10" fillId="0" borderId="16" xfId="34" applyFont="1" applyBorder="1" applyAlignment="1">
      <alignment horizontal="left"/>
    </xf>
    <xf numFmtId="0" fontId="2" fillId="0" borderId="16" xfId="38" applyFont="1" applyBorder="1" applyAlignment="1">
      <alignment horizontal="center"/>
    </xf>
    <xf numFmtId="0" fontId="9" fillId="0" borderId="38" xfId="34" applyFont="1" applyBorder="1" applyAlignment="1">
      <alignment horizontal="left"/>
    </xf>
    <xf numFmtId="9" fontId="12" fillId="0" borderId="0" xfId="0" applyNumberFormat="1" applyFont="1"/>
    <xf numFmtId="0" fontId="3" fillId="0" borderId="26" xfId="0" applyFont="1" applyBorder="1"/>
    <xf numFmtId="0" fontId="2" fillId="0" borderId="44" xfId="0" applyFont="1" applyBorder="1"/>
    <xf numFmtId="0" fontId="9" fillId="0" borderId="20" xfId="0" applyFont="1" applyBorder="1" applyAlignment="1">
      <alignment horizontal="center" vertical="center" wrapText="1"/>
    </xf>
    <xf numFmtId="3" fontId="9" fillId="0" borderId="20" xfId="0" applyNumberFormat="1" applyFont="1" applyBorder="1" applyAlignment="1">
      <alignment horizontal="center"/>
    </xf>
    <xf numFmtId="0" fontId="3" fillId="0" borderId="20" xfId="0" applyFont="1" applyBorder="1" applyAlignment="1">
      <alignment horizontal="left"/>
    </xf>
    <xf numFmtId="0" fontId="12" fillId="0" borderId="26" xfId="0" applyFont="1" applyBorder="1"/>
    <xf numFmtId="0" fontId="3" fillId="0" borderId="20" xfId="0" applyFont="1" applyBorder="1" applyAlignment="1">
      <alignment horizontal="center"/>
    </xf>
    <xf numFmtId="0" fontId="12" fillId="0" borderId="45" xfId="0" applyFont="1" applyBorder="1"/>
    <xf numFmtId="0" fontId="12" fillId="0" borderId="20" xfId="0" applyFont="1" applyBorder="1"/>
    <xf numFmtId="0" fontId="2" fillId="0" borderId="45" xfId="0" applyFont="1" applyBorder="1"/>
    <xf numFmtId="0" fontId="49" fillId="0" borderId="20" xfId="0" applyFont="1" applyBorder="1"/>
    <xf numFmtId="0" fontId="19" fillId="0" borderId="20" xfId="0" applyFont="1" applyBorder="1" applyAlignment="1">
      <alignment vertical="center" wrapText="1"/>
    </xf>
    <xf numFmtId="0" fontId="8" fillId="0" borderId="12" xfId="36" applyFont="1" applyBorder="1"/>
    <xf numFmtId="0" fontId="18" fillId="0" borderId="14" xfId="36" applyFont="1" applyBorder="1"/>
    <xf numFmtId="0" fontId="12" fillId="0" borderId="0" xfId="36" applyFont="1" applyAlignment="1">
      <alignment horizontal="right"/>
    </xf>
    <xf numFmtId="0" fontId="2" fillId="0" borderId="13" xfId="0" applyFont="1" applyBorder="1" applyAlignment="1">
      <alignment horizontal="left"/>
    </xf>
    <xf numFmtId="0" fontId="12" fillId="0" borderId="13" xfId="0" applyFont="1" applyBorder="1"/>
    <xf numFmtId="0" fontId="4" fillId="0" borderId="11" xfId="0" applyFont="1" applyBorder="1" applyAlignment="1">
      <alignment horizontal="left"/>
    </xf>
    <xf numFmtId="0" fontId="18" fillId="0" borderId="15" xfId="36" applyFont="1" applyBorder="1" applyAlignment="1">
      <alignment vertical="center"/>
    </xf>
    <xf numFmtId="0" fontId="12" fillId="0" borderId="14" xfId="36" applyFont="1" applyBorder="1"/>
    <xf numFmtId="0" fontId="9" fillId="0" borderId="10" xfId="0" applyFont="1" applyBorder="1" applyAlignment="1">
      <alignment horizontal="left" vertical="top"/>
    </xf>
    <xf numFmtId="0" fontId="2" fillId="0" borderId="42" xfId="0" applyFont="1" applyBorder="1" applyAlignment="1">
      <alignment horizontal="left"/>
    </xf>
    <xf numFmtId="0" fontId="11" fillId="0" borderId="20" xfId="0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0" fontId="12" fillId="0" borderId="10" xfId="0" applyFont="1" applyBorder="1"/>
    <xf numFmtId="0" fontId="9" fillId="0" borderId="20" xfId="0" applyFont="1" applyBorder="1" applyAlignment="1">
      <alignment horizontal="center"/>
    </xf>
    <xf numFmtId="3" fontId="4" fillId="0" borderId="10" xfId="0" applyNumberFormat="1" applyFont="1" applyBorder="1" applyAlignment="1">
      <alignment horizontal="center"/>
    </xf>
    <xf numFmtId="0" fontId="9" fillId="0" borderId="31" xfId="36" applyFont="1" applyBorder="1"/>
    <xf numFmtId="0" fontId="41" fillId="0" borderId="11" xfId="36" applyFont="1" applyBorder="1"/>
    <xf numFmtId="3" fontId="48" fillId="0" borderId="14" xfId="0" applyNumberFormat="1" applyFont="1" applyBorder="1" applyAlignment="1">
      <alignment vertical="center" wrapText="1"/>
    </xf>
    <xf numFmtId="0" fontId="9" fillId="0" borderId="38" xfId="38" applyFont="1" applyBorder="1" applyAlignment="1">
      <alignment vertical="center"/>
    </xf>
    <xf numFmtId="0" fontId="3" fillId="0" borderId="21" xfId="36" applyFont="1" applyBorder="1"/>
    <xf numFmtId="0" fontId="9" fillId="0" borderId="40" xfId="38" applyFont="1" applyBorder="1" applyAlignment="1">
      <alignment vertical="center"/>
    </xf>
    <xf numFmtId="3" fontId="9" fillId="0" borderId="10" xfId="0" applyNumberFormat="1" applyFont="1" applyBorder="1" applyAlignment="1">
      <alignment horizontal="center"/>
    </xf>
    <xf numFmtId="3" fontId="9" fillId="0" borderId="10" xfId="36" applyNumberFormat="1" applyFont="1" applyBorder="1"/>
    <xf numFmtId="3" fontId="40" fillId="0" borderId="28" xfId="35" applyNumberFormat="1" applyFont="1" applyBorder="1" applyAlignment="1">
      <alignment vertical="center"/>
    </xf>
    <xf numFmtId="0" fontId="12" fillId="0" borderId="32" xfId="34" applyFont="1" applyBorder="1" applyAlignment="1">
      <alignment horizontal="left"/>
    </xf>
    <xf numFmtId="0" fontId="19" fillId="0" borderId="20" xfId="0" applyFont="1" applyBorder="1" applyAlignment="1">
      <alignment horizontal="center" vertical="center" wrapText="1"/>
    </xf>
    <xf numFmtId="3" fontId="3" fillId="15" borderId="10" xfId="0" applyNumberFormat="1" applyFont="1" applyFill="1" applyBorder="1" applyAlignment="1">
      <alignment horizontal="right"/>
    </xf>
    <xf numFmtId="3" fontId="9" fillId="15" borderId="10" xfId="0" applyNumberFormat="1" applyFont="1" applyFill="1" applyBorder="1"/>
    <xf numFmtId="3" fontId="11" fillId="15" borderId="10" xfId="0" applyNumberFormat="1" applyFont="1" applyFill="1" applyBorder="1"/>
    <xf numFmtId="3" fontId="3" fillId="15" borderId="12" xfId="36" applyNumberFormat="1" applyFont="1" applyFill="1" applyBorder="1"/>
    <xf numFmtId="3" fontId="12" fillId="15" borderId="12" xfId="36" applyNumberFormat="1" applyFont="1" applyFill="1" applyBorder="1"/>
    <xf numFmtId="3" fontId="12" fillId="15" borderId="14" xfId="36" applyNumberFormat="1" applyFont="1" applyFill="1" applyBorder="1"/>
    <xf numFmtId="3" fontId="2" fillId="15" borderId="15" xfId="0" applyNumberFormat="1" applyFont="1" applyFill="1" applyBorder="1" applyAlignment="1">
      <alignment horizontal="right"/>
    </xf>
    <xf numFmtId="3" fontId="9" fillId="15" borderId="11" xfId="0" applyNumberFormat="1" applyFont="1" applyFill="1" applyBorder="1"/>
    <xf numFmtId="0" fontId="2" fillId="0" borderId="23" xfId="0" applyFont="1" applyBorder="1" applyAlignment="1">
      <alignment horizontal="center"/>
    </xf>
    <xf numFmtId="3" fontId="2" fillId="15" borderId="11" xfId="0" applyNumberFormat="1" applyFont="1" applyFill="1" applyBorder="1" applyAlignment="1">
      <alignment horizontal="right"/>
    </xf>
    <xf numFmtId="3" fontId="3" fillId="15" borderId="11" xfId="0" applyNumberFormat="1" applyFont="1" applyFill="1" applyBorder="1" applyAlignment="1">
      <alignment horizontal="right"/>
    </xf>
    <xf numFmtId="3" fontId="3" fillId="15" borderId="12" xfId="0" applyNumberFormat="1" applyFont="1" applyFill="1" applyBorder="1" applyAlignment="1">
      <alignment horizontal="right"/>
    </xf>
    <xf numFmtId="3" fontId="9" fillId="15" borderId="12" xfId="0" applyNumberFormat="1" applyFont="1" applyFill="1" applyBorder="1" applyAlignment="1">
      <alignment horizontal="right"/>
    </xf>
    <xf numFmtId="3" fontId="12" fillId="15" borderId="11" xfId="0" applyNumberFormat="1" applyFont="1" applyFill="1" applyBorder="1" applyAlignment="1">
      <alignment horizontal="right"/>
    </xf>
    <xf numFmtId="3" fontId="2" fillId="15" borderId="12" xfId="0" applyNumberFormat="1" applyFont="1" applyFill="1" applyBorder="1" applyAlignment="1">
      <alignment horizontal="right"/>
    </xf>
    <xf numFmtId="3" fontId="12" fillId="15" borderId="12" xfId="0" applyNumberFormat="1" applyFont="1" applyFill="1" applyBorder="1"/>
    <xf numFmtId="3" fontId="12" fillId="15" borderId="11" xfId="0" applyNumberFormat="1" applyFont="1" applyFill="1" applyBorder="1"/>
    <xf numFmtId="3" fontId="2" fillId="15" borderId="12" xfId="0" applyNumberFormat="1" applyFont="1" applyFill="1" applyBorder="1"/>
    <xf numFmtId="3" fontId="3" fillId="15" borderId="13" xfId="36" applyNumberFormat="1" applyFont="1" applyFill="1" applyBorder="1"/>
    <xf numFmtId="3" fontId="9" fillId="15" borderId="14" xfId="36" applyNumberFormat="1" applyFont="1" applyFill="1" applyBorder="1"/>
    <xf numFmtId="3" fontId="9" fillId="15" borderId="12" xfId="36" applyNumberFormat="1" applyFont="1" applyFill="1" applyBorder="1"/>
    <xf numFmtId="0" fontId="12" fillId="0" borderId="11" xfId="0" applyFont="1" applyBorder="1" applyAlignment="1">
      <alignment horizontal="center"/>
    </xf>
    <xf numFmtId="3" fontId="3" fillId="15" borderId="11" xfId="0" applyNumberFormat="1" applyFont="1" applyFill="1" applyBorder="1"/>
    <xf numFmtId="3" fontId="9" fillId="15" borderId="12" xfId="0" applyNumberFormat="1" applyFont="1" applyFill="1" applyBorder="1"/>
    <xf numFmtId="3" fontId="2" fillId="15" borderId="13" xfId="0" applyNumberFormat="1" applyFont="1" applyFill="1" applyBorder="1"/>
    <xf numFmtId="3" fontId="10" fillId="15" borderId="12" xfId="0" applyNumberFormat="1" applyFont="1" applyFill="1" applyBorder="1"/>
    <xf numFmtId="3" fontId="7" fillId="15" borderId="12" xfId="0" applyNumberFormat="1" applyFont="1" applyFill="1" applyBorder="1"/>
    <xf numFmtId="3" fontId="3" fillId="15" borderId="13" xfId="0" applyNumberFormat="1" applyFont="1" applyFill="1" applyBorder="1"/>
    <xf numFmtId="3" fontId="3" fillId="15" borderId="12" xfId="0" applyNumberFormat="1" applyFont="1" applyFill="1" applyBorder="1"/>
    <xf numFmtId="3" fontId="10" fillId="15" borderId="21" xfId="0" applyNumberFormat="1" applyFont="1" applyFill="1" applyBorder="1"/>
    <xf numFmtId="3" fontId="8" fillId="15" borderId="15" xfId="0" applyNumberFormat="1" applyFont="1" applyFill="1" applyBorder="1" applyAlignment="1">
      <alignment vertical="center"/>
    </xf>
    <xf numFmtId="3" fontId="12" fillId="15" borderId="15" xfId="0" applyNumberFormat="1" applyFont="1" applyFill="1" applyBorder="1" applyAlignment="1">
      <alignment vertical="center"/>
    </xf>
    <xf numFmtId="3" fontId="9" fillId="15" borderId="21" xfId="0" applyNumberFormat="1" applyFont="1" applyFill="1" applyBorder="1"/>
    <xf numFmtId="3" fontId="8" fillId="15" borderId="14" xfId="0" applyNumberFormat="1" applyFont="1" applyFill="1" applyBorder="1" applyAlignment="1">
      <alignment vertical="center"/>
    </xf>
    <xf numFmtId="3" fontId="9" fillId="15" borderId="16" xfId="38" applyNumberFormat="1" applyFont="1" applyFill="1" applyBorder="1" applyAlignment="1">
      <alignment horizontal="right"/>
    </xf>
    <xf numFmtId="3" fontId="9" fillId="15" borderId="38" xfId="38" applyNumberFormat="1" applyFont="1" applyFill="1" applyBorder="1" applyAlignment="1">
      <alignment horizontal="right"/>
    </xf>
    <xf numFmtId="3" fontId="12" fillId="15" borderId="39" xfId="38" applyNumberFormat="1" applyFont="1" applyFill="1" applyBorder="1" applyAlignment="1">
      <alignment horizontal="right"/>
    </xf>
    <xf numFmtId="0" fontId="2" fillId="15" borderId="16" xfId="38" applyFont="1" applyFill="1" applyBorder="1" applyAlignment="1">
      <alignment horizontal="center"/>
    </xf>
    <xf numFmtId="0" fontId="9" fillId="15" borderId="38" xfId="38" applyFont="1" applyFill="1" applyBorder="1"/>
    <xf numFmtId="0" fontId="2" fillId="15" borderId="38" xfId="38" applyFont="1" applyFill="1" applyBorder="1"/>
    <xf numFmtId="3" fontId="10" fillId="15" borderId="16" xfId="38" applyNumberFormat="1" applyFont="1" applyFill="1" applyBorder="1" applyAlignment="1">
      <alignment horizontal="right"/>
    </xf>
    <xf numFmtId="3" fontId="12" fillId="15" borderId="38" xfId="38" applyNumberFormat="1" applyFont="1" applyFill="1" applyBorder="1" applyAlignment="1">
      <alignment horizontal="right"/>
    </xf>
    <xf numFmtId="3" fontId="9" fillId="15" borderId="38" xfId="38" applyNumberFormat="1" applyFont="1" applyFill="1" applyBorder="1" applyAlignment="1">
      <alignment horizontal="right" vertical="center"/>
    </xf>
    <xf numFmtId="3" fontId="12" fillId="15" borderId="38" xfId="38" applyNumberFormat="1" applyFont="1" applyFill="1" applyBorder="1" applyAlignment="1">
      <alignment horizontal="right" vertical="center"/>
    </xf>
    <xf numFmtId="3" fontId="9" fillId="15" borderId="16" xfId="38" applyNumberFormat="1" applyFont="1" applyFill="1" applyBorder="1" applyAlignment="1">
      <alignment horizontal="right" vertical="center"/>
    </xf>
    <xf numFmtId="3" fontId="9" fillId="15" borderId="39" xfId="38" applyNumberFormat="1" applyFont="1" applyFill="1" applyBorder="1" applyAlignment="1">
      <alignment horizontal="right" vertical="center"/>
    </xf>
    <xf numFmtId="3" fontId="2" fillId="15" borderId="38" xfId="38" applyNumberFormat="1" applyFont="1" applyFill="1" applyBorder="1"/>
    <xf numFmtId="3" fontId="9" fillId="15" borderId="16" xfId="38" applyNumberFormat="1" applyFont="1" applyFill="1" applyBorder="1" applyAlignment="1" applyProtection="1">
      <alignment horizontal="right"/>
      <protection locked="0"/>
    </xf>
    <xf numFmtId="3" fontId="9" fillId="15" borderId="38" xfId="38" applyNumberFormat="1" applyFont="1" applyFill="1" applyBorder="1"/>
    <xf numFmtId="3" fontId="44" fillId="15" borderId="16" xfId="38" applyNumberFormat="1" applyFont="1" applyFill="1" applyBorder="1" applyAlignment="1">
      <alignment horizontal="right"/>
    </xf>
    <xf numFmtId="3" fontId="2" fillId="15" borderId="38" xfId="38" applyNumberFormat="1" applyFont="1" applyFill="1" applyBorder="1" applyAlignment="1">
      <alignment horizontal="right"/>
    </xf>
    <xf numFmtId="3" fontId="12" fillId="15" borderId="39" xfId="38" applyNumberFormat="1" applyFont="1" applyFill="1" applyBorder="1" applyAlignment="1">
      <alignment horizontal="right" vertical="center"/>
    </xf>
    <xf numFmtId="0" fontId="9" fillId="15" borderId="38" xfId="38" applyFont="1" applyFill="1" applyBorder="1" applyAlignment="1">
      <alignment horizontal="right"/>
    </xf>
    <xf numFmtId="0" fontId="12" fillId="15" borderId="39" xfId="38" applyFont="1" applyFill="1" applyBorder="1" applyAlignment="1">
      <alignment horizontal="right"/>
    </xf>
    <xf numFmtId="3" fontId="12" fillId="15" borderId="32" xfId="38" applyNumberFormat="1" applyFont="1" applyFill="1" applyBorder="1" applyAlignment="1">
      <alignment horizontal="right"/>
    </xf>
    <xf numFmtId="3" fontId="2" fillId="15" borderId="39" xfId="38" applyNumberFormat="1" applyFont="1" applyFill="1" applyBorder="1" applyAlignment="1">
      <alignment horizontal="right"/>
    </xf>
    <xf numFmtId="3" fontId="9" fillId="15" borderId="21" xfId="0" applyNumberFormat="1" applyFont="1" applyFill="1" applyBorder="1" applyAlignment="1">
      <alignment horizontal="right"/>
    </xf>
    <xf numFmtId="3" fontId="12" fillId="15" borderId="15" xfId="0" applyNumberFormat="1" applyFont="1" applyFill="1" applyBorder="1"/>
    <xf numFmtId="3" fontId="2" fillId="15" borderId="11" xfId="0" applyNumberFormat="1" applyFont="1" applyFill="1" applyBorder="1"/>
    <xf numFmtId="3" fontId="12" fillId="15" borderId="10" xfId="0" applyNumberFormat="1" applyFont="1" applyFill="1" applyBorder="1" applyAlignment="1">
      <alignment horizontal="right"/>
    </xf>
    <xf numFmtId="3" fontId="4" fillId="15" borderId="12" xfId="0" applyNumberFormat="1" applyFont="1" applyFill="1" applyBorder="1"/>
    <xf numFmtId="0" fontId="9" fillId="0" borderId="0" xfId="0" applyFont="1" applyAlignment="1">
      <alignment horizontal="left" vertical="top"/>
    </xf>
    <xf numFmtId="3" fontId="9" fillId="0" borderId="20" xfId="0" applyNumberFormat="1" applyFont="1" applyBorder="1" applyAlignment="1">
      <alignment horizontal="left"/>
    </xf>
    <xf numFmtId="0" fontId="3" fillId="0" borderId="20" xfId="0" applyFont="1" applyBorder="1" applyAlignment="1">
      <alignment horizontal="center" vertical="center"/>
    </xf>
    <xf numFmtId="3" fontId="12" fillId="0" borderId="10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3" fontId="10" fillId="15" borderId="10" xfId="0" applyNumberFormat="1" applyFont="1" applyFill="1" applyBorder="1"/>
    <xf numFmtId="3" fontId="4" fillId="15" borderId="11" xfId="0" applyNumberFormat="1" applyFont="1" applyFill="1" applyBorder="1"/>
    <xf numFmtId="3" fontId="7" fillId="15" borderId="14" xfId="0" applyNumberFormat="1" applyFont="1" applyFill="1" applyBorder="1"/>
    <xf numFmtId="3" fontId="7" fillId="15" borderId="10" xfId="0" applyNumberFormat="1" applyFont="1" applyFill="1" applyBorder="1"/>
    <xf numFmtId="3" fontId="9" fillId="15" borderId="14" xfId="0" applyNumberFormat="1" applyFont="1" applyFill="1" applyBorder="1"/>
    <xf numFmtId="0" fontId="9" fillId="0" borderId="38" xfId="36" applyFont="1" applyBorder="1"/>
    <xf numFmtId="3" fontId="8" fillId="0" borderId="10" xfId="0" applyNumberFormat="1" applyFont="1" applyBorder="1" applyAlignment="1">
      <alignment vertical="center"/>
    </xf>
    <xf numFmtId="3" fontId="12" fillId="15" borderId="10" xfId="0" applyNumberFormat="1" applyFont="1" applyFill="1" applyBorder="1" applyAlignment="1">
      <alignment vertical="center"/>
    </xf>
    <xf numFmtId="3" fontId="14" fillId="0" borderId="0" xfId="35" applyNumberFormat="1"/>
    <xf numFmtId="0" fontId="39" fillId="0" borderId="28" xfId="35" applyFont="1" applyBorder="1" applyAlignment="1">
      <alignment vertical="center"/>
    </xf>
    <xf numFmtId="3" fontId="40" fillId="0" borderId="0" xfId="35" applyNumberFormat="1" applyFont="1" applyAlignment="1">
      <alignment vertical="center"/>
    </xf>
    <xf numFmtId="3" fontId="44" fillId="0" borderId="11" xfId="35" applyNumberFormat="1" applyFont="1" applyBorder="1"/>
    <xf numFmtId="3" fontId="0" fillId="0" borderId="10" xfId="0" applyNumberFormat="1" applyBorder="1" applyAlignment="1">
      <alignment vertical="center"/>
    </xf>
    <xf numFmtId="3" fontId="0" fillId="15" borderId="10" xfId="0" applyNumberFormat="1" applyFill="1" applyBorder="1" applyAlignment="1">
      <alignment vertical="center"/>
    </xf>
    <xf numFmtId="0" fontId="3" fillId="0" borderId="13" xfId="0" applyFont="1" applyBorder="1"/>
    <xf numFmtId="3" fontId="10" fillId="0" borderId="10" xfId="0" applyNumberFormat="1" applyFont="1" applyBorder="1"/>
    <xf numFmtId="3" fontId="3" fillId="15" borderId="10" xfId="36" applyNumberFormat="1" applyFont="1" applyFill="1" applyBorder="1"/>
    <xf numFmtId="3" fontId="3" fillId="15" borderId="21" xfId="36" applyNumberFormat="1" applyFont="1" applyFill="1" applyBorder="1"/>
    <xf numFmtId="3" fontId="2" fillId="15" borderId="15" xfId="0" applyNumberFormat="1" applyFont="1" applyFill="1" applyBorder="1"/>
    <xf numFmtId="3" fontId="3" fillId="15" borderId="10" xfId="0" applyNumberFormat="1" applyFont="1" applyFill="1" applyBorder="1"/>
    <xf numFmtId="3" fontId="13" fillId="15" borderId="15" xfId="0" applyNumberFormat="1" applyFont="1" applyFill="1" applyBorder="1"/>
    <xf numFmtId="3" fontId="2" fillId="0" borderId="20" xfId="0" applyNumberFormat="1" applyFont="1" applyBorder="1" applyAlignment="1">
      <alignment horizontal="center"/>
    </xf>
    <xf numFmtId="3" fontId="4" fillId="0" borderId="11" xfId="36" applyNumberFormat="1" applyFont="1" applyBorder="1"/>
    <xf numFmtId="0" fontId="14" fillId="0" borderId="0" xfId="46"/>
    <xf numFmtId="0" fontId="14" fillId="0" borderId="0" xfId="46" applyAlignment="1">
      <alignment horizontal="center"/>
    </xf>
    <xf numFmtId="0" fontId="61" fillId="0" borderId="0" xfId="46" applyFont="1" applyAlignment="1">
      <alignment horizontal="center" vertical="center"/>
    </xf>
    <xf numFmtId="0" fontId="17" fillId="0" borderId="0" xfId="46" applyFont="1" applyAlignment="1">
      <alignment horizontal="center" vertical="center"/>
    </xf>
    <xf numFmtId="3" fontId="47" fillId="0" borderId="0" xfId="46" applyNumberFormat="1" applyFont="1"/>
    <xf numFmtId="3" fontId="47" fillId="0" borderId="12" xfId="46" applyNumberFormat="1" applyFont="1" applyBorder="1"/>
    <xf numFmtId="3" fontId="47" fillId="0" borderId="23" xfId="46" applyNumberFormat="1" applyFont="1" applyBorder="1"/>
    <xf numFmtId="0" fontId="14" fillId="0" borderId="0" xfId="53"/>
    <xf numFmtId="0" fontId="40" fillId="0" borderId="0" xfId="53" applyFont="1" applyAlignment="1">
      <alignment horizontal="center"/>
    </xf>
    <xf numFmtId="0" fontId="14" fillId="0" borderId="19" xfId="53" applyBorder="1"/>
    <xf numFmtId="0" fontId="12" fillId="0" borderId="0" xfId="50" applyFont="1" applyAlignment="1">
      <alignment horizontal="right"/>
    </xf>
    <xf numFmtId="0" fontId="62" fillId="0" borderId="16" xfId="53" applyFont="1" applyBorder="1"/>
    <xf numFmtId="0" fontId="62" fillId="0" borderId="0" xfId="53" applyFont="1"/>
    <xf numFmtId="0" fontId="62" fillId="0" borderId="20" xfId="53" applyFont="1" applyBorder="1"/>
    <xf numFmtId="0" fontId="62" fillId="0" borderId="17" xfId="53" applyFont="1" applyBorder="1"/>
    <xf numFmtId="0" fontId="62" fillId="0" borderId="35" xfId="53" applyFont="1" applyBorder="1"/>
    <xf numFmtId="0" fontId="62" fillId="0" borderId="46" xfId="53" applyFont="1" applyBorder="1"/>
    <xf numFmtId="0" fontId="63" fillId="0" borderId="38" xfId="53" applyFont="1" applyBorder="1"/>
    <xf numFmtId="0" fontId="62" fillId="0" borderId="49" xfId="53" applyFont="1" applyBorder="1"/>
    <xf numFmtId="0" fontId="62" fillId="0" borderId="26" xfId="53" applyFont="1" applyBorder="1"/>
    <xf numFmtId="0" fontId="62" fillId="0" borderId="40" xfId="53" applyFont="1" applyBorder="1"/>
    <xf numFmtId="0" fontId="62" fillId="0" borderId="50" xfId="53" applyFont="1" applyBorder="1"/>
    <xf numFmtId="0" fontId="62" fillId="0" borderId="44" xfId="53" applyFont="1" applyBorder="1"/>
    <xf numFmtId="0" fontId="62" fillId="0" borderId="38" xfId="53" applyFont="1" applyBorder="1"/>
    <xf numFmtId="0" fontId="63" fillId="0" borderId="16" xfId="53" applyFont="1" applyBorder="1"/>
    <xf numFmtId="0" fontId="14" fillId="0" borderId="0" xfId="53" applyAlignment="1">
      <alignment horizontal="center" vertical="center"/>
    </xf>
    <xf numFmtId="0" fontId="65" fillId="0" borderId="0" xfId="53" applyFont="1" applyAlignment="1">
      <alignment horizontal="center" vertical="center" wrapText="1"/>
    </xf>
    <xf numFmtId="0" fontId="62" fillId="0" borderId="0" xfId="53" applyFont="1" applyAlignment="1">
      <alignment horizontal="center" vertical="center"/>
    </xf>
    <xf numFmtId="0" fontId="14" fillId="0" borderId="0" xfId="51"/>
    <xf numFmtId="0" fontId="8" fillId="0" borderId="0" xfId="49" applyFont="1" applyAlignment="1">
      <alignment horizontal="center"/>
    </xf>
    <xf numFmtId="0" fontId="14" fillId="0" borderId="19" xfId="51" applyBorder="1"/>
    <xf numFmtId="0" fontId="14" fillId="0" borderId="0" xfId="51" applyAlignment="1">
      <alignment horizontal="right"/>
    </xf>
    <xf numFmtId="0" fontId="14" fillId="0" borderId="12" xfId="51" applyBorder="1"/>
    <xf numFmtId="0" fontId="14" fillId="0" borderId="35" xfId="51" applyBorder="1"/>
    <xf numFmtId="0" fontId="17" fillId="0" borderId="35" xfId="51" applyFont="1" applyBorder="1"/>
    <xf numFmtId="0" fontId="14" fillId="0" borderId="35" xfId="51" applyBorder="1" applyAlignment="1">
      <alignment horizontal="right" vertical="center"/>
    </xf>
    <xf numFmtId="0" fontId="17" fillId="0" borderId="0" xfId="51" applyFont="1"/>
    <xf numFmtId="0" fontId="14" fillId="0" borderId="0" xfId="51" applyAlignment="1">
      <alignment horizontal="right" vertical="center"/>
    </xf>
    <xf numFmtId="0" fontId="14" fillId="0" borderId="10" xfId="51" applyBorder="1" applyAlignment="1">
      <alignment horizontal="right" vertical="center"/>
    </xf>
    <xf numFmtId="0" fontId="14" fillId="0" borderId="0" xfId="55"/>
    <xf numFmtId="0" fontId="14" fillId="0" borderId="19" xfId="55" applyBorder="1"/>
    <xf numFmtId="0" fontId="8" fillId="0" borderId="0" xfId="50" applyFont="1" applyAlignment="1">
      <alignment horizontal="right"/>
    </xf>
    <xf numFmtId="0" fontId="18" fillId="0" borderId="12" xfId="55" applyFont="1" applyBorder="1"/>
    <xf numFmtId="0" fontId="17" fillId="0" borderId="10" xfId="55" applyFont="1" applyBorder="1" applyAlignment="1">
      <alignment horizontal="center"/>
    </xf>
    <xf numFmtId="0" fontId="66" fillId="0" borderId="10" xfId="55" applyFont="1" applyBorder="1"/>
    <xf numFmtId="0" fontId="66" fillId="0" borderId="0" xfId="55" applyFont="1"/>
    <xf numFmtId="3" fontId="66" fillId="0" borderId="10" xfId="55" applyNumberFormat="1" applyFont="1" applyBorder="1"/>
    <xf numFmtId="0" fontId="55" fillId="0" borderId="10" xfId="55" applyFont="1" applyBorder="1"/>
    <xf numFmtId="0" fontId="17" fillId="0" borderId="11" xfId="55" applyFont="1" applyBorder="1" applyAlignment="1">
      <alignment horizontal="center"/>
    </xf>
    <xf numFmtId="0" fontId="66" fillId="0" borderId="19" xfId="55" applyFont="1" applyBorder="1"/>
    <xf numFmtId="0" fontId="66" fillId="0" borderId="11" xfId="55" applyFont="1" applyBorder="1"/>
    <xf numFmtId="3" fontId="66" fillId="0" borderId="11" xfId="55" applyNumberFormat="1" applyFont="1" applyBorder="1"/>
    <xf numFmtId="0" fontId="55" fillId="0" borderId="11" xfId="55" applyFont="1" applyBorder="1"/>
    <xf numFmtId="0" fontId="14" fillId="0" borderId="0" xfId="54"/>
    <xf numFmtId="3" fontId="70" fillId="0" borderId="11" xfId="54" applyNumberFormat="1" applyFont="1" applyBorder="1" applyAlignment="1">
      <alignment vertical="center"/>
    </xf>
    <xf numFmtId="3" fontId="70" fillId="0" borderId="12" xfId="54" applyNumberFormat="1" applyFont="1" applyBorder="1" applyAlignment="1">
      <alignment vertical="center"/>
    </xf>
    <xf numFmtId="3" fontId="69" fillId="0" borderId="12" xfId="54" applyNumberFormat="1" applyFont="1" applyBorder="1" applyAlignment="1">
      <alignment vertical="center"/>
    </xf>
    <xf numFmtId="0" fontId="69" fillId="0" borderId="12" xfId="54" applyFont="1" applyBorder="1" applyAlignment="1">
      <alignment horizontal="center" vertical="center" wrapText="1"/>
    </xf>
    <xf numFmtId="3" fontId="72" fillId="0" borderId="12" xfId="54" applyNumberFormat="1" applyFont="1" applyBorder="1" applyAlignment="1">
      <alignment horizontal="right" vertical="center" wrapText="1"/>
    </xf>
    <xf numFmtId="3" fontId="70" fillId="0" borderId="12" xfId="54" applyNumberFormat="1" applyFont="1" applyBorder="1" applyAlignment="1">
      <alignment horizontal="right" vertical="center" wrapText="1"/>
    </xf>
    <xf numFmtId="0" fontId="69" fillId="0" borderId="42" xfId="54" applyFont="1" applyBorder="1" applyAlignment="1">
      <alignment horizontal="center" vertical="center" wrapText="1"/>
    </xf>
    <xf numFmtId="0" fontId="14" fillId="0" borderId="12" xfId="54" applyBorder="1" applyAlignment="1">
      <alignment vertical="center"/>
    </xf>
    <xf numFmtId="3" fontId="72" fillId="0" borderId="12" xfId="54" applyNumberFormat="1" applyFont="1" applyBorder="1" applyAlignment="1">
      <alignment horizontal="right" vertical="center"/>
    </xf>
    <xf numFmtId="3" fontId="72" fillId="0" borderId="12" xfId="54" applyNumberFormat="1" applyFont="1" applyBorder="1" applyAlignment="1">
      <alignment vertical="center"/>
    </xf>
    <xf numFmtId="0" fontId="0" fillId="0" borderId="12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14" fillId="0" borderId="12" xfId="54" applyBorder="1" applyAlignment="1">
      <alignment vertical="center" wrapText="1"/>
    </xf>
    <xf numFmtId="0" fontId="14" fillId="0" borderId="12" xfId="0" applyFont="1" applyBorder="1" applyAlignment="1">
      <alignment horizontal="left"/>
    </xf>
    <xf numFmtId="0" fontId="14" fillId="0" borderId="20" xfId="0" applyFont="1" applyBorder="1" applyAlignment="1">
      <alignment horizontal="left"/>
    </xf>
    <xf numFmtId="0" fontId="68" fillId="0" borderId="0" xfId="0" applyFont="1" applyAlignment="1">
      <alignment horizontal="center"/>
    </xf>
    <xf numFmtId="0" fontId="69" fillId="0" borderId="12" xfId="0" applyFont="1" applyBorder="1" applyAlignment="1">
      <alignment horizontal="center" vertical="center" wrapText="1"/>
    </xf>
    <xf numFmtId="0" fontId="69" fillId="0" borderId="12" xfId="54" applyFont="1" applyBorder="1" applyAlignment="1">
      <alignment vertical="center" wrapText="1"/>
    </xf>
    <xf numFmtId="0" fontId="69" fillId="0" borderId="11" xfId="54" applyFont="1" applyBorder="1" applyAlignment="1">
      <alignment horizontal="center" vertical="center" wrapText="1"/>
    </xf>
    <xf numFmtId="0" fontId="69" fillId="0" borderId="11" xfId="54" applyFont="1" applyBorder="1" applyAlignment="1">
      <alignment vertical="center" wrapText="1"/>
    </xf>
    <xf numFmtId="3" fontId="0" fillId="0" borderId="12" xfId="0" applyNumberFormat="1" applyBorder="1" applyAlignment="1">
      <alignment vertical="center"/>
    </xf>
    <xf numFmtId="0" fontId="0" fillId="0" borderId="12" xfId="0" applyBorder="1"/>
    <xf numFmtId="0" fontId="40" fillId="0" borderId="12" xfId="0" applyFont="1" applyBorder="1" applyAlignment="1">
      <alignment vertical="center"/>
    </xf>
    <xf numFmtId="3" fontId="40" fillId="0" borderId="12" xfId="0" applyNumberFormat="1" applyFont="1" applyBorder="1" applyAlignment="1">
      <alignment vertical="center"/>
    </xf>
    <xf numFmtId="0" fontId="1" fillId="0" borderId="0" xfId="48"/>
    <xf numFmtId="0" fontId="1" fillId="0" borderId="49" xfId="48" applyBorder="1"/>
    <xf numFmtId="0" fontId="12" fillId="0" borderId="49" xfId="50" applyFont="1" applyBorder="1" applyAlignment="1">
      <alignment horizontal="right"/>
    </xf>
    <xf numFmtId="0" fontId="40" fillId="0" borderId="14" xfId="48" applyFont="1" applyBorder="1" applyAlignment="1">
      <alignment horizontal="center"/>
    </xf>
    <xf numFmtId="0" fontId="73" fillId="0" borderId="39" xfId="48" applyFont="1" applyBorder="1"/>
    <xf numFmtId="0" fontId="74" fillId="0" borderId="52" xfId="48" applyFont="1" applyBorder="1"/>
    <xf numFmtId="0" fontId="74" fillId="0" borderId="52" xfId="48" applyFont="1" applyBorder="1" applyAlignment="1">
      <alignment horizontal="center"/>
    </xf>
    <xf numFmtId="0" fontId="74" fillId="0" borderId="45" xfId="48" applyFont="1" applyBorder="1"/>
    <xf numFmtId="0" fontId="73" fillId="0" borderId="38" xfId="48" applyFont="1" applyBorder="1" applyAlignment="1">
      <alignment vertical="center"/>
    </xf>
    <xf numFmtId="0" fontId="73" fillId="0" borderId="26" xfId="48" applyFont="1" applyBorder="1"/>
    <xf numFmtId="3" fontId="39" fillId="0" borderId="14" xfId="48" applyNumberFormat="1" applyFont="1" applyBorder="1"/>
    <xf numFmtId="3" fontId="39" fillId="0" borderId="26" xfId="48" applyNumberFormat="1" applyFont="1" applyBorder="1"/>
    <xf numFmtId="0" fontId="73" fillId="0" borderId="39" xfId="48" applyFont="1" applyBorder="1" applyAlignment="1">
      <alignment horizontal="left"/>
    </xf>
    <xf numFmtId="0" fontId="47" fillId="0" borderId="52" xfId="48" applyFont="1" applyBorder="1"/>
    <xf numFmtId="0" fontId="47" fillId="0" borderId="45" xfId="48" applyFont="1" applyBorder="1"/>
    <xf numFmtId="0" fontId="73" fillId="0" borderId="38" xfId="48" applyFont="1" applyBorder="1"/>
    <xf numFmtId="0" fontId="74" fillId="0" borderId="26" xfId="48" applyFont="1" applyBorder="1"/>
    <xf numFmtId="0" fontId="14" fillId="0" borderId="0" xfId="52"/>
    <xf numFmtId="0" fontId="14" fillId="0" borderId="0" xfId="52" applyAlignment="1">
      <alignment vertical="center"/>
    </xf>
    <xf numFmtId="0" fontId="17" fillId="0" borderId="0" xfId="52" applyFont="1" applyAlignment="1">
      <alignment horizontal="right"/>
    </xf>
    <xf numFmtId="9" fontId="14" fillId="0" borderId="0" xfId="52" applyNumberFormat="1"/>
    <xf numFmtId="0" fontId="0" fillId="0" borderId="0" xfId="0" applyAlignment="1">
      <alignment horizontal="right"/>
    </xf>
    <xf numFmtId="3" fontId="42" fillId="0" borderId="12" xfId="0" applyNumberFormat="1" applyFont="1" applyBorder="1"/>
    <xf numFmtId="3" fontId="42" fillId="0" borderId="41" xfId="0" applyNumberFormat="1" applyFont="1" applyBorder="1" applyAlignment="1">
      <alignment horizontal="right" vertical="center"/>
    </xf>
    <xf numFmtId="3" fontId="42" fillId="0" borderId="42" xfId="0" applyNumberFormat="1" applyFont="1" applyBorder="1"/>
    <xf numFmtId="3" fontId="42" fillId="0" borderId="13" xfId="0" applyNumberFormat="1" applyFont="1" applyBorder="1"/>
    <xf numFmtId="3" fontId="47" fillId="0" borderId="12" xfId="0" applyNumberFormat="1" applyFont="1" applyBorder="1"/>
    <xf numFmtId="0" fontId="42" fillId="0" borderId="12" xfId="0" applyFont="1" applyBorder="1" applyAlignment="1">
      <alignment horizontal="left"/>
    </xf>
    <xf numFmtId="3" fontId="42" fillId="0" borderId="11" xfId="0" applyNumberFormat="1" applyFont="1" applyBorder="1" applyAlignment="1">
      <alignment horizontal="right" vertical="center"/>
    </xf>
    <xf numFmtId="0" fontId="9" fillId="0" borderId="0" xfId="0" applyFont="1"/>
    <xf numFmtId="0" fontId="42" fillId="0" borderId="23" xfId="0" applyFont="1" applyBorder="1" applyAlignment="1">
      <alignment horizontal="left" vertical="center"/>
    </xf>
    <xf numFmtId="0" fontId="42" fillId="0" borderId="51" xfId="0" applyFont="1" applyBorder="1" applyAlignment="1">
      <alignment horizontal="left" vertical="center"/>
    </xf>
    <xf numFmtId="0" fontId="42" fillId="0" borderId="42" xfId="0" applyFont="1" applyBorder="1" applyAlignment="1">
      <alignment horizontal="left" vertical="center"/>
    </xf>
    <xf numFmtId="0" fontId="42" fillId="0" borderId="27" xfId="0" applyFont="1" applyBorder="1"/>
    <xf numFmtId="3" fontId="9" fillId="15" borderId="21" xfId="36" applyNumberFormat="1" applyFont="1" applyFill="1" applyBorder="1"/>
    <xf numFmtId="3" fontId="9" fillId="15" borderId="13" xfId="36" applyNumberFormat="1" applyFont="1" applyFill="1" applyBorder="1"/>
    <xf numFmtId="3" fontId="2" fillId="15" borderId="14" xfId="0" applyNumberFormat="1" applyFont="1" applyFill="1" applyBorder="1"/>
    <xf numFmtId="3" fontId="12" fillId="15" borderId="14" xfId="0" applyNumberFormat="1" applyFont="1" applyFill="1" applyBorder="1"/>
    <xf numFmtId="3" fontId="9" fillId="15" borderId="13" xfId="0" applyNumberFormat="1" applyFont="1" applyFill="1" applyBorder="1"/>
    <xf numFmtId="0" fontId="10" fillId="0" borderId="16" xfId="0" applyFont="1" applyBorder="1"/>
    <xf numFmtId="0" fontId="1" fillId="0" borderId="38" xfId="34" applyFont="1" applyBorder="1" applyAlignment="1">
      <alignment vertical="center"/>
    </xf>
    <xf numFmtId="3" fontId="3" fillId="15" borderId="21" xfId="0" applyNumberFormat="1" applyFont="1" applyFill="1" applyBorder="1"/>
    <xf numFmtId="0" fontId="0" fillId="0" borderId="11" xfId="36" applyFont="1" applyBorder="1"/>
    <xf numFmtId="0" fontId="3" fillId="0" borderId="26" xfId="0" applyFont="1" applyBorder="1" applyAlignment="1">
      <alignment horizontal="left"/>
    </xf>
    <xf numFmtId="0" fontId="44" fillId="0" borderId="12" xfId="36" applyFont="1" applyBorder="1"/>
    <xf numFmtId="3" fontId="44" fillId="0" borderId="11" xfId="35" applyNumberFormat="1" applyFont="1" applyBorder="1" applyAlignment="1">
      <alignment vertical="center"/>
    </xf>
    <xf numFmtId="3" fontId="3" fillId="15" borderId="11" xfId="36" applyNumberFormat="1" applyFont="1" applyFill="1" applyBorder="1"/>
    <xf numFmtId="3" fontId="41" fillId="15" borderId="15" xfId="36" applyNumberFormat="1" applyFont="1" applyFill="1" applyBorder="1" applyAlignment="1">
      <alignment vertical="center"/>
    </xf>
    <xf numFmtId="3" fontId="3" fillId="15" borderId="15" xfId="36" applyNumberFormat="1" applyFont="1" applyFill="1" applyBorder="1"/>
    <xf numFmtId="3" fontId="12" fillId="15" borderId="21" xfId="36" applyNumberFormat="1" applyFont="1" applyFill="1" applyBorder="1"/>
    <xf numFmtId="3" fontId="12" fillId="15" borderId="15" xfId="36" applyNumberFormat="1" applyFont="1" applyFill="1" applyBorder="1"/>
    <xf numFmtId="3" fontId="12" fillId="15" borderId="11" xfId="36" applyNumberFormat="1" applyFont="1" applyFill="1" applyBorder="1"/>
    <xf numFmtId="3" fontId="12" fillId="15" borderId="13" xfId="36" applyNumberFormat="1" applyFont="1" applyFill="1" applyBorder="1"/>
    <xf numFmtId="3" fontId="12" fillId="15" borderId="15" xfId="36" applyNumberFormat="1" applyFont="1" applyFill="1" applyBorder="1" applyAlignment="1">
      <alignment vertical="center"/>
    </xf>
    <xf numFmtId="0" fontId="3" fillId="15" borderId="11" xfId="36" applyFont="1" applyFill="1" applyBorder="1"/>
    <xf numFmtId="0" fontId="3" fillId="15" borderId="12" xfId="36" applyFont="1" applyFill="1" applyBorder="1"/>
    <xf numFmtId="0" fontId="3" fillId="15" borderId="10" xfId="36" applyFont="1" applyFill="1" applyBorder="1"/>
    <xf numFmtId="3" fontId="8" fillId="15" borderId="14" xfId="36" applyNumberFormat="1" applyFont="1" applyFill="1" applyBorder="1"/>
    <xf numFmtId="3" fontId="12" fillId="15" borderId="14" xfId="36" applyNumberFormat="1" applyFont="1" applyFill="1" applyBorder="1" applyAlignment="1">
      <alignment vertical="center"/>
    </xf>
    <xf numFmtId="0" fontId="3" fillId="15" borderId="13" xfId="36" applyFont="1" applyFill="1" applyBorder="1"/>
    <xf numFmtId="0" fontId="3" fillId="15" borderId="15" xfId="36" applyFont="1" applyFill="1" applyBorder="1"/>
    <xf numFmtId="3" fontId="8" fillId="15" borderId="39" xfId="36" applyNumberFormat="1" applyFont="1" applyFill="1" applyBorder="1"/>
    <xf numFmtId="3" fontId="12" fillId="15" borderId="39" xfId="36" applyNumberFormat="1" applyFont="1" applyFill="1" applyBorder="1"/>
    <xf numFmtId="3" fontId="3" fillId="15" borderId="31" xfId="36" applyNumberFormat="1" applyFont="1" applyFill="1" applyBorder="1"/>
    <xf numFmtId="3" fontId="8" fillId="15" borderId="15" xfId="36" applyNumberFormat="1" applyFont="1" applyFill="1" applyBorder="1"/>
    <xf numFmtId="3" fontId="4" fillId="15" borderId="10" xfId="36" applyNumberFormat="1" applyFont="1" applyFill="1" applyBorder="1"/>
    <xf numFmtId="3" fontId="2" fillId="15" borderId="12" xfId="36" applyNumberFormat="1" applyFont="1" applyFill="1" applyBorder="1"/>
    <xf numFmtId="0" fontId="2" fillId="0" borderId="15" xfId="38" applyFont="1" applyBorder="1" applyAlignment="1">
      <alignment horizontal="right"/>
    </xf>
    <xf numFmtId="9" fontId="3" fillId="0" borderId="10" xfId="38" applyNumberFormat="1" applyFont="1" applyBorder="1" applyAlignment="1">
      <alignment horizontal="right" vertical="center"/>
    </xf>
    <xf numFmtId="0" fontId="3" fillId="0" borderId="10" xfId="38" applyFont="1" applyBorder="1" applyAlignment="1">
      <alignment horizontal="right"/>
    </xf>
    <xf numFmtId="9" fontId="3" fillId="0" borderId="15" xfId="38" applyNumberFormat="1" applyFont="1" applyBorder="1" applyAlignment="1">
      <alignment horizontal="right" vertical="center"/>
    </xf>
    <xf numFmtId="3" fontId="3" fillId="0" borderId="10" xfId="38" applyNumberFormat="1" applyFont="1" applyBorder="1" applyAlignment="1">
      <alignment horizontal="right"/>
    </xf>
    <xf numFmtId="3" fontId="6" fillId="0" borderId="10" xfId="38" applyNumberFormat="1" applyFont="1" applyBorder="1" applyAlignment="1">
      <alignment horizontal="right"/>
    </xf>
    <xf numFmtId="3" fontId="2" fillId="0" borderId="15" xfId="38" applyNumberFormat="1" applyFont="1" applyBorder="1" applyAlignment="1">
      <alignment horizontal="right"/>
    </xf>
    <xf numFmtId="3" fontId="2" fillId="0" borderId="15" xfId="38" applyNumberFormat="1" applyFont="1" applyBorder="1" applyAlignment="1">
      <alignment horizontal="right" vertical="center"/>
    </xf>
    <xf numFmtId="3" fontId="2" fillId="0" borderId="14" xfId="38" applyNumberFormat="1" applyFont="1" applyBorder="1" applyAlignment="1">
      <alignment horizontal="right" vertical="center"/>
    </xf>
    <xf numFmtId="3" fontId="3" fillId="0" borderId="38" xfId="38" applyNumberFormat="1" applyFont="1" applyBorder="1" applyAlignment="1">
      <alignment horizontal="right" vertical="center"/>
    </xf>
    <xf numFmtId="3" fontId="2" fillId="0" borderId="38" xfId="38" applyNumberFormat="1" applyFont="1" applyBorder="1" applyAlignment="1">
      <alignment horizontal="right" vertical="center"/>
    </xf>
    <xf numFmtId="3" fontId="3" fillId="0" borderId="16" xfId="38" applyNumberFormat="1" applyFont="1" applyBorder="1" applyAlignment="1">
      <alignment horizontal="right" vertical="center"/>
    </xf>
    <xf numFmtId="3" fontId="3" fillId="14" borderId="16" xfId="38" applyNumberFormat="1" applyFont="1" applyFill="1" applyBorder="1" applyAlignment="1">
      <alignment horizontal="right"/>
    </xf>
    <xf numFmtId="3" fontId="2" fillId="15" borderId="38" xfId="38" applyNumberFormat="1" applyFont="1" applyFill="1" applyBorder="1" applyAlignment="1">
      <alignment horizontal="right" vertical="center"/>
    </xf>
    <xf numFmtId="3" fontId="3" fillId="15" borderId="16" xfId="38" applyNumberFormat="1" applyFont="1" applyFill="1" applyBorder="1" applyAlignment="1">
      <alignment horizontal="right"/>
    </xf>
    <xf numFmtId="3" fontId="3" fillId="15" borderId="38" xfId="38" applyNumberFormat="1" applyFont="1" applyFill="1" applyBorder="1" applyAlignment="1">
      <alignment horizontal="right"/>
    </xf>
    <xf numFmtId="0" fontId="3" fillId="15" borderId="38" xfId="38" applyFont="1" applyFill="1" applyBorder="1"/>
    <xf numFmtId="3" fontId="6" fillId="15" borderId="16" xfId="38" applyNumberFormat="1" applyFont="1" applyFill="1" applyBorder="1" applyAlignment="1">
      <alignment horizontal="right"/>
    </xf>
    <xf numFmtId="3" fontId="3" fillId="15" borderId="38" xfId="38" applyNumberFormat="1" applyFont="1" applyFill="1" applyBorder="1" applyAlignment="1">
      <alignment horizontal="right" vertical="center"/>
    </xf>
    <xf numFmtId="3" fontId="3" fillId="15" borderId="39" xfId="38" applyNumberFormat="1" applyFont="1" applyFill="1" applyBorder="1" applyAlignment="1">
      <alignment horizontal="right" vertical="center"/>
    </xf>
    <xf numFmtId="3" fontId="2" fillId="15" borderId="39" xfId="38" applyNumberFormat="1" applyFont="1" applyFill="1" applyBorder="1" applyAlignment="1">
      <alignment horizontal="right" vertical="center"/>
    </xf>
    <xf numFmtId="3" fontId="2" fillId="15" borderId="14" xfId="38" applyNumberFormat="1" applyFont="1" applyFill="1" applyBorder="1" applyAlignment="1">
      <alignment horizontal="right" vertical="center"/>
    </xf>
    <xf numFmtId="3" fontId="44" fillId="0" borderId="23" xfId="35" applyNumberFormat="1" applyFont="1" applyBorder="1"/>
    <xf numFmtId="9" fontId="3" fillId="0" borderId="14" xfId="38" applyNumberFormat="1" applyFont="1" applyBorder="1" applyAlignment="1">
      <alignment horizontal="right" vertical="center"/>
    </xf>
    <xf numFmtId="3" fontId="2" fillId="15" borderId="20" xfId="0" applyNumberFormat="1" applyFont="1" applyFill="1" applyBorder="1"/>
    <xf numFmtId="3" fontId="3" fillId="15" borderId="20" xfId="0" applyNumberFormat="1" applyFont="1" applyFill="1" applyBorder="1"/>
    <xf numFmtId="3" fontId="10" fillId="15" borderId="20" xfId="0" applyNumberFormat="1" applyFont="1" applyFill="1" applyBorder="1"/>
    <xf numFmtId="3" fontId="10" fillId="15" borderId="26" xfId="0" applyNumberFormat="1" applyFont="1" applyFill="1" applyBorder="1"/>
    <xf numFmtId="3" fontId="9" fillId="15" borderId="20" xfId="0" applyNumberFormat="1" applyFont="1" applyFill="1" applyBorder="1"/>
    <xf numFmtId="3" fontId="2" fillId="15" borderId="20" xfId="0" applyNumberFormat="1" applyFont="1" applyFill="1" applyBorder="1" applyAlignment="1">
      <alignment horizontal="center"/>
    </xf>
    <xf numFmtId="3" fontId="13" fillId="15" borderId="20" xfId="0" applyNumberFormat="1" applyFont="1" applyFill="1" applyBorder="1"/>
    <xf numFmtId="3" fontId="11" fillId="15" borderId="20" xfId="0" applyNumberFormat="1" applyFont="1" applyFill="1" applyBorder="1"/>
    <xf numFmtId="9" fontId="3" fillId="15" borderId="14" xfId="45" applyFont="1" applyFill="1" applyBorder="1"/>
    <xf numFmtId="9" fontId="12" fillId="0" borderId="15" xfId="38" applyNumberFormat="1" applyFont="1" applyBorder="1" applyAlignment="1">
      <alignment horizontal="right" vertical="center"/>
    </xf>
    <xf numFmtId="3" fontId="3" fillId="15" borderId="26" xfId="0" applyNumberFormat="1" applyFont="1" applyFill="1" applyBorder="1"/>
    <xf numFmtId="0" fontId="10" fillId="15" borderId="26" xfId="0" applyFont="1" applyFill="1" applyBorder="1"/>
    <xf numFmtId="0" fontId="9" fillId="15" borderId="20" xfId="0" applyFont="1" applyFill="1" applyBorder="1" applyAlignment="1">
      <alignment horizontal="left"/>
    </xf>
    <xf numFmtId="0" fontId="9" fillId="0" borderId="20" xfId="0" applyFont="1" applyBorder="1" applyAlignment="1">
      <alignment horizontal="left" vertical="top"/>
    </xf>
    <xf numFmtId="0" fontId="10" fillId="15" borderId="20" xfId="0" applyFont="1" applyFill="1" applyBorder="1" applyAlignment="1">
      <alignment horizontal="center" vertical="center" wrapText="1"/>
    </xf>
    <xf numFmtId="3" fontId="12" fillId="0" borderId="21" xfId="36" applyNumberFormat="1" applyFont="1" applyBorder="1"/>
    <xf numFmtId="0" fontId="2" fillId="0" borderId="21" xfId="36" applyFont="1" applyBorder="1"/>
    <xf numFmtId="3" fontId="41" fillId="14" borderId="14" xfId="36" applyNumberFormat="1" applyFont="1" applyFill="1" applyBorder="1"/>
    <xf numFmtId="0" fontId="53" fillId="0" borderId="10" xfId="36" applyFont="1" applyBorder="1" applyAlignment="1">
      <alignment vertical="center"/>
    </xf>
    <xf numFmtId="3" fontId="12" fillId="15" borderId="10" xfId="36" applyNumberFormat="1" applyFont="1" applyFill="1" applyBorder="1" applyAlignment="1">
      <alignment vertical="center"/>
    </xf>
    <xf numFmtId="3" fontId="44" fillId="0" borderId="37" xfId="35" applyNumberFormat="1" applyFont="1" applyBorder="1" applyAlignment="1">
      <alignment vertical="center"/>
    </xf>
    <xf numFmtId="3" fontId="45" fillId="0" borderId="12" xfId="35" applyNumberFormat="1" applyFont="1" applyBorder="1"/>
    <xf numFmtId="3" fontId="40" fillId="0" borderId="12" xfId="54" applyNumberFormat="1" applyFont="1" applyBorder="1" applyAlignment="1">
      <alignment vertical="center"/>
    </xf>
    <xf numFmtId="3" fontId="14" fillId="0" borderId="12" xfId="54" applyNumberFormat="1" applyBorder="1" applyAlignment="1">
      <alignment vertical="center"/>
    </xf>
    <xf numFmtId="3" fontId="14" fillId="0" borderId="12" xfId="54" applyNumberFormat="1" applyBorder="1" applyAlignment="1">
      <alignment horizontal="right" vertical="center"/>
    </xf>
    <xf numFmtId="0" fontId="14" fillId="0" borderId="42" xfId="54" applyBorder="1"/>
    <xf numFmtId="3" fontId="14" fillId="0" borderId="42" xfId="54" applyNumberFormat="1" applyBorder="1"/>
    <xf numFmtId="3" fontId="17" fillId="0" borderId="12" xfId="54" applyNumberFormat="1" applyFont="1" applyBorder="1" applyAlignment="1">
      <alignment vertical="center"/>
    </xf>
    <xf numFmtId="3" fontId="40" fillId="0" borderId="11" xfId="54" applyNumberFormat="1" applyFont="1" applyBorder="1" applyAlignment="1">
      <alignment vertical="center"/>
    </xf>
    <xf numFmtId="3" fontId="42" fillId="0" borderId="11" xfId="54" applyNumberFormat="1" applyFont="1" applyBorder="1" applyAlignment="1">
      <alignment vertical="center"/>
    </xf>
    <xf numFmtId="3" fontId="42" fillId="0" borderId="12" xfId="54" applyNumberFormat="1" applyFont="1" applyBorder="1" applyAlignment="1">
      <alignment vertical="center"/>
    </xf>
    <xf numFmtId="0" fontId="42" fillId="0" borderId="19" xfId="0" applyFont="1" applyBorder="1" applyAlignment="1">
      <alignment horizontal="left"/>
    </xf>
    <xf numFmtId="3" fontId="1" fillId="0" borderId="0" xfId="48" applyNumberFormat="1"/>
    <xf numFmtId="0" fontId="42" fillId="0" borderId="41" xfId="0" applyFont="1" applyBorder="1" applyAlignment="1">
      <alignment horizontal="left"/>
    </xf>
    <xf numFmtId="0" fontId="9" fillId="15" borderId="10" xfId="36" applyFont="1" applyFill="1" applyBorder="1"/>
    <xf numFmtId="0" fontId="9" fillId="15" borderId="14" xfId="36" applyFont="1" applyFill="1" applyBorder="1"/>
    <xf numFmtId="3" fontId="4" fillId="0" borderId="0" xfId="0" applyNumberFormat="1" applyFont="1" applyAlignment="1">
      <alignment horizontal="right"/>
    </xf>
    <xf numFmtId="0" fontId="42" fillId="0" borderId="23" xfId="0" applyFont="1" applyBorder="1" applyAlignment="1">
      <alignment horizontal="left"/>
    </xf>
    <xf numFmtId="0" fontId="42" fillId="0" borderId="51" xfId="0" applyFont="1" applyBorder="1" applyAlignment="1">
      <alignment horizontal="left"/>
    </xf>
    <xf numFmtId="0" fontId="42" fillId="0" borderId="42" xfId="0" applyFont="1" applyBorder="1" applyAlignment="1">
      <alignment horizontal="left"/>
    </xf>
    <xf numFmtId="0" fontId="14" fillId="0" borderId="19" xfId="54" applyBorder="1"/>
    <xf numFmtId="0" fontId="71" fillId="0" borderId="0" xfId="54" applyFont="1" applyAlignment="1">
      <alignment vertical="center"/>
    </xf>
    <xf numFmtId="0" fontId="14" fillId="0" borderId="13" xfId="54" applyBorder="1"/>
    <xf numFmtId="0" fontId="14" fillId="0" borderId="11" xfId="54" applyBorder="1"/>
    <xf numFmtId="1" fontId="14" fillId="0" borderId="12" xfId="54" applyNumberFormat="1" applyBorder="1" applyAlignment="1">
      <alignment horizontal="right" vertical="center"/>
    </xf>
    <xf numFmtId="1" fontId="14" fillId="0" borderId="12" xfId="54" applyNumberFormat="1" applyBorder="1" applyAlignment="1">
      <alignment vertical="center"/>
    </xf>
    <xf numFmtId="0" fontId="72" fillId="0" borderId="12" xfId="54" applyFont="1" applyBorder="1" applyAlignment="1">
      <alignment horizontal="left" vertical="center" wrapText="1"/>
    </xf>
    <xf numFmtId="0" fontId="14" fillId="0" borderId="12" xfId="54" applyBorder="1" applyAlignment="1">
      <alignment horizontal="right" vertical="center"/>
    </xf>
    <xf numFmtId="0" fontId="14" fillId="0" borderId="12" xfId="0" applyFont="1" applyBorder="1" applyAlignment="1">
      <alignment vertical="center"/>
    </xf>
    <xf numFmtId="0" fontId="0" fillId="0" borderId="12" xfId="0" applyBorder="1" applyAlignment="1">
      <alignment vertical="center"/>
    </xf>
    <xf numFmtId="3" fontId="14" fillId="0" borderId="11" xfId="54" applyNumberFormat="1" applyBorder="1" applyAlignment="1">
      <alignment vertical="center"/>
    </xf>
    <xf numFmtId="0" fontId="14" fillId="0" borderId="12" xfId="54" applyBorder="1"/>
    <xf numFmtId="0" fontId="17" fillId="0" borderId="12" xfId="54" applyFont="1" applyBorder="1" applyAlignment="1">
      <alignment vertical="center"/>
    </xf>
    <xf numFmtId="0" fontId="66" fillId="0" borderId="0" xfId="54" applyFont="1"/>
    <xf numFmtId="0" fontId="68" fillId="0" borderId="0" xfId="54" applyFont="1" applyAlignment="1">
      <alignment horizontal="center" vertical="center"/>
    </xf>
    <xf numFmtId="0" fontId="14" fillId="0" borderId="46" xfId="54" applyBorder="1"/>
    <xf numFmtId="0" fontId="69" fillId="0" borderId="23" xfId="54" applyFont="1" applyBorder="1" applyAlignment="1">
      <alignment horizontal="center" vertical="center" wrapText="1"/>
    </xf>
    <xf numFmtId="0" fontId="14" fillId="0" borderId="41" xfId="54" applyBorder="1"/>
    <xf numFmtId="1" fontId="17" fillId="0" borderId="12" xfId="54" applyNumberFormat="1" applyFont="1" applyBorder="1" applyAlignment="1">
      <alignment horizontal="center" vertical="center"/>
    </xf>
    <xf numFmtId="0" fontId="70" fillId="0" borderId="11" xfId="54" applyFont="1" applyBorder="1" applyAlignment="1">
      <alignment vertical="center"/>
    </xf>
    <xf numFmtId="0" fontId="70" fillId="0" borderId="11" xfId="54" applyFont="1" applyBorder="1" applyAlignment="1">
      <alignment vertical="center" wrapText="1"/>
    </xf>
    <xf numFmtId="0" fontId="70" fillId="0" borderId="12" xfId="54" applyFont="1" applyBorder="1" applyAlignment="1">
      <alignment vertical="center"/>
    </xf>
    <xf numFmtId="0" fontId="69" fillId="0" borderId="12" xfId="54" applyFont="1" applyBorder="1" applyAlignment="1">
      <alignment vertical="center"/>
    </xf>
    <xf numFmtId="0" fontId="70" fillId="0" borderId="12" xfId="54" applyFont="1" applyBorder="1" applyAlignment="1">
      <alignment vertical="center" wrapText="1"/>
    </xf>
    <xf numFmtId="0" fontId="17" fillId="0" borderId="12" xfId="54" applyFont="1" applyBorder="1"/>
    <xf numFmtId="1" fontId="14" fillId="0" borderId="12" xfId="54" applyNumberFormat="1" applyBorder="1" applyAlignment="1">
      <alignment horizontal="center" vertical="center"/>
    </xf>
    <xf numFmtId="3" fontId="39" fillId="0" borderId="12" xfId="54" applyNumberFormat="1" applyFont="1" applyBorder="1" applyAlignment="1">
      <alignment vertical="center"/>
    </xf>
    <xf numFmtId="0" fontId="67" fillId="0" borderId="12" xfId="54" applyFont="1" applyBorder="1" applyAlignment="1">
      <alignment vertical="center"/>
    </xf>
    <xf numFmtId="0" fontId="14" fillId="0" borderId="19" xfId="46" applyBorder="1"/>
    <xf numFmtId="0" fontId="17" fillId="0" borderId="0" xfId="46" applyFont="1" applyAlignment="1">
      <alignment horizontal="right"/>
    </xf>
    <xf numFmtId="0" fontId="47" fillId="0" borderId="12" xfId="46" applyFont="1" applyBorder="1" applyAlignment="1">
      <alignment vertical="center"/>
    </xf>
    <xf numFmtId="3" fontId="39" fillId="0" borderId="12" xfId="46" applyNumberFormat="1" applyFont="1" applyBorder="1"/>
    <xf numFmtId="0" fontId="17" fillId="0" borderId="19" xfId="46" applyFont="1" applyBorder="1"/>
    <xf numFmtId="0" fontId="17" fillId="0" borderId="19" xfId="46" applyFont="1" applyBorder="1" applyAlignment="1">
      <alignment horizontal="right"/>
    </xf>
    <xf numFmtId="0" fontId="39" fillId="0" borderId="12" xfId="46" applyFont="1" applyBorder="1" applyAlignment="1">
      <alignment horizontal="center"/>
    </xf>
    <xf numFmtId="0" fontId="39" fillId="0" borderId="13" xfId="46" applyFont="1" applyBorder="1" applyAlignment="1">
      <alignment horizontal="center"/>
    </xf>
    <xf numFmtId="0" fontId="39" fillId="0" borderId="16" xfId="46" applyFont="1" applyBorder="1" applyAlignment="1">
      <alignment horizontal="center"/>
    </xf>
    <xf numFmtId="3" fontId="47" fillId="0" borderId="12" xfId="46" applyNumberFormat="1" applyFont="1" applyBorder="1" applyAlignment="1">
      <alignment horizontal="right"/>
    </xf>
    <xf numFmtId="3" fontId="47" fillId="0" borderId="13" xfId="46" applyNumberFormat="1" applyFont="1" applyBorder="1" applyAlignment="1">
      <alignment horizontal="right"/>
    </xf>
    <xf numFmtId="3" fontId="47" fillId="0" borderId="16" xfId="46" applyNumberFormat="1" applyFont="1" applyBorder="1" applyAlignment="1">
      <alignment horizontal="right"/>
    </xf>
    <xf numFmtId="0" fontId="14" fillId="0" borderId="16" xfId="46" applyBorder="1"/>
    <xf numFmtId="0" fontId="47" fillId="0" borderId="16" xfId="46" applyFont="1" applyBorder="1"/>
    <xf numFmtId="3" fontId="0" fillId="0" borderId="12" xfId="0" applyNumberFormat="1" applyBorder="1"/>
    <xf numFmtId="0" fontId="2" fillId="0" borderId="0" xfId="0" applyFont="1" applyAlignment="1">
      <alignment horizontal="centerContinuous"/>
    </xf>
    <xf numFmtId="9" fontId="3" fillId="0" borderId="10" xfId="0" applyNumberFormat="1" applyFont="1" applyBorder="1"/>
    <xf numFmtId="3" fontId="11" fillId="0" borderId="10" xfId="45" applyNumberFormat="1" applyFont="1" applyFill="1" applyBorder="1" applyAlignment="1">
      <alignment horizontal="right"/>
    </xf>
    <xf numFmtId="3" fontId="3" fillId="0" borderId="10" xfId="45" applyNumberFormat="1" applyFont="1" applyFill="1" applyBorder="1" applyAlignment="1">
      <alignment horizontal="right"/>
    </xf>
    <xf numFmtId="3" fontId="2" fillId="0" borderId="10" xfId="0" applyNumberFormat="1" applyFont="1" applyBorder="1"/>
    <xf numFmtId="3" fontId="3" fillId="0" borderId="10" xfId="0" applyNumberFormat="1" applyFont="1" applyBorder="1" applyAlignment="1">
      <alignment horizontal="right"/>
    </xf>
    <xf numFmtId="3" fontId="12" fillId="0" borderId="10" xfId="0" applyNumberFormat="1" applyFont="1" applyBorder="1" applyAlignment="1">
      <alignment horizontal="right"/>
    </xf>
    <xf numFmtId="3" fontId="12" fillId="0" borderId="11" xfId="0" applyNumberFormat="1" applyFont="1" applyBorder="1" applyAlignment="1">
      <alignment horizontal="right"/>
    </xf>
    <xf numFmtId="3" fontId="11" fillId="0" borderId="0" xfId="0" applyNumberFormat="1" applyFont="1"/>
    <xf numFmtId="3" fontId="9" fillId="0" borderId="10" xfId="0" applyNumberFormat="1" applyFont="1" applyBorder="1" applyAlignment="1">
      <alignment horizontal="right"/>
    </xf>
    <xf numFmtId="3" fontId="10" fillId="0" borderId="10" xfId="0" applyNumberFormat="1" applyFont="1" applyBorder="1" applyAlignment="1">
      <alignment horizontal="right"/>
    </xf>
    <xf numFmtId="3" fontId="2" fillId="0" borderId="12" xfId="0" applyNumberFormat="1" applyFont="1" applyBorder="1" applyAlignment="1">
      <alignment horizontal="right"/>
    </xf>
    <xf numFmtId="3" fontId="0" fillId="0" borderId="10" xfId="0" applyNumberFormat="1" applyBorder="1"/>
    <xf numFmtId="3" fontId="11" fillId="0" borderId="35" xfId="0" applyNumberFormat="1" applyFont="1" applyBorder="1"/>
    <xf numFmtId="3" fontId="3" fillId="0" borderId="35" xfId="0" applyNumberFormat="1" applyFont="1" applyBorder="1" applyAlignment="1">
      <alignment horizontal="right"/>
    </xf>
    <xf numFmtId="3" fontId="1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17" fillId="0" borderId="19" xfId="35" applyFont="1" applyBorder="1" applyAlignment="1">
      <alignment horizontal="center" vertical="center"/>
    </xf>
    <xf numFmtId="0" fontId="17" fillId="0" borderId="0" xfId="35" applyFont="1" applyAlignment="1">
      <alignment horizontal="right"/>
    </xf>
    <xf numFmtId="0" fontId="43" fillId="0" borderId="11" xfId="35" applyFont="1" applyBorder="1"/>
    <xf numFmtId="3" fontId="43" fillId="0" borderId="27" xfId="35" applyNumberFormat="1" applyFont="1" applyBorder="1"/>
    <xf numFmtId="0" fontId="43" fillId="0" borderId="27" xfId="35" applyFont="1" applyBorder="1"/>
    <xf numFmtId="3" fontId="43" fillId="0" borderId="23" xfId="0" applyNumberFormat="1" applyFont="1" applyBorder="1"/>
    <xf numFmtId="0" fontId="43" fillId="0" borderId="23" xfId="35" applyFont="1" applyBorder="1"/>
    <xf numFmtId="3" fontId="44" fillId="0" borderId="12" xfId="35" applyNumberFormat="1" applyFont="1" applyBorder="1"/>
    <xf numFmtId="0" fontId="45" fillId="0" borderId="23" xfId="35" applyFont="1" applyBorder="1"/>
    <xf numFmtId="3" fontId="44" fillId="0" borderId="21" xfId="35" applyNumberFormat="1" applyFont="1" applyBorder="1"/>
    <xf numFmtId="0" fontId="43" fillId="0" borderId="15" xfId="36" applyFont="1" applyBorder="1"/>
    <xf numFmtId="3" fontId="43" fillId="0" borderId="14" xfId="35" applyNumberFormat="1" applyFont="1" applyBorder="1"/>
    <xf numFmtId="0" fontId="44" fillId="0" borderId="11" xfId="36" applyFont="1" applyBorder="1"/>
    <xf numFmtId="3" fontId="44" fillId="0" borderId="27" xfId="35" applyNumberFormat="1" applyFont="1" applyBorder="1"/>
    <xf numFmtId="3" fontId="59" fillId="0" borderId="12" xfId="0" applyNumberFormat="1" applyFont="1" applyBorder="1"/>
    <xf numFmtId="0" fontId="44" fillId="0" borderId="21" xfId="36" applyFont="1" applyBorder="1"/>
    <xf numFmtId="0" fontId="39" fillId="0" borderId="15" xfId="36" applyFont="1" applyBorder="1"/>
    <xf numFmtId="3" fontId="43" fillId="0" borderId="15" xfId="35" applyNumberFormat="1" applyFont="1" applyBorder="1"/>
    <xf numFmtId="0" fontId="44" fillId="0" borderId="18" xfId="36" applyFont="1" applyBorder="1"/>
    <xf numFmtId="0" fontId="43" fillId="0" borderId="16" xfId="35" applyFont="1" applyBorder="1"/>
    <xf numFmtId="3" fontId="44" fillId="0" borderId="46" xfId="35" applyNumberFormat="1" applyFont="1" applyBorder="1"/>
    <xf numFmtId="3" fontId="44" fillId="0" borderId="20" xfId="35" applyNumberFormat="1" applyFont="1" applyBorder="1"/>
    <xf numFmtId="0" fontId="44" fillId="0" borderId="16" xfId="35" applyFont="1" applyBorder="1"/>
    <xf numFmtId="0" fontId="44" fillId="0" borderId="20" xfId="35" applyFont="1" applyBorder="1"/>
    <xf numFmtId="0" fontId="44" fillId="0" borderId="13" xfId="37" applyFont="1" applyBorder="1"/>
    <xf numFmtId="0" fontId="44" fillId="0" borderId="15" xfId="36" applyFont="1" applyBorder="1"/>
    <xf numFmtId="3" fontId="44" fillId="0" borderId="15" xfId="35" applyNumberFormat="1" applyFont="1" applyBorder="1"/>
    <xf numFmtId="0" fontId="39" fillId="0" borderId="33" xfId="36" applyFont="1" applyBorder="1"/>
    <xf numFmtId="3" fontId="43" fillId="0" borderId="33" xfId="35" applyNumberFormat="1" applyFont="1" applyBorder="1"/>
    <xf numFmtId="0" fontId="44" fillId="0" borderId="22" xfId="35" applyFont="1" applyBorder="1"/>
    <xf numFmtId="0" fontId="44" fillId="0" borderId="24" xfId="35" applyFont="1" applyBorder="1"/>
    <xf numFmtId="0" fontId="50" fillId="0" borderId="28" xfId="36" applyFont="1" applyBorder="1"/>
    <xf numFmtId="3" fontId="43" fillId="0" borderId="22" xfId="35" applyNumberFormat="1" applyFont="1" applyBorder="1"/>
    <xf numFmtId="0" fontId="40" fillId="0" borderId="22" xfId="35" applyFont="1" applyBorder="1" applyAlignment="1">
      <alignment vertical="center"/>
    </xf>
    <xf numFmtId="3" fontId="43" fillId="0" borderId="25" xfId="35" applyNumberFormat="1" applyFont="1" applyBorder="1"/>
    <xf numFmtId="3" fontId="44" fillId="0" borderId="37" xfId="35" applyNumberFormat="1" applyFont="1" applyBorder="1"/>
    <xf numFmtId="0" fontId="44" fillId="0" borderId="53" xfId="35" applyFont="1" applyBorder="1"/>
    <xf numFmtId="0" fontId="44" fillId="0" borderId="36" xfId="35" applyFont="1" applyBorder="1"/>
    <xf numFmtId="3" fontId="44" fillId="0" borderId="16" xfId="35" applyNumberFormat="1" applyFont="1" applyBorder="1"/>
    <xf numFmtId="0" fontId="44" fillId="0" borderId="41" xfId="35" applyFont="1" applyBorder="1"/>
    <xf numFmtId="0" fontId="44" fillId="0" borderId="23" xfId="35" applyFont="1" applyBorder="1"/>
    <xf numFmtId="0" fontId="44" fillId="0" borderId="27" xfId="35" applyFont="1" applyBorder="1"/>
    <xf numFmtId="0" fontId="44" fillId="0" borderId="12" xfId="35" applyFont="1" applyBorder="1"/>
    <xf numFmtId="3" fontId="44" fillId="0" borderId="18" xfId="35" applyNumberFormat="1" applyFont="1" applyBorder="1"/>
    <xf numFmtId="0" fontId="44" fillId="0" borderId="46" xfId="35" applyFont="1" applyBorder="1"/>
    <xf numFmtId="0" fontId="44" fillId="0" borderId="10" xfId="36" applyFont="1" applyBorder="1"/>
    <xf numFmtId="3" fontId="44" fillId="0" borderId="10" xfId="35" applyNumberFormat="1" applyFont="1" applyBorder="1"/>
    <xf numFmtId="3" fontId="43" fillId="0" borderId="20" xfId="35" applyNumberFormat="1" applyFont="1" applyBorder="1"/>
    <xf numFmtId="0" fontId="0" fillId="0" borderId="16" xfId="0" applyBorder="1"/>
    <xf numFmtId="0" fontId="44" fillId="0" borderId="14" xfId="36" applyFont="1" applyBorder="1"/>
    <xf numFmtId="0" fontId="0" fillId="0" borderId="22" xfId="0" applyBorder="1"/>
    <xf numFmtId="3" fontId="44" fillId="0" borderId="24" xfId="35" applyNumberFormat="1" applyFont="1" applyBorder="1"/>
    <xf numFmtId="0" fontId="50" fillId="0" borderId="25" xfId="36" applyFont="1" applyBorder="1" applyAlignment="1">
      <alignment vertical="center"/>
    </xf>
    <xf numFmtId="3" fontId="40" fillId="0" borderId="22" xfId="35" applyNumberFormat="1" applyFont="1" applyBorder="1" applyAlignment="1">
      <alignment vertical="center"/>
    </xf>
    <xf numFmtId="0" fontId="40" fillId="0" borderId="29" xfId="35" applyFont="1" applyBorder="1" applyAlignment="1">
      <alignment vertical="center"/>
    </xf>
    <xf numFmtId="3" fontId="40" fillId="0" borderId="25" xfId="35" applyNumberFormat="1" applyFont="1" applyBorder="1" applyAlignment="1">
      <alignment vertical="center"/>
    </xf>
    <xf numFmtId="0" fontId="44" fillId="0" borderId="0" xfId="35" applyFont="1"/>
    <xf numFmtId="0" fontId="44" fillId="0" borderId="13" xfId="36" applyFont="1" applyBorder="1"/>
    <xf numFmtId="0" fontId="44" fillId="0" borderId="17" xfId="35" applyFont="1" applyBorder="1"/>
    <xf numFmtId="0" fontId="44" fillId="0" borderId="34" xfId="36" applyFont="1" applyBorder="1"/>
    <xf numFmtId="3" fontId="44" fillId="0" borderId="25" xfId="35" applyNumberFormat="1" applyFont="1" applyBorder="1"/>
    <xf numFmtId="0" fontId="40" fillId="0" borderId="25" xfId="35" applyFont="1" applyBorder="1" applyAlignment="1">
      <alignment vertical="center"/>
    </xf>
    <xf numFmtId="3" fontId="43" fillId="0" borderId="28" xfId="35" applyNumberFormat="1" applyFont="1" applyBorder="1"/>
    <xf numFmtId="0" fontId="44" fillId="0" borderId="47" xfId="36" applyFont="1" applyBorder="1"/>
    <xf numFmtId="3" fontId="44" fillId="0" borderId="48" xfId="35" applyNumberFormat="1" applyFont="1" applyBorder="1"/>
    <xf numFmtId="0" fontId="44" fillId="0" borderId="48" xfId="35" applyFont="1" applyBorder="1"/>
    <xf numFmtId="3" fontId="44" fillId="0" borderId="47" xfId="35" applyNumberFormat="1" applyFont="1" applyBorder="1"/>
    <xf numFmtId="0" fontId="40" fillId="0" borderId="25" xfId="36" applyFont="1" applyBorder="1" applyAlignment="1">
      <alignment vertical="center"/>
    </xf>
    <xf numFmtId="3" fontId="43" fillId="0" borderId="24" xfId="35" applyNumberFormat="1" applyFont="1" applyBorder="1"/>
    <xf numFmtId="0" fontId="39" fillId="0" borderId="34" xfId="36" applyFont="1" applyBorder="1"/>
    <xf numFmtId="3" fontId="44" fillId="0" borderId="22" xfId="0" applyNumberFormat="1" applyFont="1" applyBorder="1"/>
    <xf numFmtId="3" fontId="44" fillId="0" borderId="34" xfId="35" applyNumberFormat="1" applyFont="1" applyBorder="1"/>
    <xf numFmtId="0" fontId="42" fillId="0" borderId="0" xfId="35" applyFont="1"/>
    <xf numFmtId="0" fontId="14" fillId="0" borderId="0" xfId="54" applyAlignment="1">
      <alignment horizontal="right"/>
    </xf>
    <xf numFmtId="0" fontId="12" fillId="0" borderId="38" xfId="38" applyFont="1" applyBorder="1"/>
    <xf numFmtId="3" fontId="2" fillId="0" borderId="14" xfId="38" applyNumberFormat="1" applyFont="1" applyBorder="1" applyAlignment="1">
      <alignment horizontal="right"/>
    </xf>
    <xf numFmtId="3" fontId="70" fillId="15" borderId="12" xfId="54" applyNumberFormat="1" applyFont="1" applyFill="1" applyBorder="1" applyAlignment="1">
      <alignment vertical="center"/>
    </xf>
    <xf numFmtId="3" fontId="69" fillId="15" borderId="12" xfId="54" applyNumberFormat="1" applyFont="1" applyFill="1" applyBorder="1" applyAlignment="1">
      <alignment vertical="center"/>
    </xf>
    <xf numFmtId="3" fontId="14" fillId="15" borderId="12" xfId="54" applyNumberFormat="1" applyFill="1" applyBorder="1" applyAlignment="1">
      <alignment vertical="center"/>
    </xf>
    <xf numFmtId="3" fontId="72" fillId="15" borderId="12" xfId="54" applyNumberFormat="1" applyFont="1" applyFill="1" applyBorder="1" applyAlignment="1">
      <alignment horizontal="right" vertical="center" wrapText="1"/>
    </xf>
    <xf numFmtId="3" fontId="72" fillId="15" borderId="12" xfId="54" applyNumberFormat="1" applyFont="1" applyFill="1" applyBorder="1" applyAlignment="1">
      <alignment horizontal="right" vertical="center"/>
    </xf>
    <xf numFmtId="3" fontId="14" fillId="15" borderId="12" xfId="54" applyNumberFormat="1" applyFill="1" applyBorder="1" applyAlignment="1">
      <alignment horizontal="right" vertical="center"/>
    </xf>
    <xf numFmtId="3" fontId="14" fillId="15" borderId="42" xfId="54" applyNumberFormat="1" applyFill="1" applyBorder="1"/>
    <xf numFmtId="0" fontId="9" fillId="0" borderId="16" xfId="38" applyFont="1" applyBorder="1" applyAlignment="1">
      <alignment vertical="center"/>
    </xf>
    <xf numFmtId="3" fontId="3" fillId="0" borderId="13" xfId="0" applyNumberFormat="1" applyFont="1" applyBorder="1"/>
    <xf numFmtId="3" fontId="75" fillId="0" borderId="0" xfId="0" applyNumberFormat="1" applyFont="1"/>
    <xf numFmtId="3" fontId="41" fillId="0" borderId="15" xfId="36" applyNumberFormat="1" applyFont="1" applyBorder="1" applyAlignment="1">
      <alignment vertical="center"/>
    </xf>
    <xf numFmtId="3" fontId="44" fillId="0" borderId="12" xfId="35" applyNumberFormat="1" applyFont="1" applyBorder="1" applyAlignment="1">
      <alignment vertical="center"/>
    </xf>
    <xf numFmtId="3" fontId="9" fillId="15" borderId="15" xfId="38" applyNumberFormat="1" applyFont="1" applyFill="1" applyBorder="1"/>
    <xf numFmtId="3" fontId="9" fillId="15" borderId="10" xfId="38" applyNumberFormat="1" applyFont="1" applyFill="1" applyBorder="1" applyAlignment="1">
      <alignment horizontal="right"/>
    </xf>
    <xf numFmtId="3" fontId="9" fillId="15" borderId="15" xfId="38" applyNumberFormat="1" applyFont="1" applyFill="1" applyBorder="1" applyAlignment="1">
      <alignment horizontal="right" vertical="center"/>
    </xf>
    <xf numFmtId="3" fontId="9" fillId="15" borderId="10" xfId="38" applyNumberFormat="1" applyFont="1" applyFill="1" applyBorder="1"/>
    <xf numFmtId="0" fontId="10" fillId="0" borderId="23" xfId="34" applyFont="1" applyBorder="1" applyAlignment="1">
      <alignment horizontal="left"/>
    </xf>
    <xf numFmtId="3" fontId="10" fillId="15" borderId="23" xfId="38" applyNumberFormat="1" applyFont="1" applyFill="1" applyBorder="1" applyAlignment="1">
      <alignment horizontal="right"/>
    </xf>
    <xf numFmtId="3" fontId="12" fillId="0" borderId="16" xfId="38" applyNumberFormat="1" applyFont="1" applyBorder="1" applyAlignment="1">
      <alignment horizontal="right"/>
    </xf>
    <xf numFmtId="3" fontId="10" fillId="0" borderId="16" xfId="38" applyNumberFormat="1" applyFont="1" applyBorder="1" applyAlignment="1">
      <alignment horizontal="right"/>
    </xf>
    <xf numFmtId="3" fontId="10" fillId="0" borderId="16" xfId="38" applyNumberFormat="1" applyFont="1" applyBorder="1"/>
    <xf numFmtId="3" fontId="17" fillId="15" borderId="12" xfId="54" applyNumberFormat="1" applyFont="1" applyFill="1" applyBorder="1" applyAlignment="1">
      <alignment vertical="center"/>
    </xf>
    <xf numFmtId="0" fontId="10" fillId="0" borderId="10" xfId="34" applyFont="1" applyBorder="1" applyAlignment="1">
      <alignment horizontal="left"/>
    </xf>
    <xf numFmtId="3" fontId="12" fillId="0" borderId="39" xfId="34" applyNumberFormat="1" applyFont="1" applyBorder="1" applyAlignment="1">
      <alignment horizontal="right"/>
    </xf>
    <xf numFmtId="0" fontId="76" fillId="0" borderId="0" xfId="54" applyFont="1"/>
    <xf numFmtId="3" fontId="76" fillId="0" borderId="0" xfId="54" applyNumberFormat="1" applyFont="1"/>
    <xf numFmtId="0" fontId="77" fillId="0" borderId="0" xfId="54" applyFont="1"/>
    <xf numFmtId="3" fontId="14" fillId="0" borderId="12" xfId="54" applyNumberFormat="1" applyBorder="1" applyAlignment="1">
      <alignment vertical="center" wrapText="1"/>
    </xf>
    <xf numFmtId="0" fontId="75" fillId="0" borderId="0" xfId="0" applyFont="1"/>
    <xf numFmtId="3" fontId="9" fillId="15" borderId="10" xfId="36" applyNumberFormat="1" applyFont="1" applyFill="1" applyBorder="1"/>
    <xf numFmtId="3" fontId="58" fillId="0" borderId="12" xfId="0" applyNumberFormat="1" applyFont="1" applyBorder="1"/>
    <xf numFmtId="3" fontId="1" fillId="0" borderId="12" xfId="0" applyNumberFormat="1" applyFont="1" applyBorder="1"/>
    <xf numFmtId="3" fontId="11" fillId="0" borderId="20" xfId="0" applyNumberFormat="1" applyFont="1" applyBorder="1"/>
    <xf numFmtId="3" fontId="51" fillId="0" borderId="20" xfId="0" applyNumberFormat="1" applyFont="1" applyBorder="1"/>
    <xf numFmtId="0" fontId="41" fillId="0" borderId="14" xfId="36" applyFont="1" applyBorder="1" applyAlignment="1">
      <alignment vertical="center"/>
    </xf>
    <xf numFmtId="3" fontId="3" fillId="0" borderId="15" xfId="36" applyNumberFormat="1" applyFont="1" applyBorder="1"/>
    <xf numFmtId="3" fontId="12" fillId="0" borderId="15" xfId="36" applyNumberFormat="1" applyFont="1" applyBorder="1" applyAlignment="1">
      <alignment vertical="center"/>
    </xf>
    <xf numFmtId="0" fontId="15" fillId="0" borderId="12" xfId="36" applyFont="1" applyBorder="1"/>
    <xf numFmtId="3" fontId="47" fillId="15" borderId="12" xfId="46" applyNumberFormat="1" applyFont="1" applyFill="1" applyBorder="1" applyAlignment="1">
      <alignment horizontal="right"/>
    </xf>
    <xf numFmtId="3" fontId="47" fillId="15" borderId="12" xfId="46" applyNumberFormat="1" applyFont="1" applyFill="1" applyBorder="1"/>
    <xf numFmtId="3" fontId="47" fillId="15" borderId="23" xfId="46" applyNumberFormat="1" applyFont="1" applyFill="1" applyBorder="1"/>
    <xf numFmtId="3" fontId="2" fillId="0" borderId="15" xfId="36" applyNumberFormat="1" applyFont="1" applyBorder="1"/>
    <xf numFmtId="3" fontId="2" fillId="0" borderId="14" xfId="36" applyNumberFormat="1" applyFont="1" applyBorder="1"/>
    <xf numFmtId="3" fontId="2" fillId="0" borderId="25" xfId="36" applyNumberFormat="1" applyFont="1" applyBorder="1"/>
    <xf numFmtId="3" fontId="2" fillId="0" borderId="28" xfId="36" applyNumberFormat="1" applyFont="1" applyBorder="1"/>
    <xf numFmtId="3" fontId="9" fillId="0" borderId="27" xfId="36" applyNumberFormat="1" applyFont="1" applyBorder="1"/>
    <xf numFmtId="3" fontId="9" fillId="0" borderId="16" xfId="36" applyNumberFormat="1" applyFont="1" applyBorder="1"/>
    <xf numFmtId="3" fontId="2" fillId="0" borderId="15" xfId="36" applyNumberFormat="1" applyFont="1" applyBorder="1" applyAlignment="1">
      <alignment vertical="center"/>
    </xf>
    <xf numFmtId="3" fontId="11" fillId="0" borderId="11" xfId="45" applyNumberFormat="1" applyFont="1" applyFill="1" applyBorder="1" applyAlignment="1">
      <alignment horizontal="right"/>
    </xf>
    <xf numFmtId="0" fontId="69" fillId="0" borderId="11" xfId="54" applyFont="1" applyBorder="1" applyAlignment="1">
      <alignment vertical="center"/>
    </xf>
    <xf numFmtId="3" fontId="47" fillId="15" borderId="23" xfId="46" applyNumberFormat="1" applyFont="1" applyFill="1" applyBorder="1" applyAlignment="1">
      <alignment horizontal="right"/>
    </xf>
    <xf numFmtId="0" fontId="47" fillId="0" borderId="19" xfId="46" applyFont="1" applyBorder="1" applyAlignment="1">
      <alignment vertical="center"/>
    </xf>
    <xf numFmtId="3" fontId="47" fillId="0" borderId="19" xfId="46" applyNumberFormat="1" applyFont="1" applyBorder="1"/>
    <xf numFmtId="3" fontId="39" fillId="0" borderId="19" xfId="46" applyNumberFormat="1" applyFont="1" applyBorder="1"/>
    <xf numFmtId="1" fontId="17" fillId="15" borderId="12" xfId="54" applyNumberFormat="1" applyFont="1" applyFill="1" applyBorder="1" applyAlignment="1">
      <alignment horizontal="center" vertical="center"/>
    </xf>
    <xf numFmtId="3" fontId="9" fillId="0" borderId="38" xfId="38" applyNumberFormat="1" applyFont="1" applyBorder="1" applyAlignment="1">
      <alignment horizontal="right"/>
    </xf>
    <xf numFmtId="3" fontId="8" fillId="0" borderId="0" xfId="57" applyNumberFormat="1" applyFont="1"/>
    <xf numFmtId="3" fontId="1" fillId="0" borderId="0" xfId="57" applyNumberFormat="1"/>
    <xf numFmtId="3" fontId="3" fillId="14" borderId="14" xfId="38" applyNumberFormat="1" applyFont="1" applyFill="1" applyBorder="1" applyAlignment="1">
      <alignment horizontal="right"/>
    </xf>
    <xf numFmtId="3" fontId="3" fillId="14" borderId="15" xfId="38" applyNumberFormat="1" applyFont="1" applyFill="1" applyBorder="1" applyAlignment="1">
      <alignment horizontal="right"/>
    </xf>
    <xf numFmtId="0" fontId="44" fillId="0" borderId="51" xfId="36" applyFont="1" applyBorder="1"/>
    <xf numFmtId="0" fontId="83" fillId="0" borderId="0" xfId="0" applyFont="1"/>
    <xf numFmtId="3" fontId="12" fillId="15" borderId="14" xfId="0" applyNumberFormat="1" applyFont="1" applyFill="1" applyBorder="1" applyAlignment="1">
      <alignment vertical="center"/>
    </xf>
    <xf numFmtId="0" fontId="18" fillId="15" borderId="31" xfId="38" applyFont="1" applyFill="1" applyBorder="1" applyProtection="1">
      <protection locked="0"/>
    </xf>
    <xf numFmtId="0" fontId="15" fillId="15" borderId="31" xfId="38" applyFont="1" applyFill="1" applyBorder="1" applyProtection="1">
      <protection locked="0"/>
    </xf>
    <xf numFmtId="3" fontId="9" fillId="15" borderId="26" xfId="38" applyNumberFormat="1" applyFont="1" applyFill="1" applyBorder="1"/>
    <xf numFmtId="0" fontId="47" fillId="15" borderId="23" xfId="46" applyFont="1" applyFill="1" applyBorder="1" applyAlignment="1">
      <alignment horizontal="left"/>
    </xf>
    <xf numFmtId="0" fontId="47" fillId="15" borderId="42" xfId="46" applyFont="1" applyFill="1" applyBorder="1" applyAlignment="1">
      <alignment horizontal="left"/>
    </xf>
    <xf numFmtId="3" fontId="12" fillId="0" borderId="20" xfId="0" applyNumberFormat="1" applyFont="1" applyBorder="1" applyAlignment="1">
      <alignment horizontal="center"/>
    </xf>
    <xf numFmtId="3" fontId="9" fillId="0" borderId="16" xfId="0" applyNumberFormat="1" applyFont="1" applyBorder="1" applyAlignment="1">
      <alignment horizontal="right"/>
    </xf>
    <xf numFmtId="3" fontId="2" fillId="0" borderId="23" xfId="26" applyNumberFormat="1" applyFont="1" applyFill="1" applyBorder="1" applyAlignment="1">
      <alignment horizontal="right"/>
    </xf>
    <xf numFmtId="3" fontId="9" fillId="0" borderId="16" xfId="0" applyNumberFormat="1" applyFont="1" applyBorder="1"/>
    <xf numFmtId="0" fontId="9" fillId="0" borderId="42" xfId="0" applyFont="1" applyBorder="1"/>
    <xf numFmtId="3" fontId="9" fillId="15" borderId="10" xfId="57" applyNumberFormat="1" applyFont="1" applyFill="1" applyBorder="1"/>
    <xf numFmtId="3" fontId="12" fillId="15" borderId="10" xfId="0" applyNumberFormat="1" applyFont="1" applyFill="1" applyBorder="1"/>
    <xf numFmtId="3" fontId="11" fillId="15" borderId="10" xfId="45" applyNumberFormat="1" applyFont="1" applyFill="1" applyBorder="1" applyAlignment="1">
      <alignment horizontal="right"/>
    </xf>
    <xf numFmtId="3" fontId="0" fillId="15" borderId="12" xfId="0" applyNumberFormat="1" applyFill="1" applyBorder="1"/>
    <xf numFmtId="0" fontId="47" fillId="0" borderId="12" xfId="46" applyFont="1" applyBorder="1" applyAlignment="1">
      <alignment horizontal="right"/>
    </xf>
    <xf numFmtId="0" fontId="47" fillId="0" borderId="23" xfId="46" applyFont="1" applyBorder="1" applyAlignment="1">
      <alignment horizontal="right"/>
    </xf>
    <xf numFmtId="3" fontId="47" fillId="0" borderId="23" xfId="46" applyNumberFormat="1" applyFont="1" applyBorder="1" applyAlignment="1">
      <alignment horizontal="right"/>
    </xf>
    <xf numFmtId="0" fontId="47" fillId="15" borderId="23" xfId="46" applyFont="1" applyFill="1" applyBorder="1"/>
    <xf numFmtId="0" fontId="0" fillId="15" borderId="42" xfId="0" applyFill="1" applyBorder="1"/>
    <xf numFmtId="3" fontId="14" fillId="0" borderId="0" xfId="54" applyNumberFormat="1"/>
    <xf numFmtId="3" fontId="42" fillId="15" borderId="11" xfId="54" applyNumberFormat="1" applyFont="1" applyFill="1" applyBorder="1" applyAlignment="1">
      <alignment vertical="center"/>
    </xf>
    <xf numFmtId="3" fontId="40" fillId="15" borderId="11" xfId="54" applyNumberFormat="1" applyFont="1" applyFill="1" applyBorder="1" applyAlignment="1">
      <alignment vertical="center"/>
    </xf>
    <xf numFmtId="3" fontId="70" fillId="15" borderId="11" xfId="54" applyNumberFormat="1" applyFont="1" applyFill="1" applyBorder="1" applyAlignment="1">
      <alignment vertical="center"/>
    </xf>
    <xf numFmtId="3" fontId="40" fillId="15" borderId="12" xfId="54" applyNumberFormat="1" applyFont="1" applyFill="1" applyBorder="1" applyAlignment="1">
      <alignment vertical="center"/>
    </xf>
    <xf numFmtId="3" fontId="42" fillId="15" borderId="12" xfId="54" applyNumberFormat="1" applyFont="1" applyFill="1" applyBorder="1" applyAlignment="1">
      <alignment vertical="center"/>
    </xf>
    <xf numFmtId="0" fontId="14" fillId="15" borderId="12" xfId="54" applyFill="1" applyBorder="1"/>
    <xf numFmtId="3" fontId="1" fillId="15" borderId="51" xfId="57" applyNumberFormat="1" applyFill="1" applyBorder="1"/>
    <xf numFmtId="3" fontId="1" fillId="15" borderId="42" xfId="57" applyNumberFormat="1" applyFill="1" applyBorder="1"/>
    <xf numFmtId="3" fontId="10" fillId="15" borderId="16" xfId="38" applyNumberFormat="1" applyFont="1" applyFill="1" applyBorder="1"/>
    <xf numFmtId="0" fontId="14" fillId="0" borderId="11" xfId="0" applyFont="1" applyBorder="1" applyAlignment="1">
      <alignment horizontal="left"/>
    </xf>
    <xf numFmtId="3" fontId="42" fillId="15" borderId="11" xfId="54" applyNumberFormat="1" applyFont="1" applyFill="1" applyBorder="1" applyAlignment="1">
      <alignment horizontal="right" vertical="center"/>
    </xf>
    <xf numFmtId="3" fontId="0" fillId="15" borderId="23" xfId="57" applyNumberFormat="1" applyFont="1" applyFill="1" applyBorder="1"/>
    <xf numFmtId="0" fontId="42" fillId="0" borderId="51" xfId="0" applyFont="1" applyBorder="1" applyAlignment="1">
      <alignment vertical="center"/>
    </xf>
    <xf numFmtId="3" fontId="42" fillId="0" borderId="11" xfId="0" applyNumberFormat="1" applyFont="1" applyBorder="1"/>
    <xf numFmtId="9" fontId="3" fillId="0" borderId="31" xfId="38" applyNumberFormat="1" applyFont="1" applyBorder="1" applyAlignment="1">
      <alignment horizontal="right" vertical="center"/>
    </xf>
    <xf numFmtId="3" fontId="62" fillId="0" borderId="60" xfId="53" applyNumberFormat="1" applyFont="1" applyBorder="1"/>
    <xf numFmtId="3" fontId="62" fillId="0" borderId="61" xfId="53" applyNumberFormat="1" applyFont="1" applyBorder="1"/>
    <xf numFmtId="3" fontId="62" fillId="0" borderId="58" xfId="53" applyNumberFormat="1" applyFont="1" applyBorder="1"/>
    <xf numFmtId="3" fontId="63" fillId="0" borderId="59" xfId="53" applyNumberFormat="1" applyFont="1" applyBorder="1"/>
    <xf numFmtId="3" fontId="50" fillId="0" borderId="59" xfId="53" applyNumberFormat="1" applyFont="1" applyBorder="1" applyAlignment="1">
      <alignment vertical="center"/>
    </xf>
    <xf numFmtId="3" fontId="50" fillId="0" borderId="61" xfId="53" applyNumberFormat="1" applyFont="1" applyBorder="1" applyAlignment="1">
      <alignment vertical="center"/>
    </xf>
    <xf numFmtId="3" fontId="62" fillId="0" borderId="31" xfId="53" applyNumberFormat="1" applyFont="1" applyBorder="1"/>
    <xf numFmtId="3" fontId="62" fillId="0" borderId="10" xfId="53" applyNumberFormat="1" applyFont="1" applyBorder="1"/>
    <xf numFmtId="3" fontId="62" fillId="0" borderId="13" xfId="53" applyNumberFormat="1" applyFont="1" applyBorder="1"/>
    <xf numFmtId="3" fontId="63" fillId="0" borderId="14" xfId="53" applyNumberFormat="1" applyFont="1" applyBorder="1"/>
    <xf numFmtId="3" fontId="50" fillId="0" borderId="14" xfId="53" applyNumberFormat="1" applyFont="1" applyBorder="1" applyAlignment="1">
      <alignment vertical="center"/>
    </xf>
    <xf numFmtId="3" fontId="50" fillId="0" borderId="10" xfId="53" applyNumberFormat="1" applyFont="1" applyBorder="1" applyAlignment="1">
      <alignment vertical="center"/>
    </xf>
    <xf numFmtId="9" fontId="9" fillId="0" borderId="12" xfId="36" applyNumberFormat="1" applyFont="1" applyBorder="1"/>
    <xf numFmtId="3" fontId="12" fillId="15" borderId="38" xfId="36" applyNumberFormat="1" applyFont="1" applyFill="1" applyBorder="1"/>
    <xf numFmtId="9" fontId="9" fillId="0" borderId="13" xfId="36" applyNumberFormat="1" applyFont="1" applyBorder="1"/>
    <xf numFmtId="9" fontId="12" fillId="0" borderId="11" xfId="36" applyNumberFormat="1" applyFont="1" applyBorder="1"/>
    <xf numFmtId="9" fontId="12" fillId="0" borderId="15" xfId="36" applyNumberFormat="1" applyFont="1" applyBorder="1"/>
    <xf numFmtId="9" fontId="2" fillId="0" borderId="11" xfId="0" applyNumberFormat="1" applyFont="1" applyBorder="1" applyAlignment="1">
      <alignment horizontal="right"/>
    </xf>
    <xf numFmtId="3" fontId="2" fillId="0" borderId="21" xfId="0" applyNumberFormat="1" applyFont="1" applyBorder="1" applyAlignment="1">
      <alignment horizontal="center"/>
    </xf>
    <xf numFmtId="3" fontId="12" fillId="0" borderId="15" xfId="0" applyNumberFormat="1" applyFont="1" applyBorder="1" applyAlignment="1">
      <alignment horizontal="right"/>
    </xf>
    <xf numFmtId="3" fontId="2" fillId="0" borderId="15" xfId="0" applyNumberFormat="1" applyFont="1" applyBorder="1" applyAlignment="1">
      <alignment horizontal="center"/>
    </xf>
    <xf numFmtId="3" fontId="2" fillId="0" borderId="15" xfId="0" applyNumberFormat="1" applyFont="1" applyBorder="1" applyAlignment="1">
      <alignment horizontal="right" vertical="center"/>
    </xf>
    <xf numFmtId="165" fontId="3" fillId="0" borderId="0" xfId="0" applyNumberFormat="1" applyFont="1" applyAlignment="1">
      <alignment horizontal="right"/>
    </xf>
    <xf numFmtId="0" fontId="0" fillId="0" borderId="0" xfId="0" applyAlignment="1">
      <alignment horizontal="center" vertical="center"/>
    </xf>
    <xf numFmtId="165" fontId="2" fillId="0" borderId="19" xfId="0" applyNumberFormat="1" applyFont="1" applyBorder="1" applyAlignment="1">
      <alignment horizontal="right"/>
    </xf>
    <xf numFmtId="3" fontId="2" fillId="0" borderId="18" xfId="0" applyNumberFormat="1" applyFont="1" applyBorder="1" applyAlignment="1">
      <alignment horizontal="center"/>
    </xf>
    <xf numFmtId="0" fontId="2" fillId="0" borderId="23" xfId="0" applyFont="1" applyBorder="1" applyAlignment="1">
      <alignment horizontal="left" vertical="center"/>
    </xf>
    <xf numFmtId="0" fontId="13" fillId="0" borderId="16" xfId="0" applyFont="1" applyBorder="1" applyAlignment="1">
      <alignment horizontal="center"/>
    </xf>
    <xf numFmtId="0" fontId="13" fillId="0" borderId="27" xfId="0" applyFont="1" applyBorder="1" applyAlignment="1">
      <alignment horizontal="left" vertical="center"/>
    </xf>
    <xf numFmtId="0" fontId="11" fillId="0" borderId="11" xfId="0" applyFont="1" applyBorder="1"/>
    <xf numFmtId="3" fontId="11" fillId="0" borderId="12" xfId="0" applyNumberFormat="1" applyFont="1" applyBorder="1"/>
    <xf numFmtId="3" fontId="43" fillId="0" borderId="42" xfId="0" applyNumberFormat="1" applyFont="1" applyBorder="1" applyAlignment="1">
      <alignment horizontal="center"/>
    </xf>
    <xf numFmtId="0" fontId="11" fillId="0" borderId="27" xfId="0" applyFont="1" applyBorder="1"/>
    <xf numFmtId="0" fontId="9" fillId="0" borderId="11" xfId="0" applyFont="1" applyBorder="1" applyAlignment="1">
      <alignment horizontal="right"/>
    </xf>
    <xf numFmtId="3" fontId="45" fillId="0" borderId="42" xfId="0" applyNumberFormat="1" applyFont="1" applyBorder="1" applyAlignment="1">
      <alignment horizontal="center"/>
    </xf>
    <xf numFmtId="3" fontId="11" fillId="0" borderId="11" xfId="0" applyNumberFormat="1" applyFont="1" applyBorder="1"/>
    <xf numFmtId="0" fontId="11" fillId="0" borderId="12" xfId="0" applyFont="1" applyBorder="1"/>
    <xf numFmtId="0" fontId="13" fillId="0" borderId="39" xfId="0" applyFont="1" applyBorder="1"/>
    <xf numFmtId="3" fontId="13" fillId="0" borderId="15" xfId="0" applyNumberFormat="1" applyFont="1" applyBorder="1" applyAlignment="1">
      <alignment horizontal="right"/>
    </xf>
    <xf numFmtId="3" fontId="49" fillId="0" borderId="15" xfId="0" applyNumberFormat="1" applyFont="1" applyBorder="1" applyAlignment="1">
      <alignment horizontal="center"/>
    </xf>
    <xf numFmtId="3" fontId="13" fillId="0" borderId="11" xfId="0" applyNumberFormat="1" applyFont="1" applyBorder="1" applyAlignment="1">
      <alignment horizontal="right"/>
    </xf>
    <xf numFmtId="3" fontId="49" fillId="0" borderId="41" xfId="0" applyNumberFormat="1" applyFont="1" applyBorder="1" applyAlignment="1">
      <alignment horizontal="center"/>
    </xf>
    <xf numFmtId="3" fontId="11" fillId="0" borderId="11" xfId="0" applyNumberFormat="1" applyFont="1" applyBorder="1" applyAlignment="1">
      <alignment horizontal="right"/>
    </xf>
    <xf numFmtId="3" fontId="49" fillId="0" borderId="42" xfId="0" applyNumberFormat="1" applyFont="1" applyBorder="1" applyAlignment="1">
      <alignment horizontal="center"/>
    </xf>
    <xf numFmtId="3" fontId="13" fillId="0" borderId="21" xfId="0" applyNumberFormat="1" applyFont="1" applyBorder="1" applyAlignment="1">
      <alignment horizontal="right"/>
    </xf>
    <xf numFmtId="3" fontId="49" fillId="0" borderId="43" xfId="0" applyNumberFormat="1" applyFont="1" applyBorder="1" applyAlignment="1">
      <alignment horizontal="center"/>
    </xf>
    <xf numFmtId="0" fontId="52" fillId="0" borderId="38" xfId="0" applyFont="1" applyBorder="1" applyAlignment="1">
      <alignment horizontal="center"/>
    </xf>
    <xf numFmtId="3" fontId="49" fillId="0" borderId="26" xfId="0" applyNumberFormat="1" applyFont="1" applyBorder="1" applyAlignment="1">
      <alignment horizontal="center"/>
    </xf>
    <xf numFmtId="3" fontId="2" fillId="0" borderId="41" xfId="0" applyNumberFormat="1" applyFont="1" applyBorder="1" applyAlignment="1">
      <alignment horizontal="center"/>
    </xf>
    <xf numFmtId="3" fontId="2" fillId="0" borderId="42" xfId="0" applyNumberFormat="1" applyFont="1" applyBorder="1" applyAlignment="1">
      <alignment horizontal="center"/>
    </xf>
    <xf numFmtId="3" fontId="13" fillId="0" borderId="10" xfId="0" applyNumberFormat="1" applyFont="1" applyBorder="1" applyAlignment="1">
      <alignment horizontal="right"/>
    </xf>
    <xf numFmtId="3" fontId="45" fillId="0" borderId="46" xfId="0" applyNumberFormat="1" applyFont="1" applyBorder="1" applyAlignment="1">
      <alignment horizontal="center"/>
    </xf>
    <xf numFmtId="3" fontId="11" fillId="0" borderId="21" xfId="0" applyNumberFormat="1" applyFont="1" applyBorder="1" applyAlignment="1">
      <alignment horizontal="right"/>
    </xf>
    <xf numFmtId="0" fontId="13" fillId="0" borderId="27" xfId="0" applyFont="1" applyBorder="1"/>
    <xf numFmtId="0" fontId="13" fillId="0" borderId="23" xfId="0" applyFont="1" applyBorder="1" applyAlignment="1">
      <alignment horizontal="left" vertical="top"/>
    </xf>
    <xf numFmtId="3" fontId="49" fillId="0" borderId="11" xfId="0" applyNumberFormat="1" applyFont="1" applyBorder="1" applyAlignment="1">
      <alignment horizontal="center"/>
    </xf>
    <xf numFmtId="3" fontId="45" fillId="0" borderId="11" xfId="0" applyNumberFormat="1" applyFont="1" applyBorder="1" applyAlignment="1">
      <alignment horizontal="center"/>
    </xf>
    <xf numFmtId="3" fontId="49" fillId="0" borderId="14" xfId="0" applyNumberFormat="1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3" fillId="0" borderId="27" xfId="0" applyFont="1" applyBorder="1" applyAlignment="1">
      <alignment horizontal="left" vertical="top"/>
    </xf>
    <xf numFmtId="3" fontId="45" fillId="0" borderId="41" xfId="0" applyNumberFormat="1" applyFont="1" applyBorder="1" applyAlignment="1">
      <alignment horizontal="center"/>
    </xf>
    <xf numFmtId="3" fontId="2" fillId="0" borderId="43" xfId="0" applyNumberFormat="1" applyFont="1" applyBorder="1" applyAlignment="1">
      <alignment horizontal="center"/>
    </xf>
    <xf numFmtId="0" fontId="13" fillId="0" borderId="38" xfId="0" applyFont="1" applyBorder="1" applyAlignment="1">
      <alignment horizontal="center"/>
    </xf>
    <xf numFmtId="3" fontId="2" fillId="0" borderId="45" xfId="0" applyNumberFormat="1" applyFont="1" applyBorder="1" applyAlignment="1">
      <alignment horizontal="center"/>
    </xf>
    <xf numFmtId="0" fontId="13" fillId="0" borderId="11" xfId="0" applyFont="1" applyBorder="1"/>
    <xf numFmtId="3" fontId="19" fillId="0" borderId="42" xfId="0" applyNumberFormat="1" applyFont="1" applyBorder="1" applyAlignment="1">
      <alignment horizontal="center"/>
    </xf>
    <xf numFmtId="3" fontId="11" fillId="0" borderId="14" xfId="0" applyNumberFormat="1" applyFont="1" applyBorder="1" applyAlignment="1">
      <alignment horizontal="right"/>
    </xf>
    <xf numFmtId="0" fontId="13" fillId="0" borderId="18" xfId="0" applyFont="1" applyBorder="1"/>
    <xf numFmtId="0" fontId="13" fillId="0" borderId="32" xfId="0" applyFont="1" applyBorder="1" applyAlignment="1">
      <alignment horizontal="left" vertical="top"/>
    </xf>
    <xf numFmtId="3" fontId="3" fillId="0" borderId="11" xfId="0" applyNumberFormat="1" applyFont="1" applyBorder="1" applyAlignment="1">
      <alignment horizontal="center"/>
    </xf>
    <xf numFmtId="3" fontId="10" fillId="0" borderId="11" xfId="0" applyNumberFormat="1" applyFont="1" applyBorder="1" applyAlignment="1">
      <alignment horizontal="center"/>
    </xf>
    <xf numFmtId="3" fontId="11" fillId="0" borderId="10" xfId="0" applyNumberFormat="1" applyFont="1" applyBorder="1" applyAlignment="1">
      <alignment horizontal="right"/>
    </xf>
    <xf numFmtId="3" fontId="12" fillId="0" borderId="11" xfId="0" applyNumberFormat="1" applyFont="1" applyBorder="1" applyAlignment="1">
      <alignment horizontal="center"/>
    </xf>
    <xf numFmtId="0" fontId="2" fillId="0" borderId="27" xfId="0" applyFont="1" applyBorder="1" applyAlignment="1">
      <alignment horizontal="left" vertical="top"/>
    </xf>
    <xf numFmtId="3" fontId="6" fillId="0" borderId="11" xfId="0" applyNumberFormat="1" applyFont="1" applyBorder="1" applyAlignment="1">
      <alignment horizontal="center"/>
    </xf>
    <xf numFmtId="9" fontId="9" fillId="0" borderId="11" xfId="0" applyNumberFormat="1" applyFont="1" applyBorder="1" applyAlignment="1">
      <alignment horizontal="right"/>
    </xf>
    <xf numFmtId="3" fontId="43" fillId="0" borderId="11" xfId="0" applyNumberFormat="1" applyFont="1" applyBorder="1" applyAlignment="1">
      <alignment horizontal="center"/>
    </xf>
    <xf numFmtId="3" fontId="3" fillId="0" borderId="12" xfId="0" applyNumberFormat="1" applyFont="1" applyBorder="1" applyAlignment="1">
      <alignment horizontal="center"/>
    </xf>
    <xf numFmtId="0" fontId="11" fillId="0" borderId="23" xfId="0" applyFont="1" applyBorder="1"/>
    <xf numFmtId="0" fontId="11" fillId="0" borderId="16" xfId="0" applyFont="1" applyBorder="1"/>
    <xf numFmtId="3" fontId="3" fillId="0" borderId="10" xfId="0" applyNumberFormat="1" applyFont="1" applyBorder="1" applyAlignment="1">
      <alignment horizontal="center"/>
    </xf>
    <xf numFmtId="3" fontId="2" fillId="0" borderId="15" xfId="0" applyNumberFormat="1" applyFont="1" applyBorder="1" applyAlignment="1">
      <alignment horizontal="right"/>
    </xf>
    <xf numFmtId="0" fontId="3" fillId="0" borderId="23" xfId="0" applyFont="1" applyBorder="1"/>
    <xf numFmtId="0" fontId="12" fillId="0" borderId="18" xfId="0" applyFont="1" applyBorder="1"/>
    <xf numFmtId="3" fontId="10" fillId="0" borderId="12" xfId="0" applyNumberFormat="1" applyFont="1" applyBorder="1" applyAlignment="1">
      <alignment horizontal="center"/>
    </xf>
    <xf numFmtId="3" fontId="9" fillId="0" borderId="11" xfId="0" applyNumberFormat="1" applyFont="1" applyBorder="1" applyAlignment="1">
      <alignment horizontal="right"/>
    </xf>
    <xf numFmtId="3" fontId="9" fillId="0" borderId="12" xfId="0" applyNumberFormat="1" applyFont="1" applyBorder="1" applyAlignment="1">
      <alignment horizontal="center"/>
    </xf>
    <xf numFmtId="3" fontId="2" fillId="0" borderId="14" xfId="0" applyNumberFormat="1" applyFont="1" applyBorder="1" applyAlignment="1">
      <alignment horizontal="right"/>
    </xf>
    <xf numFmtId="3" fontId="3" fillId="0" borderId="14" xfId="0" applyNumberFormat="1" applyFont="1" applyBorder="1" applyAlignment="1">
      <alignment horizontal="right"/>
    </xf>
    <xf numFmtId="0" fontId="2" fillId="0" borderId="54" xfId="0" applyFont="1" applyBorder="1" applyAlignment="1">
      <alignment horizontal="center"/>
    </xf>
    <xf numFmtId="3" fontId="19" fillId="0" borderId="12" xfId="0" applyNumberFormat="1" applyFont="1" applyBorder="1" applyAlignment="1">
      <alignment horizontal="center"/>
    </xf>
    <xf numFmtId="3" fontId="10" fillId="0" borderId="14" xfId="0" applyNumberFormat="1" applyFont="1" applyBorder="1" applyAlignment="1">
      <alignment horizontal="center"/>
    </xf>
    <xf numFmtId="0" fontId="2" fillId="0" borderId="18" xfId="0" applyFont="1" applyBorder="1"/>
    <xf numFmtId="3" fontId="12" fillId="0" borderId="12" xfId="0" applyNumberFormat="1" applyFont="1" applyBorder="1" applyAlignment="1">
      <alignment horizontal="center"/>
    </xf>
    <xf numFmtId="3" fontId="9" fillId="0" borderId="14" xfId="0" applyNumberFormat="1" applyFont="1" applyBorder="1" applyAlignment="1">
      <alignment horizontal="right"/>
    </xf>
    <xf numFmtId="3" fontId="51" fillId="0" borderId="11" xfId="0" applyNumberFormat="1" applyFont="1" applyBorder="1" applyAlignment="1">
      <alignment horizontal="center"/>
    </xf>
    <xf numFmtId="3" fontId="11" fillId="0" borderId="11" xfId="0" applyNumberFormat="1" applyFont="1" applyBorder="1" applyAlignment="1">
      <alignment horizontal="center"/>
    </xf>
    <xf numFmtId="3" fontId="52" fillId="0" borderId="14" xfId="0" applyNumberFormat="1" applyFont="1" applyBorder="1" applyAlignment="1">
      <alignment horizontal="center"/>
    </xf>
    <xf numFmtId="3" fontId="52" fillId="0" borderId="15" xfId="0" applyNumberFormat="1" applyFont="1" applyBorder="1" applyAlignment="1">
      <alignment horizontal="center"/>
    </xf>
    <xf numFmtId="3" fontId="13" fillId="0" borderId="11" xfId="0" applyNumberFormat="1" applyFont="1" applyBorder="1" applyAlignment="1">
      <alignment horizontal="center"/>
    </xf>
    <xf numFmtId="3" fontId="52" fillId="0" borderId="12" xfId="0" applyNumberFormat="1" applyFont="1" applyBorder="1" applyAlignment="1">
      <alignment horizontal="center"/>
    </xf>
    <xf numFmtId="3" fontId="51" fillId="0" borderId="12" xfId="0" applyNumberFormat="1" applyFont="1" applyBorder="1" applyAlignment="1">
      <alignment horizontal="center"/>
    </xf>
    <xf numFmtId="3" fontId="51" fillId="0" borderId="14" xfId="0" applyNumberFormat="1" applyFont="1" applyBorder="1" applyAlignment="1">
      <alignment horizontal="center"/>
    </xf>
    <xf numFmtId="0" fontId="11" fillId="0" borderId="13" xfId="0" applyFont="1" applyBorder="1"/>
    <xf numFmtId="3" fontId="13" fillId="0" borderId="15" xfId="0" applyNumberFormat="1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10" fillId="0" borderId="12" xfId="0" applyFont="1" applyBorder="1"/>
    <xf numFmtId="0" fontId="51" fillId="0" borderId="32" xfId="0" applyFont="1" applyBorder="1"/>
    <xf numFmtId="3" fontId="10" fillId="0" borderId="11" xfId="0" applyNumberFormat="1" applyFont="1" applyBorder="1" applyAlignment="1">
      <alignment horizontal="right"/>
    </xf>
    <xf numFmtId="0" fontId="51" fillId="0" borderId="23" xfId="0" applyFont="1" applyBorder="1"/>
    <xf numFmtId="0" fontId="51" fillId="0" borderId="17" xfId="0" applyFont="1" applyBorder="1"/>
    <xf numFmtId="3" fontId="10" fillId="0" borderId="21" xfId="0" applyNumberFormat="1" applyFont="1" applyBorder="1" applyAlignment="1">
      <alignment horizontal="right"/>
    </xf>
    <xf numFmtId="3" fontId="2" fillId="0" borderId="13" xfId="0" applyNumberFormat="1" applyFont="1" applyBorder="1" applyAlignment="1">
      <alignment horizontal="center"/>
    </xf>
    <xf numFmtId="3" fontId="3" fillId="0" borderId="27" xfId="0" applyNumberFormat="1" applyFont="1" applyBorder="1"/>
    <xf numFmtId="3" fontId="9" fillId="0" borderId="11" xfId="0" applyNumberFormat="1" applyFont="1" applyBorder="1" applyAlignment="1">
      <alignment horizontal="center"/>
    </xf>
    <xf numFmtId="3" fontId="10" fillId="0" borderId="10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 vertical="center"/>
    </xf>
    <xf numFmtId="165" fontId="2" fillId="0" borderId="15" xfId="0" applyNumberFormat="1" applyFont="1" applyBorder="1" applyAlignment="1">
      <alignment horizontal="center"/>
    </xf>
    <xf numFmtId="0" fontId="10" fillId="0" borderId="27" xfId="0" applyFont="1" applyBorder="1"/>
    <xf numFmtId="3" fontId="19" fillId="0" borderId="11" xfId="0" applyNumberFormat="1" applyFont="1" applyBorder="1" applyAlignment="1">
      <alignment horizontal="center"/>
    </xf>
    <xf numFmtId="0" fontId="10" fillId="0" borderId="32" xfId="0" applyFont="1" applyBorder="1"/>
    <xf numFmtId="0" fontId="10" fillId="0" borderId="38" xfId="0" applyFont="1" applyBorder="1"/>
    <xf numFmtId="0" fontId="51" fillId="0" borderId="38" xfId="0" applyFont="1" applyBorder="1"/>
    <xf numFmtId="3" fontId="10" fillId="0" borderId="14" xfId="0" applyNumberFormat="1" applyFont="1" applyBorder="1" applyAlignment="1">
      <alignment horizontal="right"/>
    </xf>
    <xf numFmtId="3" fontId="52" fillId="0" borderId="18" xfId="0" applyNumberFormat="1" applyFont="1" applyBorder="1" applyAlignment="1">
      <alignment horizontal="center"/>
    </xf>
    <xf numFmtId="3" fontId="11" fillId="0" borderId="27" xfId="0" applyNumberFormat="1" applyFont="1" applyBorder="1"/>
    <xf numFmtId="3" fontId="52" fillId="0" borderId="21" xfId="0" applyNumberFormat="1" applyFont="1" applyBorder="1" applyAlignment="1">
      <alignment horizontal="center"/>
    </xf>
    <xf numFmtId="3" fontId="13" fillId="0" borderId="14" xfId="0" applyNumberFormat="1" applyFont="1" applyBorder="1" applyAlignment="1">
      <alignment horizontal="right"/>
    </xf>
    <xf numFmtId="3" fontId="51" fillId="0" borderId="11" xfId="0" applyNumberFormat="1" applyFont="1" applyBorder="1" applyAlignment="1">
      <alignment horizontal="right"/>
    </xf>
    <xf numFmtId="3" fontId="52" fillId="0" borderId="11" xfId="0" applyNumberFormat="1" applyFont="1" applyBorder="1" applyAlignment="1">
      <alignment horizontal="center"/>
    </xf>
    <xf numFmtId="3" fontId="51" fillId="0" borderId="21" xfId="0" applyNumberFormat="1" applyFont="1" applyBorder="1" applyAlignment="1">
      <alignment horizontal="right"/>
    </xf>
    <xf numFmtId="3" fontId="10" fillId="0" borderId="21" xfId="0" applyNumberFormat="1" applyFont="1" applyBorder="1" applyAlignment="1">
      <alignment horizontal="center"/>
    </xf>
    <xf numFmtId="9" fontId="2" fillId="0" borderId="15" xfId="0" applyNumberFormat="1" applyFont="1" applyBorder="1" applyAlignment="1">
      <alignment horizontal="right"/>
    </xf>
    <xf numFmtId="3" fontId="3" fillId="0" borderId="15" xfId="0" applyNumberFormat="1" applyFont="1" applyBorder="1" applyAlignment="1">
      <alignment horizontal="center"/>
    </xf>
    <xf numFmtId="0" fontId="51" fillId="0" borderId="27" xfId="0" applyFont="1" applyBorder="1"/>
    <xf numFmtId="3" fontId="6" fillId="0" borderId="11" xfId="0" applyNumberFormat="1" applyFont="1" applyBorder="1" applyAlignment="1">
      <alignment horizontal="right"/>
    </xf>
    <xf numFmtId="0" fontId="4" fillId="0" borderId="41" xfId="0" applyFont="1" applyBorder="1" applyAlignment="1">
      <alignment horizontal="center"/>
    </xf>
    <xf numFmtId="3" fontId="6" fillId="0" borderId="14" xfId="0" applyNumberFormat="1" applyFont="1" applyBorder="1" applyAlignment="1">
      <alignment horizontal="right"/>
    </xf>
    <xf numFmtId="0" fontId="4" fillId="0" borderId="26" xfId="0" applyFont="1" applyBorder="1" applyAlignment="1">
      <alignment horizontal="center"/>
    </xf>
    <xf numFmtId="3" fontId="6" fillId="0" borderId="10" xfId="0" applyNumberFormat="1" applyFont="1" applyBorder="1" applyAlignment="1">
      <alignment horizontal="right"/>
    </xf>
    <xf numFmtId="0" fontId="4" fillId="0" borderId="20" xfId="0" applyFont="1" applyBorder="1" applyAlignment="1">
      <alignment horizontal="center"/>
    </xf>
    <xf numFmtId="0" fontId="4" fillId="0" borderId="42" xfId="0" applyFont="1" applyBorder="1"/>
    <xf numFmtId="0" fontId="1" fillId="0" borderId="42" xfId="0" applyFont="1" applyBorder="1"/>
    <xf numFmtId="0" fontId="56" fillId="0" borderId="42" xfId="0" applyFont="1" applyBorder="1" applyAlignment="1">
      <alignment horizontal="center"/>
    </xf>
    <xf numFmtId="0" fontId="1" fillId="0" borderId="12" xfId="0" applyFont="1" applyBorder="1"/>
    <xf numFmtId="0" fontId="4" fillId="0" borderId="15" xfId="0" applyFont="1" applyBorder="1" applyAlignment="1">
      <alignment horizontal="center"/>
    </xf>
    <xf numFmtId="0" fontId="4" fillId="0" borderId="41" xfId="0" applyFont="1" applyBorder="1"/>
    <xf numFmtId="0" fontId="56" fillId="0" borderId="12" xfId="0" applyFont="1" applyBorder="1"/>
    <xf numFmtId="0" fontId="0" fillId="0" borderId="42" xfId="0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58" fillId="0" borderId="12" xfId="0" applyFont="1" applyBorder="1"/>
    <xf numFmtId="0" fontId="2" fillId="0" borderId="18" xfId="0" applyFont="1" applyBorder="1" applyAlignment="1">
      <alignment horizontal="left" vertical="top"/>
    </xf>
    <xf numFmtId="3" fontId="3" fillId="0" borderId="41" xfId="0" applyNumberFormat="1" applyFont="1" applyBorder="1" applyAlignment="1">
      <alignment horizontal="center"/>
    </xf>
    <xf numFmtId="3" fontId="9" fillId="0" borderId="14" xfId="0" applyNumberFormat="1" applyFont="1" applyBorder="1" applyAlignment="1">
      <alignment horizontal="center"/>
    </xf>
    <xf numFmtId="3" fontId="10" fillId="0" borderId="41" xfId="0" applyNumberFormat="1" applyFont="1" applyBorder="1" applyAlignment="1">
      <alignment horizontal="center"/>
    </xf>
    <xf numFmtId="0" fontId="58" fillId="0" borderId="42" xfId="0" applyFont="1" applyBorder="1" applyAlignment="1">
      <alignment horizontal="center"/>
    </xf>
    <xf numFmtId="3" fontId="2" fillId="0" borderId="39" xfId="0" applyNumberFormat="1" applyFont="1" applyBorder="1" applyAlignment="1">
      <alignment horizontal="right"/>
    </xf>
    <xf numFmtId="0" fontId="1" fillId="0" borderId="41" xfId="0" applyFont="1" applyBorder="1" applyAlignment="1">
      <alignment horizontal="center"/>
    </xf>
    <xf numFmtId="0" fontId="13" fillId="0" borderId="40" xfId="0" applyFont="1" applyBorder="1"/>
    <xf numFmtId="0" fontId="13" fillId="0" borderId="12" xfId="0" applyFont="1" applyBorder="1"/>
    <xf numFmtId="3" fontId="2" fillId="0" borderId="18" xfId="0" applyNumberFormat="1" applyFont="1" applyBorder="1" applyAlignment="1">
      <alignment horizontal="right"/>
    </xf>
    <xf numFmtId="3" fontId="9" fillId="0" borderId="13" xfId="0" applyNumberFormat="1" applyFont="1" applyBorder="1" applyAlignment="1">
      <alignment horizontal="center"/>
    </xf>
    <xf numFmtId="3" fontId="10" fillId="0" borderId="13" xfId="0" applyNumberFormat="1" applyFont="1" applyBorder="1" applyAlignment="1">
      <alignment horizontal="center"/>
    </xf>
    <xf numFmtId="3" fontId="13" fillId="0" borderId="14" xfId="0" applyNumberFormat="1" applyFont="1" applyBorder="1" applyAlignment="1">
      <alignment horizontal="center"/>
    </xf>
    <xf numFmtId="3" fontId="13" fillId="0" borderId="15" xfId="0" applyNumberFormat="1" applyFont="1" applyBorder="1" applyAlignment="1">
      <alignment horizontal="center"/>
    </xf>
    <xf numFmtId="0" fontId="13" fillId="0" borderId="32" xfId="0" applyFont="1" applyBorder="1"/>
    <xf numFmtId="3" fontId="13" fillId="0" borderId="18" xfId="0" applyNumberFormat="1" applyFont="1" applyBorder="1" applyAlignment="1">
      <alignment horizontal="right"/>
    </xf>
    <xf numFmtId="3" fontId="13" fillId="0" borderId="18" xfId="0" applyNumberFormat="1" applyFont="1" applyBorder="1" applyAlignment="1">
      <alignment horizontal="center"/>
    </xf>
    <xf numFmtId="0" fontId="13" fillId="0" borderId="16" xfId="0" applyFont="1" applyBorder="1"/>
    <xf numFmtId="3" fontId="11" fillId="0" borderId="10" xfId="0" applyNumberFormat="1" applyFont="1" applyBorder="1" applyAlignment="1">
      <alignment horizontal="center"/>
    </xf>
    <xf numFmtId="3" fontId="11" fillId="0" borderId="12" xfId="0" applyNumberFormat="1" applyFont="1" applyBorder="1" applyAlignment="1">
      <alignment horizontal="center"/>
    </xf>
    <xf numFmtId="3" fontId="12" fillId="0" borderId="14" xfId="0" applyNumberFormat="1" applyFont="1" applyBorder="1"/>
    <xf numFmtId="9" fontId="3" fillId="15" borderId="31" xfId="45" applyFont="1" applyFill="1" applyBorder="1"/>
    <xf numFmtId="9" fontId="3" fillId="15" borderId="10" xfId="45" applyFont="1" applyFill="1" applyBorder="1"/>
    <xf numFmtId="0" fontId="3" fillId="0" borderId="39" xfId="0" applyFont="1" applyBorder="1" applyAlignment="1">
      <alignment horizontal="center"/>
    </xf>
    <xf numFmtId="3" fontId="13" fillId="0" borderId="15" xfId="0" applyNumberFormat="1" applyFont="1" applyBorder="1"/>
    <xf numFmtId="9" fontId="10" fillId="0" borderId="10" xfId="0" applyNumberFormat="1" applyFont="1" applyBorder="1" applyAlignment="1">
      <alignment horizontal="right"/>
    </xf>
    <xf numFmtId="3" fontId="10" fillId="0" borderId="16" xfId="0" applyNumberFormat="1" applyFont="1" applyBorder="1" applyAlignment="1">
      <alignment horizontal="right"/>
    </xf>
    <xf numFmtId="3" fontId="51" fillId="0" borderId="10" xfId="0" applyNumberFormat="1" applyFont="1" applyBorder="1"/>
    <xf numFmtId="0" fontId="51" fillId="0" borderId="20" xfId="0" applyFont="1" applyBorder="1" applyAlignment="1">
      <alignment horizontal="left"/>
    </xf>
    <xf numFmtId="3" fontId="51" fillId="0" borderId="10" xfId="45" applyNumberFormat="1" applyFont="1" applyFill="1" applyBorder="1" applyAlignment="1">
      <alignment horizontal="right"/>
    </xf>
    <xf numFmtId="9" fontId="51" fillId="0" borderId="10" xfId="0" applyNumberFormat="1" applyFont="1" applyBorder="1"/>
    <xf numFmtId="0" fontId="51" fillId="0" borderId="10" xfId="0" applyFont="1" applyBorder="1" applyAlignment="1">
      <alignment horizontal="left"/>
    </xf>
    <xf numFmtId="9" fontId="13" fillId="0" borderId="12" xfId="0" applyNumberFormat="1" applyFont="1" applyBorder="1"/>
    <xf numFmtId="9" fontId="13" fillId="0" borderId="10" xfId="0" applyNumberFormat="1" applyFont="1" applyBorder="1"/>
    <xf numFmtId="9" fontId="9" fillId="0" borderId="12" xfId="0" applyNumberFormat="1" applyFont="1" applyBorder="1"/>
    <xf numFmtId="0" fontId="70" fillId="0" borderId="12" xfId="54" applyFont="1" applyBorder="1" applyAlignment="1">
      <alignment horizontal="right" vertical="center" wrapText="1"/>
    </xf>
    <xf numFmtId="3" fontId="41" fillId="0" borderId="11" xfId="0" applyNumberFormat="1" applyFont="1" applyBorder="1" applyAlignment="1">
      <alignment horizontal="right" vertical="center"/>
    </xf>
    <xf numFmtId="0" fontId="10" fillId="0" borderId="16" xfId="34" applyFont="1" applyBorder="1"/>
    <xf numFmtId="0" fontId="10" fillId="0" borderId="16" xfId="34" applyFont="1" applyBorder="1" applyAlignment="1">
      <alignment horizontal="left" vertical="center" wrapText="1"/>
    </xf>
    <xf numFmtId="3" fontId="10" fillId="15" borderId="16" xfId="38" applyNumberFormat="1" applyFont="1" applyFill="1" applyBorder="1" applyAlignment="1">
      <alignment vertical="center"/>
    </xf>
    <xf numFmtId="9" fontId="12" fillId="0" borderId="10" xfId="38" applyNumberFormat="1" applyFont="1" applyBorder="1" applyAlignment="1">
      <alignment horizontal="right" vertical="center"/>
    </xf>
    <xf numFmtId="0" fontId="12" fillId="0" borderId="16" xfId="34" applyFont="1" applyBorder="1" applyAlignment="1">
      <alignment horizontal="left"/>
    </xf>
    <xf numFmtId="3" fontId="2" fillId="0" borderId="31" xfId="0" applyNumberFormat="1" applyFont="1" applyBorder="1" applyAlignment="1">
      <alignment horizontal="right"/>
    </xf>
    <xf numFmtId="0" fontId="4" fillId="0" borderId="31" xfId="0" applyFont="1" applyBorder="1" applyAlignment="1">
      <alignment horizontal="center"/>
    </xf>
    <xf numFmtId="9" fontId="2" fillId="0" borderId="10" xfId="0" applyNumberFormat="1" applyFont="1" applyBorder="1" applyAlignment="1">
      <alignment horizontal="right"/>
    </xf>
    <xf numFmtId="3" fontId="2" fillId="0" borderId="31" xfId="0" applyNumberFormat="1" applyFont="1" applyBorder="1" applyAlignment="1">
      <alignment horizontal="center"/>
    </xf>
    <xf numFmtId="9" fontId="9" fillId="0" borderId="21" xfId="36" applyNumberFormat="1" applyFont="1" applyBorder="1"/>
    <xf numFmtId="9" fontId="12" fillId="0" borderId="21" xfId="36" applyNumberFormat="1" applyFont="1" applyBorder="1"/>
    <xf numFmtId="9" fontId="12" fillId="0" borderId="14" xfId="36" applyNumberFormat="1" applyFont="1" applyBorder="1"/>
    <xf numFmtId="9" fontId="9" fillId="0" borderId="11" xfId="36" applyNumberFormat="1" applyFont="1" applyBorder="1"/>
    <xf numFmtId="9" fontId="9" fillId="0" borderId="15" xfId="36" applyNumberFormat="1" applyFont="1" applyBorder="1"/>
    <xf numFmtId="9" fontId="12" fillId="0" borderId="33" xfId="36" applyNumberFormat="1" applyFont="1" applyBorder="1"/>
    <xf numFmtId="9" fontId="12" fillId="0" borderId="28" xfId="36" applyNumberFormat="1" applyFont="1" applyBorder="1"/>
    <xf numFmtId="9" fontId="12" fillId="0" borderId="11" xfId="0" applyNumberFormat="1" applyFont="1" applyBorder="1"/>
    <xf numFmtId="9" fontId="9" fillId="0" borderId="21" xfId="0" applyNumberFormat="1" applyFont="1" applyBorder="1"/>
    <xf numFmtId="9" fontId="12" fillId="0" borderId="15" xfId="0" applyNumberFormat="1" applyFont="1" applyBorder="1"/>
    <xf numFmtId="9" fontId="12" fillId="0" borderId="21" xfId="0" applyNumberFormat="1" applyFont="1" applyBorder="1"/>
    <xf numFmtId="9" fontId="12" fillId="0" borderId="14" xfId="0" applyNumberFormat="1" applyFont="1" applyBorder="1"/>
    <xf numFmtId="9" fontId="9" fillId="0" borderId="15" xfId="0" applyNumberFormat="1" applyFont="1" applyBorder="1"/>
    <xf numFmtId="9" fontId="9" fillId="0" borderId="18" xfId="0" applyNumberFormat="1" applyFont="1" applyBorder="1"/>
    <xf numFmtId="9" fontId="2" fillId="0" borderId="21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9" fontId="9" fillId="0" borderId="12" xfId="0" applyNumberFormat="1" applyFont="1" applyBorder="1" applyAlignment="1">
      <alignment horizontal="right"/>
    </xf>
    <xf numFmtId="9" fontId="9" fillId="0" borderId="14" xfId="0" applyNumberFormat="1" applyFont="1" applyBorder="1" applyAlignment="1">
      <alignment horizontal="right"/>
    </xf>
    <xf numFmtId="9" fontId="9" fillId="0" borderId="21" xfId="0" applyNumberFormat="1" applyFont="1" applyBorder="1" applyAlignment="1">
      <alignment horizontal="right"/>
    </xf>
    <xf numFmtId="9" fontId="2" fillId="0" borderId="12" xfId="0" applyNumberFormat="1" applyFont="1" applyBorder="1" applyAlignment="1">
      <alignment horizontal="right"/>
    </xf>
    <xf numFmtId="9" fontId="10" fillId="0" borderId="11" xfId="0" applyNumberFormat="1" applyFont="1" applyBorder="1" applyAlignment="1">
      <alignment horizontal="right"/>
    </xf>
    <xf numFmtId="3" fontId="10" fillId="15" borderId="11" xfId="0" applyNumberFormat="1" applyFont="1" applyFill="1" applyBorder="1" applyAlignment="1">
      <alignment horizontal="right"/>
    </xf>
    <xf numFmtId="3" fontId="10" fillId="15" borderId="21" xfId="0" applyNumberFormat="1" applyFont="1" applyFill="1" applyBorder="1" applyAlignment="1">
      <alignment horizontal="right"/>
    </xf>
    <xf numFmtId="9" fontId="10" fillId="0" borderId="21" xfId="0" applyNumberFormat="1" applyFont="1" applyBorder="1" applyAlignment="1">
      <alignment horizontal="right"/>
    </xf>
    <xf numFmtId="3" fontId="10" fillId="15" borderId="10" xfId="0" applyNumberFormat="1" applyFont="1" applyFill="1" applyBorder="1" applyAlignment="1">
      <alignment horizontal="right"/>
    </xf>
    <xf numFmtId="9" fontId="9" fillId="0" borderId="18" xfId="0" applyNumberFormat="1" applyFont="1" applyBorder="1" applyAlignment="1">
      <alignment horizontal="right"/>
    </xf>
    <xf numFmtId="3" fontId="10" fillId="15" borderId="14" xfId="0" applyNumberFormat="1" applyFont="1" applyFill="1" applyBorder="1" applyAlignment="1">
      <alignment horizontal="right"/>
    </xf>
    <xf numFmtId="9" fontId="9" fillId="0" borderId="15" xfId="0" applyNumberFormat="1" applyFont="1" applyBorder="1" applyAlignment="1">
      <alignment horizontal="right"/>
    </xf>
    <xf numFmtId="3" fontId="51" fillId="15" borderId="11" xfId="0" applyNumberFormat="1" applyFont="1" applyFill="1" applyBorder="1" applyAlignment="1">
      <alignment horizontal="right"/>
    </xf>
    <xf numFmtId="3" fontId="51" fillId="15" borderId="21" xfId="0" applyNumberFormat="1" applyFont="1" applyFill="1" applyBorder="1" applyAlignment="1">
      <alignment horizontal="right"/>
    </xf>
    <xf numFmtId="9" fontId="10" fillId="0" borderId="18" xfId="0" applyNumberFormat="1" applyFont="1" applyBorder="1" applyAlignment="1">
      <alignment horizontal="right"/>
    </xf>
    <xf numFmtId="9" fontId="10" fillId="0" borderId="14" xfId="0" applyNumberFormat="1" applyFont="1" applyBorder="1" applyAlignment="1">
      <alignment horizontal="right"/>
    </xf>
    <xf numFmtId="9" fontId="12" fillId="15" borderId="15" xfId="45" applyFont="1" applyFill="1" applyBorder="1"/>
    <xf numFmtId="9" fontId="12" fillId="15" borderId="14" xfId="45" applyFont="1" applyFill="1" applyBorder="1"/>
    <xf numFmtId="9" fontId="12" fillId="0" borderId="12" xfId="0" applyNumberFormat="1" applyFont="1" applyBorder="1" applyAlignment="1">
      <alignment horizontal="right"/>
    </xf>
    <xf numFmtId="9" fontId="12" fillId="0" borderId="10" xfId="0" applyNumberFormat="1" applyFont="1" applyBorder="1" applyAlignment="1">
      <alignment horizontal="right"/>
    </xf>
    <xf numFmtId="9" fontId="12" fillId="0" borderId="11" xfId="0" applyNumberFormat="1" applyFont="1" applyBorder="1" applyAlignment="1">
      <alignment horizontal="right"/>
    </xf>
    <xf numFmtId="9" fontId="51" fillId="0" borderId="11" xfId="0" applyNumberFormat="1" applyFont="1" applyBorder="1"/>
    <xf numFmtId="0" fontId="43" fillId="0" borderId="17" xfId="35" applyFont="1" applyBorder="1"/>
    <xf numFmtId="3" fontId="44" fillId="0" borderId="35" xfId="35" applyNumberFormat="1" applyFont="1" applyBorder="1"/>
    <xf numFmtId="3" fontId="44" fillId="0" borderId="0" xfId="35" applyNumberFormat="1" applyFont="1"/>
    <xf numFmtId="0" fontId="44" fillId="0" borderId="62" xfId="35" applyFont="1" applyBorder="1"/>
    <xf numFmtId="0" fontId="44" fillId="0" borderId="35" xfId="35" applyFont="1" applyBorder="1"/>
    <xf numFmtId="3" fontId="43" fillId="0" borderId="0" xfId="35" applyNumberFormat="1" applyFont="1"/>
    <xf numFmtId="3" fontId="44" fillId="0" borderId="62" xfId="35" applyNumberFormat="1" applyFont="1" applyBorder="1"/>
    <xf numFmtId="3" fontId="51" fillId="15" borderId="14" xfId="0" applyNumberFormat="1" applyFont="1" applyFill="1" applyBorder="1" applyAlignment="1">
      <alignment horizontal="right"/>
    </xf>
    <xf numFmtId="3" fontId="51" fillId="15" borderId="10" xfId="0" applyNumberFormat="1" applyFont="1" applyFill="1" applyBorder="1" applyAlignment="1">
      <alignment horizontal="right"/>
    </xf>
    <xf numFmtId="3" fontId="2" fillId="0" borderId="16" xfId="0" applyNumberFormat="1" applyFont="1" applyBorder="1" applyAlignment="1">
      <alignment horizontal="right"/>
    </xf>
    <xf numFmtId="3" fontId="2" fillId="0" borderId="14" xfId="0" applyNumberFormat="1" applyFont="1" applyBorder="1" applyAlignment="1">
      <alignment horizontal="right" vertical="center"/>
    </xf>
    <xf numFmtId="0" fontId="2" fillId="0" borderId="14" xfId="38" applyFont="1" applyBorder="1" applyAlignment="1">
      <alignment horizontal="right"/>
    </xf>
    <xf numFmtId="0" fontId="12" fillId="15" borderId="38" xfId="38" applyFont="1" applyFill="1" applyBorder="1" applyAlignment="1">
      <alignment horizontal="right"/>
    </xf>
    <xf numFmtId="3" fontId="9" fillId="15" borderId="14" xfId="38" applyNumberFormat="1" applyFont="1" applyFill="1" applyBorder="1" applyAlignment="1">
      <alignment horizontal="right" vertical="center"/>
    </xf>
    <xf numFmtId="9" fontId="12" fillId="0" borderId="14" xfId="38" applyNumberFormat="1" applyFont="1" applyBorder="1" applyAlignment="1">
      <alignment horizontal="right" vertical="center"/>
    </xf>
    <xf numFmtId="9" fontId="9" fillId="0" borderId="14" xfId="38" applyNumberFormat="1" applyFont="1" applyBorder="1" applyAlignment="1">
      <alignment horizontal="right" vertical="center"/>
    </xf>
    <xf numFmtId="9" fontId="3" fillId="0" borderId="12" xfId="38" applyNumberFormat="1" applyFont="1" applyBorder="1" applyAlignment="1">
      <alignment horizontal="right" vertical="center"/>
    </xf>
    <xf numFmtId="3" fontId="12" fillId="0" borderId="14" xfId="36" applyNumberFormat="1" applyFont="1" applyBorder="1" applyAlignment="1">
      <alignment vertical="center"/>
    </xf>
    <xf numFmtId="3" fontId="3" fillId="15" borderId="16" xfId="36" applyNumberFormat="1" applyFont="1" applyFill="1" applyBorder="1"/>
    <xf numFmtId="0" fontId="51" fillId="0" borderId="10" xfId="0" applyFont="1" applyBorder="1"/>
    <xf numFmtId="9" fontId="12" fillId="0" borderId="13" xfId="36" applyNumberFormat="1" applyFont="1" applyBorder="1"/>
    <xf numFmtId="3" fontId="12" fillId="15" borderId="14" xfId="38" applyNumberFormat="1" applyFont="1" applyFill="1" applyBorder="1"/>
    <xf numFmtId="3" fontId="51" fillId="15" borderId="10" xfId="45" applyNumberFormat="1" applyFont="1" applyFill="1" applyBorder="1" applyAlignment="1">
      <alignment horizontal="right"/>
    </xf>
    <xf numFmtId="9" fontId="12" fillId="0" borderId="15" xfId="0" applyNumberFormat="1" applyFont="1" applyBorder="1" applyAlignment="1">
      <alignment vertical="center"/>
    </xf>
    <xf numFmtId="3" fontId="10" fillId="0" borderId="16" xfId="38" applyNumberFormat="1" applyFont="1" applyBorder="1" applyAlignment="1">
      <alignment vertical="center"/>
    </xf>
    <xf numFmtId="3" fontId="63" fillId="0" borderId="10" xfId="53" applyNumberFormat="1" applyFont="1" applyBorder="1"/>
    <xf numFmtId="3" fontId="63" fillId="0" borderId="61" xfId="53" applyNumberFormat="1" applyFont="1" applyBorder="1"/>
    <xf numFmtId="3" fontId="50" fillId="0" borderId="61" xfId="53" applyNumberFormat="1" applyFont="1" applyBorder="1"/>
    <xf numFmtId="3" fontId="50" fillId="0" borderId="10" xfId="53" applyNumberFormat="1" applyFont="1" applyBorder="1"/>
    <xf numFmtId="3" fontId="42" fillId="15" borderId="12" xfId="0" applyNumberFormat="1" applyFont="1" applyFill="1" applyBorder="1" applyAlignment="1">
      <alignment horizontal="right"/>
    </xf>
    <xf numFmtId="3" fontId="42" fillId="0" borderId="12" xfId="0" applyNumberFormat="1" applyFont="1" applyBorder="1" applyAlignment="1">
      <alignment horizontal="right"/>
    </xf>
    <xf numFmtId="3" fontId="42" fillId="15" borderId="13" xfId="0" applyNumberFormat="1" applyFont="1" applyFill="1" applyBorder="1" applyAlignment="1">
      <alignment horizontal="right"/>
    </xf>
    <xf numFmtId="9" fontId="12" fillId="0" borderId="25" xfId="36" applyNumberFormat="1" applyFont="1" applyBorder="1"/>
    <xf numFmtId="9" fontId="3" fillId="0" borderId="10" xfId="45" applyFont="1" applyFill="1" applyBorder="1"/>
    <xf numFmtId="0" fontId="47" fillId="0" borderId="23" xfId="46" applyFont="1" applyBorder="1" applyAlignment="1">
      <alignment horizontal="left"/>
    </xf>
    <xf numFmtId="0" fontId="47" fillId="0" borderId="42" xfId="46" applyFont="1" applyBorder="1" applyAlignment="1">
      <alignment horizontal="left"/>
    </xf>
    <xf numFmtId="3" fontId="11" fillId="0" borderId="12" xfId="0" applyNumberFormat="1" applyFont="1" applyBorder="1" applyAlignment="1">
      <alignment horizontal="right"/>
    </xf>
    <xf numFmtId="49" fontId="2" fillId="0" borderId="13" xfId="36" applyNumberFormat="1" applyFont="1" applyBorder="1" applyAlignment="1">
      <alignment horizontal="center" vertical="center" wrapText="1"/>
    </xf>
    <xf numFmtId="49" fontId="2" fillId="0" borderId="25" xfId="36" applyNumberFormat="1" applyFont="1" applyBorder="1" applyAlignment="1">
      <alignment horizontal="center" vertical="center" wrapText="1"/>
    </xf>
    <xf numFmtId="0" fontId="17" fillId="0" borderId="0" xfId="35" applyFont="1" applyAlignment="1">
      <alignment horizontal="center" vertical="center" wrapText="1"/>
    </xf>
    <xf numFmtId="0" fontId="17" fillId="0" borderId="0" xfId="35" applyFont="1" applyAlignment="1">
      <alignment horizontal="center"/>
    </xf>
    <xf numFmtId="0" fontId="17" fillId="0" borderId="13" xfId="35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2" fillId="0" borderId="0" xfId="36" applyFont="1" applyAlignment="1">
      <alignment horizontal="center"/>
    </xf>
    <xf numFmtId="0" fontId="1" fillId="0" borderId="0" xfId="36"/>
    <xf numFmtId="0" fontId="0" fillId="0" borderId="0" xfId="0"/>
    <xf numFmtId="0" fontId="2" fillId="0" borderId="13" xfId="36" applyFont="1" applyBorder="1" applyAlignment="1">
      <alignment horizontal="center" vertical="center" wrapText="1"/>
    </xf>
    <xf numFmtId="0" fontId="2" fillId="0" borderId="11" xfId="36" applyFont="1" applyBorder="1" applyAlignment="1">
      <alignment horizontal="center" vertical="center" wrapText="1"/>
    </xf>
    <xf numFmtId="0" fontId="2" fillId="0" borderId="13" xfId="36" applyFont="1" applyBorder="1" applyAlignment="1">
      <alignment horizontal="center" vertical="center"/>
    </xf>
    <xf numFmtId="0" fontId="1" fillId="0" borderId="11" xfId="36" applyBorder="1" applyAlignment="1">
      <alignment horizontal="center" vertical="center"/>
    </xf>
    <xf numFmtId="3" fontId="2" fillId="0" borderId="13" xfId="36" applyNumberFormat="1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49" fontId="2" fillId="0" borderId="11" xfId="36" applyNumberFormat="1" applyFont="1" applyBorder="1" applyAlignment="1">
      <alignment horizontal="center" vertical="center" wrapText="1"/>
    </xf>
    <xf numFmtId="3" fontId="12" fillId="0" borderId="13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10" xfId="36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49" fontId="2" fillId="0" borderId="10" xfId="36" applyNumberFormat="1" applyFont="1" applyBorder="1" applyAlignment="1">
      <alignment horizontal="center" vertical="center" wrapText="1"/>
    </xf>
    <xf numFmtId="49" fontId="2" fillId="0" borderId="14" xfId="36" applyNumberFormat="1" applyFont="1" applyBorder="1" applyAlignment="1">
      <alignment horizontal="center" vertical="center" wrapText="1"/>
    </xf>
    <xf numFmtId="2" fontId="2" fillId="0" borderId="0" xfId="38" applyNumberFormat="1" applyFont="1" applyAlignment="1">
      <alignment horizontal="center"/>
    </xf>
    <xf numFmtId="2" fontId="1" fillId="0" borderId="0" xfId="38" applyNumberFormat="1"/>
    <xf numFmtId="0" fontId="1" fillId="0" borderId="0" xfId="38"/>
    <xf numFmtId="0" fontId="8" fillId="0" borderId="13" xfId="38" applyFont="1" applyBorder="1" applyAlignment="1">
      <alignment horizontal="center" vertical="center" wrapText="1"/>
    </xf>
    <xf numFmtId="0" fontId="8" fillId="0" borderId="10" xfId="38" applyFont="1" applyBorder="1" applyAlignment="1">
      <alignment horizontal="center" vertical="center" wrapText="1"/>
    </xf>
    <xf numFmtId="0" fontId="8" fillId="0" borderId="14" xfId="38" applyFont="1" applyBorder="1" applyAlignment="1">
      <alignment horizontal="center" vertical="center" wrapText="1"/>
    </xf>
    <xf numFmtId="0" fontId="2" fillId="0" borderId="0" xfId="38" applyFont="1" applyAlignment="1">
      <alignment horizontal="center"/>
    </xf>
    <xf numFmtId="0" fontId="2" fillId="0" borderId="13" xfId="38" applyFont="1" applyBorder="1" applyAlignment="1">
      <alignment horizontal="center" vertical="center"/>
    </xf>
    <xf numFmtId="0" fontId="14" fillId="0" borderId="10" xfId="34" applyBorder="1" applyAlignment="1">
      <alignment horizontal="center" vertical="center"/>
    </xf>
    <xf numFmtId="0" fontId="14" fillId="0" borderId="14" xfId="34" applyBorder="1" applyAlignment="1">
      <alignment horizontal="center" vertical="center"/>
    </xf>
    <xf numFmtId="0" fontId="1" fillId="0" borderId="14" xfId="38" applyBorder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10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49" fontId="13" fillId="0" borderId="13" xfId="36" applyNumberFormat="1" applyFont="1" applyBorder="1" applyAlignment="1">
      <alignment horizontal="center" vertical="center" wrapText="1"/>
    </xf>
    <xf numFmtId="0" fontId="46" fillId="0" borderId="10" xfId="0" applyFont="1" applyBorder="1" applyAlignment="1">
      <alignment horizontal="center" vertical="center" wrapText="1"/>
    </xf>
    <xf numFmtId="0" fontId="46" fillId="0" borderId="14" xfId="0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3" fontId="2" fillId="0" borderId="13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3" fontId="2" fillId="0" borderId="10" xfId="0" applyNumberFormat="1" applyFont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 wrapText="1"/>
    </xf>
    <xf numFmtId="0" fontId="47" fillId="15" borderId="23" xfId="46" applyFont="1" applyFill="1" applyBorder="1" applyAlignment="1">
      <alignment horizontal="left"/>
    </xf>
    <xf numFmtId="0" fontId="47" fillId="15" borderId="42" xfId="46" applyFont="1" applyFill="1" applyBorder="1" applyAlignment="1">
      <alignment horizontal="left"/>
    </xf>
    <xf numFmtId="0" fontId="17" fillId="0" borderId="0" xfId="46" applyFont="1" applyAlignment="1">
      <alignment horizontal="center"/>
    </xf>
    <xf numFmtId="0" fontId="8" fillId="0" borderId="0" xfId="0" applyFont="1" applyAlignment="1">
      <alignment horizontal="center"/>
    </xf>
    <xf numFmtId="0" fontId="17" fillId="0" borderId="0" xfId="46" applyFont="1"/>
    <xf numFmtId="0" fontId="8" fillId="0" borderId="0" xfId="0" applyFont="1"/>
    <xf numFmtId="0" fontId="39" fillId="0" borderId="10" xfId="46" applyFont="1" applyBorder="1" applyAlignment="1">
      <alignment vertical="center" wrapText="1"/>
    </xf>
    <xf numFmtId="0" fontId="47" fillId="0" borderId="25" xfId="46" applyFont="1" applyBorder="1" applyAlignment="1">
      <alignment vertical="center" wrapText="1"/>
    </xf>
    <xf numFmtId="0" fontId="39" fillId="0" borderId="13" xfId="46" applyFont="1" applyBorder="1" applyAlignment="1">
      <alignment vertical="center" wrapText="1"/>
    </xf>
    <xf numFmtId="0" fontId="39" fillId="0" borderId="0" xfId="46" applyFont="1" applyAlignment="1">
      <alignment vertical="center" wrapText="1"/>
    </xf>
    <xf numFmtId="0" fontId="47" fillId="0" borderId="0" xfId="46" applyFont="1" applyAlignment="1">
      <alignment vertical="center" wrapText="1"/>
    </xf>
    <xf numFmtId="0" fontId="47" fillId="0" borderId="13" xfId="46" applyFont="1" applyBorder="1" applyAlignment="1">
      <alignment vertical="center"/>
    </xf>
    <xf numFmtId="0" fontId="47" fillId="0" borderId="11" xfId="46" applyFont="1" applyBorder="1" applyAlignment="1">
      <alignment vertical="center"/>
    </xf>
    <xf numFmtId="0" fontId="39" fillId="0" borderId="23" xfId="46" applyFont="1" applyBorder="1"/>
    <xf numFmtId="0" fontId="0" fillId="0" borderId="42" xfId="0" applyBorder="1"/>
    <xf numFmtId="0" fontId="50" fillId="0" borderId="58" xfId="53" applyFont="1" applyBorder="1" applyAlignment="1">
      <alignment horizontal="center" vertical="center" wrapText="1"/>
    </xf>
    <xf numFmtId="0" fontId="50" fillId="0" borderId="59" xfId="53" applyFont="1" applyBorder="1" applyAlignment="1">
      <alignment horizontal="center" vertical="center" wrapText="1"/>
    </xf>
    <xf numFmtId="0" fontId="62" fillId="0" borderId="40" xfId="53" applyFont="1" applyBorder="1" applyAlignment="1">
      <alignment horizontal="center" vertical="center"/>
    </xf>
    <xf numFmtId="0" fontId="14" fillId="0" borderId="16" xfId="53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62" fillId="0" borderId="40" xfId="53" applyFont="1" applyBorder="1" applyAlignment="1">
      <alignment horizontal="center" vertical="center" wrapText="1"/>
    </xf>
    <xf numFmtId="0" fontId="62" fillId="0" borderId="44" xfId="53" applyFont="1" applyBorder="1" applyAlignment="1">
      <alignment horizontal="center" vertical="center" wrapText="1"/>
    </xf>
    <xf numFmtId="0" fontId="62" fillId="0" borderId="16" xfId="53" applyFont="1" applyBorder="1" applyAlignment="1">
      <alignment horizontal="center" vertical="center" wrapText="1"/>
    </xf>
    <xf numFmtId="0" fontId="62" fillId="0" borderId="20" xfId="53" applyFont="1" applyBorder="1" applyAlignment="1">
      <alignment horizontal="center" vertical="center" wrapText="1"/>
    </xf>
    <xf numFmtId="0" fontId="14" fillId="0" borderId="16" xfId="53" applyBorder="1" applyAlignment="1">
      <alignment horizontal="center" vertical="center" wrapText="1"/>
    </xf>
    <xf numFmtId="0" fontId="14" fillId="0" borderId="20" xfId="53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62" fillId="0" borderId="10" xfId="53" applyFont="1" applyBorder="1" applyAlignment="1">
      <alignment horizontal="center" vertical="center"/>
    </xf>
    <xf numFmtId="0" fontId="62" fillId="0" borderId="13" xfId="53" applyFont="1" applyBorder="1" applyAlignment="1">
      <alignment horizontal="center" vertical="center"/>
    </xf>
    <xf numFmtId="0" fontId="50" fillId="0" borderId="13" xfId="53" applyFont="1" applyBorder="1" applyAlignment="1">
      <alignment horizontal="center" vertical="center" wrapText="1"/>
    </xf>
    <xf numFmtId="0" fontId="50" fillId="0" borderId="14" xfId="53" applyFont="1" applyBorder="1" applyAlignment="1">
      <alignment horizontal="center" vertical="center" wrapText="1"/>
    </xf>
    <xf numFmtId="0" fontId="62" fillId="0" borderId="14" xfId="53" applyFont="1" applyBorder="1" applyAlignment="1">
      <alignment horizontal="center" vertical="center"/>
    </xf>
    <xf numFmtId="0" fontId="62" fillId="0" borderId="31" xfId="53" applyFont="1" applyBorder="1" applyAlignment="1">
      <alignment horizontal="center" vertical="center"/>
    </xf>
    <xf numFmtId="0" fontId="64" fillId="0" borderId="40" xfId="53" applyFont="1" applyBorder="1" applyAlignment="1">
      <alignment horizontal="center" vertical="center" wrapText="1"/>
    </xf>
    <xf numFmtId="0" fontId="64" fillId="0" borderId="50" xfId="53" applyFont="1" applyBorder="1" applyAlignment="1">
      <alignment horizontal="center" vertical="center" wrapText="1"/>
    </xf>
    <xf numFmtId="0" fontId="64" fillId="0" borderId="44" xfId="53" applyFont="1" applyBorder="1" applyAlignment="1">
      <alignment horizontal="center" vertical="center" wrapText="1"/>
    </xf>
    <xf numFmtId="0" fontId="64" fillId="0" borderId="16" xfId="53" applyFont="1" applyBorder="1" applyAlignment="1">
      <alignment horizontal="center" vertical="center" wrapText="1"/>
    </xf>
    <xf numFmtId="0" fontId="64" fillId="0" borderId="0" xfId="53" applyFont="1" applyAlignment="1">
      <alignment horizontal="center" vertical="center" wrapText="1"/>
    </xf>
    <xf numFmtId="0" fontId="64" fillId="0" borderId="20" xfId="53" applyFont="1" applyBorder="1" applyAlignment="1">
      <alignment horizontal="center" vertical="center" wrapText="1"/>
    </xf>
    <xf numFmtId="0" fontId="64" fillId="0" borderId="38" xfId="53" applyFont="1" applyBorder="1" applyAlignment="1">
      <alignment horizontal="center" vertical="center" wrapText="1"/>
    </xf>
    <xf numFmtId="0" fontId="64" fillId="0" borderId="49" xfId="53" applyFont="1" applyBorder="1" applyAlignment="1">
      <alignment horizontal="center" vertical="center" wrapText="1"/>
    </xf>
    <xf numFmtId="0" fontId="64" fillId="0" borderId="26" xfId="53" applyFont="1" applyBorder="1" applyAlignment="1">
      <alignment horizontal="center" vertical="center" wrapText="1"/>
    </xf>
    <xf numFmtId="0" fontId="17" fillId="0" borderId="0" xfId="53" applyFont="1" applyAlignment="1">
      <alignment horizontal="center"/>
    </xf>
    <xf numFmtId="0" fontId="40" fillId="0" borderId="0" xfId="53" applyFont="1" applyAlignment="1">
      <alignment horizontal="center" vertical="center" wrapText="1"/>
    </xf>
    <xf numFmtId="0" fontId="50" fillId="0" borderId="13" xfId="53" applyFont="1" applyBorder="1" applyAlignment="1">
      <alignment horizontal="center" vertical="center"/>
    </xf>
    <xf numFmtId="0" fontId="50" fillId="0" borderId="11" xfId="53" applyFont="1" applyBorder="1" applyAlignment="1">
      <alignment horizontal="center" vertical="center"/>
    </xf>
    <xf numFmtId="0" fontId="50" fillId="0" borderId="17" xfId="53" applyFont="1" applyBorder="1" applyAlignment="1">
      <alignment horizontal="center" vertical="center"/>
    </xf>
    <xf numFmtId="0" fontId="50" fillId="0" borderId="46" xfId="53" applyFont="1" applyBorder="1" applyAlignment="1">
      <alignment horizontal="center" vertical="center"/>
    </xf>
    <xf numFmtId="0" fontId="50" fillId="0" borderId="27" xfId="53" applyFont="1" applyBorder="1" applyAlignment="1">
      <alignment horizontal="center" vertical="center"/>
    </xf>
    <xf numFmtId="0" fontId="50" fillId="0" borderId="41" xfId="53" applyFont="1" applyBorder="1" applyAlignment="1">
      <alignment horizontal="center" vertical="center"/>
    </xf>
    <xf numFmtId="0" fontId="50" fillId="0" borderId="35" xfId="53" applyFont="1" applyBorder="1" applyAlignment="1">
      <alignment horizontal="center" vertical="center"/>
    </xf>
    <xf numFmtId="0" fontId="50" fillId="0" borderId="38" xfId="53" applyFont="1" applyBorder="1" applyAlignment="1">
      <alignment horizontal="center" vertical="center"/>
    </xf>
    <xf numFmtId="0" fontId="50" fillId="0" borderId="49" xfId="53" applyFont="1" applyBorder="1" applyAlignment="1">
      <alignment horizontal="center" vertical="center"/>
    </xf>
    <xf numFmtId="0" fontId="50" fillId="0" borderId="26" xfId="53" applyFont="1" applyBorder="1" applyAlignment="1">
      <alignment horizontal="center" vertical="center"/>
    </xf>
    <xf numFmtId="0" fontId="17" fillId="0" borderId="13" xfId="51" applyFont="1" applyBorder="1" applyAlignment="1">
      <alignment horizontal="right" vertical="center"/>
    </xf>
    <xf numFmtId="0" fontId="17" fillId="0" borderId="11" xfId="51" applyFont="1" applyBorder="1" applyAlignment="1">
      <alignment horizontal="right" vertical="center"/>
    </xf>
    <xf numFmtId="0" fontId="14" fillId="0" borderId="13" xfId="51" applyBorder="1"/>
    <xf numFmtId="0" fontId="14" fillId="0" borderId="11" xfId="51" applyBorder="1"/>
    <xf numFmtId="0" fontId="17" fillId="0" borderId="17" xfId="51" applyFont="1" applyBorder="1" applyAlignment="1">
      <alignment vertical="center"/>
    </xf>
    <xf numFmtId="0" fontId="17" fillId="0" borderId="35" xfId="51" applyFont="1" applyBorder="1" applyAlignment="1">
      <alignment vertical="center"/>
    </xf>
    <xf numFmtId="0" fontId="17" fillId="0" borderId="46" xfId="51" applyFont="1" applyBorder="1" applyAlignment="1">
      <alignment vertical="center"/>
    </xf>
    <xf numFmtId="0" fontId="17" fillId="0" borderId="27" xfId="51" applyFont="1" applyBorder="1" applyAlignment="1">
      <alignment vertical="center"/>
    </xf>
    <xf numFmtId="0" fontId="17" fillId="0" borderId="19" xfId="51" applyFont="1" applyBorder="1" applyAlignment="1">
      <alignment vertical="center"/>
    </xf>
    <xf numFmtId="0" fontId="17" fillId="0" borderId="41" xfId="51" applyFont="1" applyBorder="1" applyAlignment="1">
      <alignment vertical="center"/>
    </xf>
    <xf numFmtId="0" fontId="14" fillId="0" borderId="10" xfId="51" applyBorder="1"/>
    <xf numFmtId="0" fontId="14" fillId="0" borderId="17" xfId="51" applyBorder="1"/>
    <xf numFmtId="0" fontId="14" fillId="0" borderId="35" xfId="51" applyBorder="1"/>
    <xf numFmtId="0" fontId="14" fillId="0" borderId="46" xfId="51" applyBorder="1"/>
    <xf numFmtId="0" fontId="14" fillId="0" borderId="27" xfId="51" applyBorder="1"/>
    <xf numFmtId="0" fontId="14" fillId="0" borderId="19" xfId="51" applyBorder="1"/>
    <xf numFmtId="0" fontId="14" fillId="0" borderId="41" xfId="51" applyBorder="1"/>
    <xf numFmtId="0" fontId="14" fillId="0" borderId="13" xfId="51" applyBorder="1" applyAlignment="1">
      <alignment horizontal="right" vertical="center"/>
    </xf>
    <xf numFmtId="0" fontId="14" fillId="0" borderId="11" xfId="51" applyBorder="1" applyAlignment="1">
      <alignment horizontal="right" vertical="center"/>
    </xf>
    <xf numFmtId="0" fontId="17" fillId="0" borderId="17" xfId="51" applyFont="1" applyBorder="1" applyAlignment="1">
      <alignment horizontal="left" vertical="center"/>
    </xf>
    <xf numFmtId="0" fontId="17" fillId="0" borderId="35" xfId="51" applyFont="1" applyBorder="1" applyAlignment="1">
      <alignment horizontal="left" vertical="center"/>
    </xf>
    <xf numFmtId="0" fontId="17" fillId="0" borderId="46" xfId="51" applyFont="1" applyBorder="1" applyAlignment="1">
      <alignment horizontal="left" vertical="center"/>
    </xf>
    <xf numFmtId="0" fontId="17" fillId="0" borderId="27" xfId="51" applyFont="1" applyBorder="1" applyAlignment="1">
      <alignment horizontal="left" vertical="center"/>
    </xf>
    <xf numFmtId="0" fontId="17" fillId="0" borderId="19" xfId="51" applyFont="1" applyBorder="1" applyAlignment="1">
      <alignment horizontal="left" vertical="center"/>
    </xf>
    <xf numFmtId="0" fontId="17" fillId="0" borderId="41" xfId="51" applyFont="1" applyBorder="1" applyAlignment="1">
      <alignment horizontal="left" vertical="center"/>
    </xf>
    <xf numFmtId="0" fontId="17" fillId="0" borderId="17" xfId="51" applyFont="1" applyBorder="1"/>
    <xf numFmtId="0" fontId="17" fillId="0" borderId="35" xfId="51" applyFont="1" applyBorder="1"/>
    <xf numFmtId="0" fontId="17" fillId="0" borderId="46" xfId="51" applyFont="1" applyBorder="1"/>
    <xf numFmtId="0" fontId="17" fillId="0" borderId="27" xfId="51" applyFont="1" applyBorder="1"/>
    <xf numFmtId="0" fontId="17" fillId="0" borderId="19" xfId="51" applyFont="1" applyBorder="1"/>
    <xf numFmtId="0" fontId="17" fillId="0" borderId="41" xfId="51" applyFont="1" applyBorder="1"/>
    <xf numFmtId="0" fontId="14" fillId="0" borderId="17" xfId="51" applyBorder="1" applyAlignment="1">
      <alignment wrapText="1"/>
    </xf>
    <xf numFmtId="0" fontId="14" fillId="0" borderId="35" xfId="51" applyBorder="1" applyAlignment="1">
      <alignment wrapText="1"/>
    </xf>
    <xf numFmtId="0" fontId="14" fillId="0" borderId="46" xfId="51" applyBorder="1" applyAlignment="1">
      <alignment wrapText="1"/>
    </xf>
    <xf numFmtId="0" fontId="14" fillId="0" borderId="27" xfId="51" applyBorder="1" applyAlignment="1">
      <alignment wrapText="1"/>
    </xf>
    <xf numFmtId="0" fontId="14" fillId="0" borderId="19" xfId="51" applyBorder="1" applyAlignment="1">
      <alignment wrapText="1"/>
    </xf>
    <xf numFmtId="0" fontId="14" fillId="0" borderId="41" xfId="51" applyBorder="1" applyAlignment="1">
      <alignment wrapText="1"/>
    </xf>
    <xf numFmtId="0" fontId="17" fillId="0" borderId="0" xfId="51" applyFont="1" applyAlignment="1">
      <alignment horizontal="center"/>
    </xf>
    <xf numFmtId="0" fontId="8" fillId="0" borderId="0" xfId="49" applyFont="1" applyAlignment="1">
      <alignment horizontal="center"/>
    </xf>
    <xf numFmtId="0" fontId="14" fillId="0" borderId="0" xfId="51"/>
    <xf numFmtId="0" fontId="17" fillId="0" borderId="13" xfId="51" applyFont="1" applyBorder="1" applyAlignment="1">
      <alignment vertical="center"/>
    </xf>
    <xf numFmtId="0" fontId="17" fillId="0" borderId="10" xfId="51" applyFont="1" applyBorder="1" applyAlignment="1">
      <alignment vertical="center"/>
    </xf>
    <xf numFmtId="0" fontId="17" fillId="0" borderId="11" xfId="51" applyFont="1" applyBorder="1" applyAlignment="1">
      <alignment vertical="center"/>
    </xf>
    <xf numFmtId="0" fontId="17" fillId="0" borderId="17" xfId="51" applyFont="1" applyBorder="1" applyAlignment="1">
      <alignment vertical="center" wrapText="1"/>
    </xf>
    <xf numFmtId="0" fontId="17" fillId="0" borderId="35" xfId="51" applyFont="1" applyBorder="1" applyAlignment="1">
      <alignment vertical="center" wrapText="1"/>
    </xf>
    <xf numFmtId="0" fontId="17" fillId="0" borderId="46" xfId="51" applyFont="1" applyBorder="1" applyAlignment="1">
      <alignment vertical="center" wrapText="1"/>
    </xf>
    <xf numFmtId="0" fontId="17" fillId="0" borderId="16" xfId="51" applyFont="1" applyBorder="1" applyAlignment="1">
      <alignment vertical="center" wrapText="1"/>
    </xf>
    <xf numFmtId="0" fontId="17" fillId="0" borderId="0" xfId="51" applyFont="1" applyAlignment="1">
      <alignment vertical="center" wrapText="1"/>
    </xf>
    <xf numFmtId="0" fontId="17" fillId="0" borderId="20" xfId="51" applyFont="1" applyBorder="1" applyAlignment="1">
      <alignment vertical="center" wrapText="1"/>
    </xf>
    <xf numFmtId="0" fontId="17" fillId="0" borderId="13" xfId="51" applyFont="1" applyBorder="1" applyAlignment="1">
      <alignment horizontal="center" vertical="center" wrapText="1"/>
    </xf>
    <xf numFmtId="0" fontId="14" fillId="0" borderId="10" xfId="51" applyBorder="1" applyAlignment="1">
      <alignment horizontal="center" wrapText="1"/>
    </xf>
    <xf numFmtId="0" fontId="14" fillId="0" borderId="11" xfId="51" applyBorder="1" applyAlignment="1">
      <alignment horizontal="center" wrapText="1"/>
    </xf>
    <xf numFmtId="0" fontId="17" fillId="0" borderId="23" xfId="51" applyFont="1" applyBorder="1" applyAlignment="1">
      <alignment horizontal="center"/>
    </xf>
    <xf numFmtId="0" fontId="17" fillId="0" borderId="51" xfId="51" applyFont="1" applyBorder="1" applyAlignment="1">
      <alignment horizontal="center"/>
    </xf>
    <xf numFmtId="0" fontId="14" fillId="0" borderId="51" xfId="51" applyBorder="1" applyAlignment="1">
      <alignment horizontal="center"/>
    </xf>
    <xf numFmtId="0" fontId="17" fillId="0" borderId="42" xfId="51" applyFont="1" applyBorder="1" applyAlignment="1">
      <alignment horizontal="center"/>
    </xf>
    <xf numFmtId="0" fontId="14" fillId="0" borderId="13" xfId="51" applyBorder="1" applyAlignment="1">
      <alignment horizontal="center" vertical="center" wrapText="1"/>
    </xf>
    <xf numFmtId="0" fontId="14" fillId="0" borderId="10" xfId="51" applyBorder="1" applyAlignment="1">
      <alignment horizontal="center" vertical="center" wrapText="1"/>
    </xf>
    <xf numFmtId="0" fontId="14" fillId="0" borderId="11" xfId="51" applyBorder="1" applyAlignment="1">
      <alignment horizontal="center" vertical="center" wrapText="1"/>
    </xf>
    <xf numFmtId="0" fontId="14" fillId="0" borderId="0" xfId="51" applyAlignment="1">
      <alignment horizontal="center" vertical="center" wrapText="1"/>
    </xf>
    <xf numFmtId="0" fontId="14" fillId="0" borderId="19" xfId="51" applyBorder="1" applyAlignment="1">
      <alignment horizontal="center" vertical="center" wrapText="1"/>
    </xf>
    <xf numFmtId="0" fontId="53" fillId="0" borderId="0" xfId="48" applyFont="1" applyAlignment="1">
      <alignment horizontal="center" vertical="center"/>
    </xf>
    <xf numFmtId="0" fontId="17" fillId="0" borderId="0" xfId="55" applyFont="1" applyAlignment="1">
      <alignment horizontal="center" vertical="center"/>
    </xf>
    <xf numFmtId="0" fontId="17" fillId="0" borderId="13" xfId="55" applyFont="1" applyBorder="1" applyAlignment="1">
      <alignment horizontal="center" vertical="center"/>
    </xf>
    <xf numFmtId="0" fontId="17" fillId="0" borderId="11" xfId="55" applyFont="1" applyBorder="1" applyAlignment="1">
      <alignment horizontal="center" vertical="center"/>
    </xf>
    <xf numFmtId="0" fontId="18" fillId="0" borderId="35" xfId="55" applyFont="1" applyBorder="1" applyAlignment="1">
      <alignment horizontal="center" vertical="center"/>
    </xf>
    <xf numFmtId="0" fontId="18" fillId="0" borderId="19" xfId="55" applyFont="1" applyBorder="1" applyAlignment="1">
      <alignment horizontal="center" vertical="center"/>
    </xf>
    <xf numFmtId="0" fontId="18" fillId="0" borderId="23" xfId="55" applyFont="1" applyBorder="1" applyAlignment="1">
      <alignment horizontal="center" vertical="center"/>
    </xf>
    <xf numFmtId="0" fontId="18" fillId="0" borderId="42" xfId="55" applyFont="1" applyBorder="1" applyAlignment="1">
      <alignment horizontal="center" vertical="center"/>
    </xf>
    <xf numFmtId="0" fontId="69" fillId="0" borderId="17" xfId="54" applyFont="1" applyBorder="1" applyAlignment="1">
      <alignment horizontal="center" vertical="center" wrapText="1"/>
    </xf>
    <xf numFmtId="0" fontId="69" fillId="0" borderId="27" xfId="54" applyFont="1" applyBorder="1" applyAlignment="1">
      <alignment horizontal="center" vertical="center" wrapText="1"/>
    </xf>
    <xf numFmtId="0" fontId="69" fillId="0" borderId="13" xfId="54" applyFont="1" applyBorder="1" applyAlignment="1">
      <alignment horizontal="center" vertical="center" wrapText="1"/>
    </xf>
    <xf numFmtId="0" fontId="17" fillId="0" borderId="13" xfId="54" applyFont="1" applyBorder="1" applyAlignment="1">
      <alignment vertical="center" wrapText="1"/>
    </xf>
    <xf numFmtId="0" fontId="0" fillId="0" borderId="11" xfId="0" applyBorder="1" applyAlignment="1">
      <alignment vertical="center"/>
    </xf>
    <xf numFmtId="0" fontId="61" fillId="0" borderId="0" xfId="54" applyFont="1" applyAlignment="1">
      <alignment horizontal="center" vertical="center"/>
    </xf>
    <xf numFmtId="0" fontId="67" fillId="0" borderId="0" xfId="54" applyFont="1" applyAlignment="1">
      <alignment horizontal="center" vertical="center"/>
    </xf>
    <xf numFmtId="0" fontId="69" fillId="0" borderId="11" xfId="54" applyFont="1" applyBorder="1" applyAlignment="1">
      <alignment horizontal="center" vertical="center" wrapText="1"/>
    </xf>
    <xf numFmtId="49" fontId="2" fillId="0" borderId="13" xfId="56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69" fillId="0" borderId="46" xfId="54" applyFont="1" applyBorder="1" applyAlignment="1">
      <alignment horizontal="center" vertical="center" wrapText="1"/>
    </xf>
    <xf numFmtId="0" fontId="69" fillId="0" borderId="41" xfId="54" applyFont="1" applyBorder="1" applyAlignment="1">
      <alignment horizontal="center" vertical="center" wrapText="1"/>
    </xf>
    <xf numFmtId="0" fontId="69" fillId="0" borderId="23" xfId="54" applyFont="1" applyBorder="1" applyAlignment="1">
      <alignment horizontal="center" vertical="center" wrapText="1"/>
    </xf>
    <xf numFmtId="0" fontId="69" fillId="0" borderId="42" xfId="54" applyFont="1" applyBorder="1" applyAlignment="1">
      <alignment horizontal="center" vertical="center" wrapText="1"/>
    </xf>
    <xf numFmtId="0" fontId="69" fillId="0" borderId="51" xfId="54" applyFont="1" applyBorder="1" applyAlignment="1">
      <alignment horizontal="center" vertical="center" wrapText="1"/>
    </xf>
    <xf numFmtId="0" fontId="69" fillId="0" borderId="12" xfId="54" applyFont="1" applyBorder="1" applyAlignment="1">
      <alignment horizontal="center" vertical="center" wrapText="1"/>
    </xf>
    <xf numFmtId="0" fontId="14" fillId="0" borderId="11" xfId="54" applyBorder="1" applyAlignment="1">
      <alignment horizontal="center" vertical="center" wrapText="1"/>
    </xf>
    <xf numFmtId="0" fontId="17" fillId="0" borderId="0" xfId="54" applyFont="1" applyAlignment="1">
      <alignment horizontal="center" vertical="center" wrapText="1"/>
    </xf>
    <xf numFmtId="0" fontId="68" fillId="0" borderId="0" xfId="54" applyFont="1" applyAlignment="1">
      <alignment horizontal="center" vertical="center"/>
    </xf>
    <xf numFmtId="0" fontId="68" fillId="0" borderId="0" xfId="54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68" fillId="0" borderId="0" xfId="0" applyFont="1" applyAlignment="1">
      <alignment horizontal="center" wrapText="1"/>
    </xf>
    <xf numFmtId="0" fontId="68" fillId="0" borderId="0" xfId="0" applyFont="1" applyAlignment="1">
      <alignment horizontal="center"/>
    </xf>
    <xf numFmtId="3" fontId="47" fillId="0" borderId="13" xfId="48" applyNumberFormat="1" applyFont="1" applyBorder="1" applyAlignment="1">
      <alignment vertical="center"/>
    </xf>
    <xf numFmtId="3" fontId="47" fillId="0" borderId="14" xfId="47" applyNumberFormat="1" applyFont="1" applyBorder="1" applyAlignment="1">
      <alignment vertical="center"/>
    </xf>
    <xf numFmtId="3" fontId="14" fillId="0" borderId="11" xfId="47" applyNumberFormat="1" applyBorder="1" applyAlignment="1">
      <alignment vertical="center"/>
    </xf>
    <xf numFmtId="3" fontId="39" fillId="0" borderId="13" xfId="48" applyNumberFormat="1" applyFont="1" applyBorder="1" applyAlignment="1">
      <alignment vertical="center"/>
    </xf>
    <xf numFmtId="3" fontId="39" fillId="0" borderId="14" xfId="48" applyNumberFormat="1" applyFont="1" applyBorder="1" applyAlignment="1">
      <alignment vertical="center"/>
    </xf>
    <xf numFmtId="3" fontId="39" fillId="0" borderId="11" xfId="48" applyNumberFormat="1" applyFont="1" applyBorder="1" applyAlignment="1">
      <alignment vertical="center"/>
    </xf>
    <xf numFmtId="0" fontId="42" fillId="0" borderId="17" xfId="48" applyFont="1" applyBorder="1" applyAlignment="1">
      <alignment vertical="center" wrapText="1"/>
    </xf>
    <xf numFmtId="0" fontId="42" fillId="0" borderId="46" xfId="47" applyFont="1" applyBorder="1" applyAlignment="1">
      <alignment vertical="center" wrapText="1"/>
    </xf>
    <xf numFmtId="0" fontId="42" fillId="0" borderId="27" xfId="47" applyFont="1" applyBorder="1" applyAlignment="1">
      <alignment vertical="center" wrapText="1"/>
    </xf>
    <xf numFmtId="0" fontId="42" fillId="0" borderId="41" xfId="47" applyFont="1" applyBorder="1" applyAlignment="1">
      <alignment vertical="center" wrapText="1"/>
    </xf>
    <xf numFmtId="0" fontId="42" fillId="0" borderId="38" xfId="47" applyFont="1" applyBorder="1" applyAlignment="1">
      <alignment vertical="center" wrapText="1"/>
    </xf>
    <xf numFmtId="0" fontId="42" fillId="0" borderId="26" xfId="47" applyFont="1" applyBorder="1" applyAlignment="1">
      <alignment vertical="center" wrapText="1"/>
    </xf>
    <xf numFmtId="3" fontId="47" fillId="0" borderId="11" xfId="47" applyNumberFormat="1" applyFont="1" applyBorder="1" applyAlignment="1">
      <alignment vertical="center"/>
    </xf>
    <xf numFmtId="3" fontId="47" fillId="0" borderId="10" xfId="48" applyNumberFormat="1" applyFont="1" applyBorder="1" applyAlignment="1">
      <alignment vertical="center"/>
    </xf>
    <xf numFmtId="3" fontId="47" fillId="0" borderId="11" xfId="48" applyNumberFormat="1" applyFont="1" applyBorder="1" applyAlignment="1">
      <alignment vertical="center"/>
    </xf>
    <xf numFmtId="0" fontId="42" fillId="0" borderId="16" xfId="48" applyFont="1" applyBorder="1" applyAlignment="1">
      <alignment vertical="center" wrapText="1"/>
    </xf>
    <xf numFmtId="0" fontId="42" fillId="0" borderId="20" xfId="47" applyFont="1" applyBorder="1" applyAlignment="1">
      <alignment vertical="center" wrapText="1"/>
    </xf>
    <xf numFmtId="0" fontId="42" fillId="0" borderId="17" xfId="48" applyFont="1" applyBorder="1" applyAlignment="1">
      <alignment horizontal="left" vertical="center" wrapText="1"/>
    </xf>
    <xf numFmtId="0" fontId="42" fillId="0" borderId="46" xfId="47" applyFont="1" applyBorder="1" applyAlignment="1">
      <alignment horizontal="left" vertical="center" wrapText="1"/>
    </xf>
    <xf numFmtId="0" fontId="42" fillId="0" borderId="27" xfId="47" applyFont="1" applyBorder="1" applyAlignment="1">
      <alignment horizontal="left" vertical="center" wrapText="1"/>
    </xf>
    <xf numFmtId="0" fontId="42" fillId="0" borderId="41" xfId="47" applyFont="1" applyBorder="1" applyAlignment="1">
      <alignment horizontal="left" vertical="center" wrapText="1"/>
    </xf>
    <xf numFmtId="0" fontId="1" fillId="0" borderId="0" xfId="48" applyAlignment="1">
      <alignment horizontal="center"/>
    </xf>
    <xf numFmtId="0" fontId="0" fillId="0" borderId="0" xfId="48" applyFont="1" applyAlignment="1">
      <alignment horizontal="center"/>
    </xf>
    <xf numFmtId="0" fontId="40" fillId="0" borderId="38" xfId="48" applyFont="1" applyBorder="1" applyAlignment="1">
      <alignment horizontal="center"/>
    </xf>
    <xf numFmtId="0" fontId="40" fillId="0" borderId="26" xfId="48" applyFont="1" applyBorder="1" applyAlignment="1">
      <alignment horizontal="center"/>
    </xf>
    <xf numFmtId="0" fontId="42" fillId="0" borderId="16" xfId="48" applyFont="1" applyBorder="1" applyAlignment="1">
      <alignment horizontal="left" vertical="center" wrapText="1"/>
    </xf>
    <xf numFmtId="0" fontId="42" fillId="0" borderId="20" xfId="47" applyFont="1" applyBorder="1" applyAlignment="1">
      <alignment horizontal="left" vertical="center" wrapText="1"/>
    </xf>
    <xf numFmtId="3" fontId="39" fillId="0" borderId="10" xfId="48" applyNumberFormat="1" applyFont="1" applyBorder="1" applyAlignment="1">
      <alignment vertical="center"/>
    </xf>
    <xf numFmtId="3" fontId="40" fillId="0" borderId="12" xfId="52" applyNumberFormat="1" applyFont="1" applyBorder="1" applyAlignment="1">
      <alignment vertical="center"/>
    </xf>
    <xf numFmtId="3" fontId="40" fillId="0" borderId="34" xfId="52" applyNumberFormat="1" applyFont="1" applyBorder="1" applyAlignment="1">
      <alignment vertical="center"/>
    </xf>
    <xf numFmtId="0" fontId="40" fillId="0" borderId="37" xfId="52" applyFont="1" applyBorder="1" applyAlignment="1">
      <alignment vertical="center" wrapText="1"/>
    </xf>
    <xf numFmtId="0" fontId="40" fillId="0" borderId="12" xfId="52" applyFont="1" applyBorder="1" applyAlignment="1">
      <alignment vertical="center" wrapText="1"/>
    </xf>
    <xf numFmtId="0" fontId="40" fillId="0" borderId="34" xfId="52" applyFont="1" applyBorder="1" applyAlignment="1">
      <alignment vertical="center" wrapText="1"/>
    </xf>
    <xf numFmtId="3" fontId="40" fillId="0" borderId="37" xfId="52" applyNumberFormat="1" applyFont="1" applyBorder="1" applyAlignment="1">
      <alignment vertical="center"/>
    </xf>
    <xf numFmtId="3" fontId="42" fillId="0" borderId="12" xfId="52" applyNumberFormat="1" applyFont="1" applyBorder="1" applyAlignment="1">
      <alignment vertical="center"/>
    </xf>
    <xf numFmtId="0" fontId="42" fillId="0" borderId="12" xfId="52" applyFont="1" applyBorder="1" applyAlignment="1">
      <alignment vertical="center" wrapText="1"/>
    </xf>
    <xf numFmtId="49" fontId="42" fillId="0" borderId="13" xfId="52" applyNumberFormat="1" applyFont="1" applyBorder="1" applyAlignment="1">
      <alignment horizontal="center" vertical="center"/>
    </xf>
    <xf numFmtId="49" fontId="42" fillId="0" borderId="10" xfId="52" applyNumberFormat="1" applyFont="1" applyBorder="1" applyAlignment="1">
      <alignment horizontal="center" vertical="center"/>
    </xf>
    <xf numFmtId="49" fontId="42" fillId="0" borderId="11" xfId="52" applyNumberFormat="1" applyFont="1" applyBorder="1" applyAlignment="1">
      <alignment horizontal="center" vertical="center"/>
    </xf>
    <xf numFmtId="0" fontId="17" fillId="0" borderId="0" xfId="52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7" fillId="0" borderId="0" xfId="52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0" fillId="0" borderId="12" xfId="52" applyFont="1" applyBorder="1" applyAlignment="1">
      <alignment horizontal="center" vertical="center"/>
    </xf>
    <xf numFmtId="0" fontId="40" fillId="0" borderId="13" xfId="52" applyFont="1" applyBorder="1" applyAlignment="1">
      <alignment horizontal="center" vertical="center" wrapText="1"/>
    </xf>
    <xf numFmtId="0" fontId="40" fillId="0" borderId="11" xfId="52" applyFont="1" applyBorder="1" applyAlignment="1">
      <alignment horizontal="center" vertical="center" wrapText="1"/>
    </xf>
    <xf numFmtId="0" fontId="40" fillId="0" borderId="12" xfId="52" applyFont="1" applyBorder="1" applyAlignment="1">
      <alignment horizontal="center" vertical="center" wrapText="1"/>
    </xf>
    <xf numFmtId="0" fontId="42" fillId="0" borderId="23" xfId="0" applyFont="1" applyBorder="1" applyAlignment="1">
      <alignment horizontal="left"/>
    </xf>
    <xf numFmtId="0" fontId="42" fillId="0" borderId="51" xfId="0" applyFont="1" applyBorder="1" applyAlignment="1">
      <alignment horizontal="left"/>
    </xf>
    <xf numFmtId="0" fontId="42" fillId="0" borderId="42" xfId="0" applyFont="1" applyBorder="1" applyAlignment="1">
      <alignment horizontal="left"/>
    </xf>
    <xf numFmtId="49" fontId="40" fillId="0" borderId="13" xfId="0" applyNumberFormat="1" applyFont="1" applyBorder="1" applyAlignment="1">
      <alignment horizontal="center" vertical="center"/>
    </xf>
    <xf numFmtId="49" fontId="40" fillId="0" borderId="10" xfId="0" applyNumberFormat="1" applyFont="1" applyBorder="1" applyAlignment="1">
      <alignment horizontal="center" vertical="center"/>
    </xf>
    <xf numFmtId="49" fontId="40" fillId="0" borderId="11" xfId="0" applyNumberFormat="1" applyFont="1" applyBorder="1" applyAlignment="1">
      <alignment horizontal="center" vertical="center"/>
    </xf>
    <xf numFmtId="0" fontId="42" fillId="0" borderId="12" xfId="0" applyFont="1" applyBorder="1" applyAlignment="1">
      <alignment horizontal="center"/>
    </xf>
    <xf numFmtId="3" fontId="0" fillId="0" borderId="23" xfId="0" applyNumberFormat="1" applyBorder="1" applyAlignment="1">
      <alignment horizontal="left"/>
    </xf>
    <xf numFmtId="3" fontId="0" fillId="0" borderId="51" xfId="0" applyNumberFormat="1" applyBorder="1" applyAlignment="1">
      <alignment horizontal="left"/>
    </xf>
    <xf numFmtId="3" fontId="0" fillId="0" borderId="42" xfId="0" applyNumberFormat="1" applyBorder="1" applyAlignment="1">
      <alignment horizontal="left"/>
    </xf>
    <xf numFmtId="0" fontId="40" fillId="0" borderId="17" xfId="0" applyFont="1" applyBorder="1" applyAlignment="1">
      <alignment horizontal="center" vertical="center" wrapText="1"/>
    </xf>
    <xf numFmtId="0" fontId="40" fillId="0" borderId="35" xfId="0" applyFont="1" applyBorder="1" applyAlignment="1">
      <alignment horizontal="center" vertical="center" wrapText="1"/>
    </xf>
    <xf numFmtId="0" fontId="40" fillId="0" borderId="46" xfId="0" applyFont="1" applyBorder="1" applyAlignment="1">
      <alignment horizontal="center" vertical="center" wrapText="1"/>
    </xf>
    <xf numFmtId="0" fontId="40" fillId="0" borderId="16" xfId="0" applyFont="1" applyBorder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40" fillId="0" borderId="20" xfId="0" applyFont="1" applyBorder="1" applyAlignment="1">
      <alignment horizontal="center" vertical="center" wrapText="1"/>
    </xf>
    <xf numFmtId="0" fontId="40" fillId="0" borderId="27" xfId="0" applyFont="1" applyBorder="1" applyAlignment="1">
      <alignment horizontal="center" vertical="center" wrapText="1"/>
    </xf>
    <xf numFmtId="0" fontId="40" fillId="0" borderId="19" xfId="0" applyFont="1" applyBorder="1" applyAlignment="1">
      <alignment horizontal="center" vertical="center" wrapText="1"/>
    </xf>
    <xf numFmtId="0" fontId="40" fillId="0" borderId="41" xfId="0" applyFont="1" applyBorder="1" applyAlignment="1">
      <alignment horizontal="center" vertical="center" wrapText="1"/>
    </xf>
    <xf numFmtId="3" fontId="40" fillId="0" borderId="13" xfId="0" applyNumberFormat="1" applyFont="1" applyBorder="1" applyAlignment="1">
      <alignment horizontal="center" vertical="center"/>
    </xf>
    <xf numFmtId="0" fontId="40" fillId="0" borderId="10" xfId="0" applyFont="1" applyBorder="1" applyAlignment="1">
      <alignment horizontal="center" vertical="center"/>
    </xf>
    <xf numFmtId="0" fontId="40" fillId="0" borderId="11" xfId="0" applyFont="1" applyBorder="1" applyAlignment="1">
      <alignment horizontal="center" vertical="center"/>
    </xf>
    <xf numFmtId="3" fontId="40" fillId="0" borderId="10" xfId="0" applyNumberFormat="1" applyFont="1" applyBorder="1" applyAlignment="1">
      <alignment horizontal="center" vertical="center"/>
    </xf>
    <xf numFmtId="3" fontId="40" fillId="0" borderId="11" xfId="0" applyNumberFormat="1" applyFont="1" applyBorder="1" applyAlignment="1">
      <alignment horizontal="center" vertical="center"/>
    </xf>
    <xf numFmtId="49" fontId="40" fillId="0" borderId="12" xfId="0" applyNumberFormat="1" applyFont="1" applyBorder="1" applyAlignment="1">
      <alignment horizontal="center" vertical="center"/>
    </xf>
    <xf numFmtId="0" fontId="40" fillId="0" borderId="12" xfId="0" applyFont="1" applyBorder="1" applyAlignment="1">
      <alignment horizontal="center" vertical="center" wrapText="1"/>
    </xf>
    <xf numFmtId="0" fontId="54" fillId="0" borderId="17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46" xfId="0" applyFont="1" applyBorder="1" applyAlignment="1">
      <alignment horizontal="center" vertical="center" wrapText="1"/>
    </xf>
    <xf numFmtId="0" fontId="54" fillId="0" borderId="27" xfId="0" applyFont="1" applyBorder="1" applyAlignment="1">
      <alignment horizontal="center" vertical="center" wrapText="1"/>
    </xf>
    <xf numFmtId="0" fontId="54" fillId="0" borderId="19" xfId="0" applyFont="1" applyBorder="1" applyAlignment="1">
      <alignment horizontal="center" vertical="center" wrapText="1"/>
    </xf>
    <xf numFmtId="0" fontId="54" fillId="0" borderId="41" xfId="0" applyFont="1" applyBorder="1" applyAlignment="1">
      <alignment horizontal="center" vertical="center" wrapText="1"/>
    </xf>
    <xf numFmtId="3" fontId="8" fillId="0" borderId="46" xfId="0" applyNumberFormat="1" applyFont="1" applyBorder="1" applyAlignment="1">
      <alignment horizontal="center" vertical="center"/>
    </xf>
    <xf numFmtId="3" fontId="8" fillId="0" borderId="41" xfId="0" applyNumberFormat="1" applyFont="1" applyBorder="1" applyAlignment="1">
      <alignment horizontal="center" vertical="center"/>
    </xf>
    <xf numFmtId="0" fontId="42" fillId="0" borderId="23" xfId="0" applyFont="1" applyBorder="1" applyAlignment="1">
      <alignment horizontal="center"/>
    </xf>
    <xf numFmtId="0" fontId="42" fillId="0" borderId="42" xfId="0" applyFont="1" applyBorder="1" applyAlignment="1">
      <alignment horizontal="center"/>
    </xf>
    <xf numFmtId="3" fontId="1" fillId="15" borderId="23" xfId="57" applyNumberFormat="1" applyFill="1" applyBorder="1"/>
    <xf numFmtId="3" fontId="1" fillId="15" borderId="51" xfId="57" applyNumberFormat="1" applyFill="1" applyBorder="1"/>
    <xf numFmtId="3" fontId="1" fillId="15" borderId="42" xfId="57" applyNumberFormat="1" applyFill="1" applyBorder="1"/>
    <xf numFmtId="0" fontId="42" fillId="0" borderId="12" xfId="0" applyFont="1" applyBorder="1" applyAlignment="1">
      <alignment horizontal="center" vertical="center"/>
    </xf>
    <xf numFmtId="0" fontId="42" fillId="0" borderId="23" xfId="0" applyFont="1" applyBorder="1" applyAlignment="1">
      <alignment horizontal="left" vertical="center"/>
    </xf>
    <xf numFmtId="0" fontId="42" fillId="0" borderId="51" xfId="0" applyFont="1" applyBorder="1" applyAlignment="1">
      <alignment horizontal="left" vertical="center"/>
    </xf>
    <xf numFmtId="0" fontId="42" fillId="0" borderId="42" xfId="0" applyFont="1" applyBorder="1" applyAlignment="1">
      <alignment horizontal="left" vertical="center"/>
    </xf>
    <xf numFmtId="3" fontId="0" fillId="15" borderId="23" xfId="57" applyNumberFormat="1" applyFont="1" applyFill="1" applyBorder="1"/>
    <xf numFmtId="3" fontId="0" fillId="15" borderId="23" xfId="57" applyNumberFormat="1" applyFont="1" applyFill="1" applyBorder="1" applyAlignment="1">
      <alignment horizontal="left"/>
    </xf>
    <xf numFmtId="3" fontId="0" fillId="15" borderId="51" xfId="57" applyNumberFormat="1" applyFont="1" applyFill="1" applyBorder="1" applyAlignment="1">
      <alignment horizontal="left"/>
    </xf>
    <xf numFmtId="3" fontId="0" fillId="15" borderId="42" xfId="57" applyNumberFormat="1" applyFont="1" applyFill="1" applyBorder="1" applyAlignment="1">
      <alignment horizontal="left"/>
    </xf>
    <xf numFmtId="49" fontId="42" fillId="0" borderId="23" xfId="0" applyNumberFormat="1" applyFont="1" applyBorder="1" applyAlignment="1">
      <alignment horizontal="center" vertical="center"/>
    </xf>
    <xf numFmtId="49" fontId="42" fillId="0" borderId="42" xfId="0" applyNumberFormat="1" applyFont="1" applyBorder="1" applyAlignment="1">
      <alignment horizontal="center" vertical="center"/>
    </xf>
    <xf numFmtId="49" fontId="42" fillId="0" borderId="23" xfId="0" applyNumberFormat="1" applyFont="1" applyBorder="1" applyAlignment="1">
      <alignment horizontal="left"/>
    </xf>
    <xf numFmtId="49" fontId="42" fillId="0" borderId="51" xfId="0" applyNumberFormat="1" applyFont="1" applyBorder="1" applyAlignment="1">
      <alignment horizontal="left"/>
    </xf>
    <xf numFmtId="49" fontId="42" fillId="0" borderId="42" xfId="0" applyNumberFormat="1" applyFont="1" applyBorder="1" applyAlignment="1">
      <alignment horizontal="left"/>
    </xf>
    <xf numFmtId="3" fontId="40" fillId="15" borderId="13" xfId="0" applyNumberFormat="1" applyFont="1" applyFill="1" applyBorder="1" applyAlignment="1">
      <alignment horizontal="right" vertical="center"/>
    </xf>
    <xf numFmtId="0" fontId="40" fillId="15" borderId="10" xfId="0" applyFont="1" applyFill="1" applyBorder="1" applyAlignment="1">
      <alignment horizontal="right" vertical="center"/>
    </xf>
    <xf numFmtId="0" fontId="40" fillId="15" borderId="11" xfId="0" applyFont="1" applyFill="1" applyBorder="1" applyAlignment="1">
      <alignment horizontal="right" vertical="center"/>
    </xf>
    <xf numFmtId="0" fontId="8" fillId="0" borderId="17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3" fontId="8" fillId="0" borderId="46" xfId="0" applyNumberFormat="1" applyFont="1" applyBorder="1" applyAlignment="1">
      <alignment horizontal="right" vertical="center"/>
    </xf>
    <xf numFmtId="0" fontId="8" fillId="0" borderId="41" xfId="0" applyFont="1" applyBorder="1" applyAlignment="1">
      <alignment horizontal="right" vertical="center"/>
    </xf>
    <xf numFmtId="3" fontId="40" fillId="0" borderId="13" xfId="0" applyNumberFormat="1" applyFont="1" applyBorder="1" applyAlignment="1">
      <alignment horizontal="right" vertical="center"/>
    </xf>
    <xf numFmtId="0" fontId="40" fillId="0" borderId="10" xfId="0" applyFont="1" applyBorder="1" applyAlignment="1">
      <alignment horizontal="right" vertical="center"/>
    </xf>
    <xf numFmtId="0" fontId="40" fillId="0" borderId="11" xfId="0" applyFont="1" applyBorder="1" applyAlignment="1">
      <alignment horizontal="right" vertical="center"/>
    </xf>
    <xf numFmtId="0" fontId="42" fillId="0" borderId="12" xfId="0" applyFont="1" applyBorder="1" applyAlignment="1">
      <alignment horizontal="left" vertical="center"/>
    </xf>
    <xf numFmtId="0" fontId="42" fillId="0" borderId="23" xfId="0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12" xfId="36" applyFont="1" applyBorder="1" applyAlignment="1">
      <alignment horizontal="left"/>
    </xf>
    <xf numFmtId="0" fontId="42" fillId="0" borderId="23" xfId="36" applyFont="1" applyBorder="1" applyAlignment="1">
      <alignment horizontal="left"/>
    </xf>
    <xf numFmtId="0" fontId="42" fillId="0" borderId="51" xfId="36" applyFont="1" applyBorder="1" applyAlignment="1">
      <alignment horizontal="left"/>
    </xf>
    <xf numFmtId="0" fontId="42" fillId="0" borderId="42" xfId="36" applyFont="1" applyBorder="1" applyAlignment="1">
      <alignment horizontal="left"/>
    </xf>
  </cellXfs>
  <cellStyles count="83">
    <cellStyle name="20% - 1. jelölőszín" xfId="1" builtinId="30" customBuiltin="1"/>
    <cellStyle name="20% - 1. jelölőszín 2" xfId="59" xr:uid="{00000000-0005-0000-0000-000001000000}"/>
    <cellStyle name="20% - 2. jelölőszín" xfId="2" builtinId="34" customBuiltin="1"/>
    <cellStyle name="20% - 2. jelölőszín 2" xfId="60" xr:uid="{00000000-0005-0000-0000-000003000000}"/>
    <cellStyle name="20% - 3. jelölőszín" xfId="3" builtinId="38" customBuiltin="1"/>
    <cellStyle name="20% - 3. jelölőszín 2" xfId="61" xr:uid="{00000000-0005-0000-0000-000005000000}"/>
    <cellStyle name="20% - 4. jelölőszín" xfId="4" builtinId="42" customBuiltin="1"/>
    <cellStyle name="20% - 4. jelölőszín 2" xfId="62" xr:uid="{00000000-0005-0000-0000-000007000000}"/>
    <cellStyle name="20% - 5. jelölőszín" xfId="5" builtinId="46" customBuiltin="1"/>
    <cellStyle name="20% - 6. jelölőszín" xfId="6" builtinId="50" customBuiltin="1"/>
    <cellStyle name="20% - 6. jelölőszín 2" xfId="63" xr:uid="{00000000-0005-0000-0000-00000A000000}"/>
    <cellStyle name="40% - 1. jelölőszín" xfId="7" builtinId="31" customBuiltin="1"/>
    <cellStyle name="40% - 1. jelölőszín 2" xfId="64" xr:uid="{00000000-0005-0000-0000-00000C000000}"/>
    <cellStyle name="40% - 2. jelölőszín" xfId="8" builtinId="35" customBuiltin="1"/>
    <cellStyle name="40% - 3. jelölőszín" xfId="9" builtinId="39" customBuiltin="1"/>
    <cellStyle name="40% - 3. jelölőszín 2" xfId="65" xr:uid="{00000000-0005-0000-0000-00000F000000}"/>
    <cellStyle name="40% - 4. jelölőszín" xfId="10" builtinId="43" customBuiltin="1"/>
    <cellStyle name="40% - 4. jelölőszín 2" xfId="66" xr:uid="{00000000-0005-0000-0000-000011000000}"/>
    <cellStyle name="40% - 5. jelölőszín" xfId="11" builtinId="47" customBuiltin="1"/>
    <cellStyle name="40% - 6. jelölőszín" xfId="12" builtinId="51" customBuiltin="1"/>
    <cellStyle name="40% - 6. jelölőszín 2" xfId="67" xr:uid="{00000000-0005-0000-0000-000014000000}"/>
    <cellStyle name="60% - 1. jelölőszín" xfId="13" builtinId="32" customBuiltin="1"/>
    <cellStyle name="60% - 1. jelölőszín 2" xfId="68" xr:uid="{00000000-0005-0000-0000-000016000000}"/>
    <cellStyle name="60% - 2. jelölőszín" xfId="14" builtinId="36" customBuiltin="1"/>
    <cellStyle name="60% - 3. jelölőszín" xfId="15" builtinId="40" customBuiltin="1"/>
    <cellStyle name="60% - 3. jelölőszín 2" xfId="69" xr:uid="{00000000-0005-0000-0000-000019000000}"/>
    <cellStyle name="60% - 4. jelölőszín" xfId="16" builtinId="44" customBuiltin="1"/>
    <cellStyle name="60% - 4. jelölőszín 2" xfId="70" xr:uid="{00000000-0005-0000-0000-00001B000000}"/>
    <cellStyle name="60% - 5. jelölőszín" xfId="17" builtinId="48" customBuiltin="1"/>
    <cellStyle name="60% - 6. jelölőszín" xfId="18" builtinId="52" customBuiltin="1"/>
    <cellStyle name="60% - 6. jelölőszín 2" xfId="71" xr:uid="{00000000-0005-0000-0000-00001E000000}"/>
    <cellStyle name="Bevitel" xfId="19" builtinId="20" customBuiltin="1"/>
    <cellStyle name="Bevitel 2" xfId="72" xr:uid="{00000000-0005-0000-0000-000020000000}"/>
    <cellStyle name="Cím" xfId="20" builtinId="15" customBuiltin="1"/>
    <cellStyle name="Cím 2" xfId="73" xr:uid="{00000000-0005-0000-0000-000022000000}"/>
    <cellStyle name="Címsor 1" xfId="21" builtinId="16" customBuiltin="1"/>
    <cellStyle name="Címsor 1 2" xfId="74" xr:uid="{00000000-0005-0000-0000-000024000000}"/>
    <cellStyle name="Címsor 2" xfId="22" builtinId="17" customBuiltin="1"/>
    <cellStyle name="Címsor 2 2" xfId="75" xr:uid="{00000000-0005-0000-0000-000026000000}"/>
    <cellStyle name="Címsor 3" xfId="23" builtinId="18" customBuiltin="1"/>
    <cellStyle name="Címsor 3 2" xfId="76" xr:uid="{00000000-0005-0000-0000-000028000000}"/>
    <cellStyle name="Címsor 4" xfId="24" builtinId="19" customBuiltin="1"/>
    <cellStyle name="Címsor 4 2" xfId="77" xr:uid="{00000000-0005-0000-0000-00002A000000}"/>
    <cellStyle name="Ellenőrzőcella" xfId="25" builtinId="23" customBuiltin="1"/>
    <cellStyle name="Ezres" xfId="26" builtinId="3"/>
    <cellStyle name="Figyelmeztetés" xfId="27" builtinId="11" customBuiltin="1"/>
    <cellStyle name="Hivatkozott cella" xfId="28" builtinId="24" customBuiltin="1"/>
    <cellStyle name="Jegyzet" xfId="29" builtinId="10" customBuiltin="1"/>
    <cellStyle name="Jegyzet 2" xfId="78" xr:uid="{00000000-0005-0000-0000-000030000000}"/>
    <cellStyle name="Jó" xfId="30" builtinId="26" customBuiltin="1"/>
    <cellStyle name="Kimenet" xfId="31" builtinId="21" customBuiltin="1"/>
    <cellStyle name="Kimenet 2" xfId="79" xr:uid="{00000000-0005-0000-0000-000033000000}"/>
    <cellStyle name="Magyarázó szöveg" xfId="32" builtinId="53" customBuiltin="1"/>
    <cellStyle name="Normál" xfId="0" builtinId="0"/>
    <cellStyle name="Normál 2" xfId="33" xr:uid="{00000000-0005-0000-0000-000036000000}"/>
    <cellStyle name="Normál 2 2" xfId="80" xr:uid="{00000000-0005-0000-0000-000037000000}"/>
    <cellStyle name="Normál 3" xfId="58" xr:uid="{00000000-0005-0000-0000-000038000000}"/>
    <cellStyle name="Normál_10mellütemterv" xfId="47" xr:uid="{00000000-0005-0000-0000-000039000000}"/>
    <cellStyle name="Normál_2.sz. melléklet javított" xfId="34" xr:uid="{00000000-0005-0000-0000-00003A000000}"/>
    <cellStyle name="Normál_2006évimozgástáblák" xfId="57" xr:uid="{00000000-0005-0000-0000-00003B000000}"/>
    <cellStyle name="Normál_2007eredetiköltségvetés" xfId="48" xr:uid="{00000000-0005-0000-0000-00003C000000}"/>
    <cellStyle name="Normál_2008évivéglegesköltségvetésfebr13" xfId="49" xr:uid="{00000000-0005-0000-0000-00003D000000}"/>
    <cellStyle name="Normál_2010koltsegvetesjan13" xfId="50" xr:uid="{00000000-0005-0000-0000-00003E000000}"/>
    <cellStyle name="Normál_2011müködésifelhalmérlegfebr17" xfId="35" xr:uid="{00000000-0005-0000-0000-00003F000000}"/>
    <cellStyle name="Normál_2012éviköltségvetésjan19este" xfId="36" xr:uid="{00000000-0005-0000-0000-000040000000}"/>
    <cellStyle name="Normál_2012éviköltségvetésjan19este 2" xfId="37" xr:uid="{00000000-0005-0000-0000-000041000000}"/>
    <cellStyle name="Normál_2012éviköltségvetésjan19este 2 2" xfId="56" xr:uid="{00000000-0005-0000-0000-000042000000}"/>
    <cellStyle name="Normál_2012koncepcióhozhitel állomány" xfId="46" xr:uid="{00000000-0005-0000-0000-000043000000}"/>
    <cellStyle name="Normál_2012létszám tábla" xfId="51" xr:uid="{00000000-0005-0000-0000-000044000000}"/>
    <cellStyle name="Normál_2014.évi költségvetés tervezés jan11" xfId="38" xr:uid="{00000000-0005-0000-0000-000045000000}"/>
    <cellStyle name="Normál_3évsaját bevétel-2013" xfId="52" xr:uid="{00000000-0005-0000-0000-000046000000}"/>
    <cellStyle name="Normál_eus tábla" xfId="53" xr:uid="{00000000-0005-0000-0000-000047000000}"/>
    <cellStyle name="Normal_KARSZJ3" xfId="39" xr:uid="{00000000-0005-0000-0000-000048000000}"/>
    <cellStyle name="Normál_Kötelző feladatok" xfId="54" xr:uid="{00000000-0005-0000-0000-000049000000}"/>
    <cellStyle name="Normál_közvetett támogatás" xfId="55" xr:uid="{00000000-0005-0000-0000-00004A000000}"/>
    <cellStyle name="Normal_KTRSZJ" xfId="40" xr:uid="{00000000-0005-0000-0000-00004B000000}"/>
    <cellStyle name="Összesen" xfId="41" builtinId="25" customBuiltin="1"/>
    <cellStyle name="Összesen 2" xfId="81" xr:uid="{00000000-0005-0000-0000-00004D000000}"/>
    <cellStyle name="Rossz" xfId="42" builtinId="27" customBuiltin="1"/>
    <cellStyle name="Semleges" xfId="43" builtinId="28" customBuiltin="1"/>
    <cellStyle name="Számítás" xfId="44" builtinId="22" customBuiltin="1"/>
    <cellStyle name="Számítás 2" xfId="82" xr:uid="{00000000-0005-0000-0000-000051000000}"/>
    <cellStyle name="Százalék" xfId="45" builtinId="5"/>
  </cellStyles>
  <dxfs count="0"/>
  <tableStyles count="0" defaultTableStyle="TableStyleMedium2" defaultPivotStyle="PivotStyleLight16"/>
  <colors>
    <mruColors>
      <color rgb="FF00B05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4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3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2.xml"/><Relationship Id="rId28" Type="http://schemas.openxmlformats.org/officeDocument/2006/relationships/externalLink" Target="externalLinks/externalLink7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Relationship Id="rId27" Type="http://schemas.openxmlformats.org/officeDocument/2006/relationships/externalLink" Target="externalLinks/externalLink6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ctrlProps/ctrlProp8.xml><?xml version="1.0" encoding="utf-8"?>
<formControlPr xmlns="http://schemas.microsoft.com/office/spreadsheetml/2009/9/main" objectType="Button" lockText="1"/>
</file>

<file path=xl/ctrlProps/ctrlProp9.xml><?xml version="1.0" encoding="utf-8"?>
<formControlPr xmlns="http://schemas.microsoft.com/office/spreadsheetml/2009/9/main" objectType="Button" lockText="1"/>
</file>

<file path=xl/ctrlProps/ctrlProp10.xml><?xml version="1.0" encoding="utf-8"?>
<formControlPr xmlns="http://schemas.microsoft.com/office/spreadsheetml/2009/9/main" objectType="Button" lockText="1"/>
</file>

<file path=xl/ctrlProps/ctrlProp11.xml><?xml version="1.0" encoding="utf-8"?>
<formControlPr xmlns="http://schemas.microsoft.com/office/spreadsheetml/2009/9/main" objectType="Button" lockText="1"/>
</file>

<file path=xl/ctrlProps/ctrlProp12.xml><?xml version="1.0" encoding="utf-8"?>
<formControlPr xmlns="http://schemas.microsoft.com/office/spreadsheetml/2009/9/main" objectType="Button" lockText="1"/>
</file>

<file path=xl/ctrlProps/ctrlProp13.xml><?xml version="1.0" encoding="utf-8"?>
<formControlPr xmlns="http://schemas.microsoft.com/office/spreadsheetml/2009/9/main" objectType="Button" lockText="1"/>
</file>

<file path=xl/ctrlProps/ctrlProp14.xml><?xml version="1.0" encoding="utf-8"?>
<formControlPr xmlns="http://schemas.microsoft.com/office/spreadsheetml/2009/9/main" objectType="Button" lockText="1"/>
</file>

<file path=xl/ctrlProps/ctrlProp15.xml><?xml version="1.0" encoding="utf-8"?>
<formControlPr xmlns="http://schemas.microsoft.com/office/spreadsheetml/2009/9/main" objectType="Button" lockText="1"/>
</file>

<file path=xl/ctrlProps/ctrlProp16.xml><?xml version="1.0" encoding="utf-8"?>
<formControlPr xmlns="http://schemas.microsoft.com/office/spreadsheetml/2009/9/main" objectType="Button" lockText="1"/>
</file>

<file path=xl/ctrlProps/ctrlProp17.xml><?xml version="1.0" encoding="utf-8"?>
<formControlPr xmlns="http://schemas.microsoft.com/office/spreadsheetml/2009/9/main" objectType="Button" lockText="1"/>
</file>

<file path=xl/ctrlProps/ctrlProp18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793" name="Button 1" hidden="1">
              <a:extLst>
                <a:ext uri="{63B3BB69-23CF-44E3-9099-C40C66FF867C}">
                  <a14:compatExt spid="_x0000_s33793"/>
                </a:ext>
                <a:ext uri="{FF2B5EF4-FFF2-40B4-BE49-F238E27FC236}">
                  <a16:creationId xmlns:a16="http://schemas.microsoft.com/office/drawing/2014/main" id="{00000000-0008-0000-0300-000001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794" name="Button 2" hidden="1">
              <a:extLst>
                <a:ext uri="{63B3BB69-23CF-44E3-9099-C40C66FF867C}">
                  <a14:compatExt spid="_x0000_s33794"/>
                </a:ext>
                <a:ext uri="{FF2B5EF4-FFF2-40B4-BE49-F238E27FC236}">
                  <a16:creationId xmlns:a16="http://schemas.microsoft.com/office/drawing/2014/main" id="{00000000-0008-0000-0300-000002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795" name="Button 3" hidden="1">
              <a:extLst>
                <a:ext uri="{63B3BB69-23CF-44E3-9099-C40C66FF867C}">
                  <a14:compatExt spid="_x0000_s33795"/>
                </a:ext>
                <a:ext uri="{FF2B5EF4-FFF2-40B4-BE49-F238E27FC236}">
                  <a16:creationId xmlns:a16="http://schemas.microsoft.com/office/drawing/2014/main" id="{00000000-0008-0000-0300-000003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796" name="Button 4" hidden="1">
              <a:extLst>
                <a:ext uri="{63B3BB69-23CF-44E3-9099-C40C66FF867C}">
                  <a14:compatExt spid="_x0000_s33796"/>
                </a:ext>
                <a:ext uri="{FF2B5EF4-FFF2-40B4-BE49-F238E27FC236}">
                  <a16:creationId xmlns:a16="http://schemas.microsoft.com/office/drawing/2014/main" id="{00000000-0008-0000-0300-000004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797" name="Button 5" hidden="1">
              <a:extLst>
                <a:ext uri="{63B3BB69-23CF-44E3-9099-C40C66FF867C}">
                  <a14:compatExt spid="_x0000_s33797"/>
                </a:ext>
                <a:ext uri="{FF2B5EF4-FFF2-40B4-BE49-F238E27FC236}">
                  <a16:creationId xmlns:a16="http://schemas.microsoft.com/office/drawing/2014/main" id="{00000000-0008-0000-0300-000005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798" name="Button 6" hidden="1">
              <a:extLst>
                <a:ext uri="{63B3BB69-23CF-44E3-9099-C40C66FF867C}">
                  <a14:compatExt spid="_x0000_s33798"/>
                </a:ext>
                <a:ext uri="{FF2B5EF4-FFF2-40B4-BE49-F238E27FC236}">
                  <a16:creationId xmlns:a16="http://schemas.microsoft.com/office/drawing/2014/main" id="{00000000-0008-0000-0300-000006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799" name="Button 7" hidden="1">
              <a:extLst>
                <a:ext uri="{63B3BB69-23CF-44E3-9099-C40C66FF867C}">
                  <a14:compatExt spid="_x0000_s33799"/>
                </a:ext>
                <a:ext uri="{FF2B5EF4-FFF2-40B4-BE49-F238E27FC236}">
                  <a16:creationId xmlns:a16="http://schemas.microsoft.com/office/drawing/2014/main" id="{00000000-0008-0000-0300-000007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800" name="Button 8" hidden="1">
              <a:extLst>
                <a:ext uri="{63B3BB69-23CF-44E3-9099-C40C66FF867C}">
                  <a14:compatExt spid="_x0000_s33800"/>
                </a:ext>
                <a:ext uri="{FF2B5EF4-FFF2-40B4-BE49-F238E27FC236}">
                  <a16:creationId xmlns:a16="http://schemas.microsoft.com/office/drawing/2014/main" id="{00000000-0008-0000-0300-000008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801" name="Button 9" hidden="1">
              <a:extLst>
                <a:ext uri="{63B3BB69-23CF-44E3-9099-C40C66FF867C}">
                  <a14:compatExt spid="_x0000_s33801"/>
                </a:ext>
                <a:ext uri="{FF2B5EF4-FFF2-40B4-BE49-F238E27FC236}">
                  <a16:creationId xmlns:a16="http://schemas.microsoft.com/office/drawing/2014/main" id="{00000000-0008-0000-0300-000009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802" name="Button 10" hidden="1">
              <a:extLst>
                <a:ext uri="{63B3BB69-23CF-44E3-9099-C40C66FF867C}">
                  <a14:compatExt spid="_x0000_s33802"/>
                </a:ext>
                <a:ext uri="{FF2B5EF4-FFF2-40B4-BE49-F238E27FC236}">
                  <a16:creationId xmlns:a16="http://schemas.microsoft.com/office/drawing/2014/main" id="{00000000-0008-0000-0300-00000A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803" name="Button 11" hidden="1">
              <a:extLst>
                <a:ext uri="{63B3BB69-23CF-44E3-9099-C40C66FF867C}">
                  <a14:compatExt spid="_x0000_s33803"/>
                </a:ext>
                <a:ext uri="{FF2B5EF4-FFF2-40B4-BE49-F238E27FC236}">
                  <a16:creationId xmlns:a16="http://schemas.microsoft.com/office/drawing/2014/main" id="{00000000-0008-0000-0300-00000B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804" name="Button 12" hidden="1">
              <a:extLst>
                <a:ext uri="{63B3BB69-23CF-44E3-9099-C40C66FF867C}">
                  <a14:compatExt spid="_x0000_s33804"/>
                </a:ext>
                <a:ext uri="{FF2B5EF4-FFF2-40B4-BE49-F238E27FC236}">
                  <a16:creationId xmlns:a16="http://schemas.microsoft.com/office/drawing/2014/main" id="{00000000-0008-0000-0300-00000C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805" name="Button 13" hidden="1">
              <a:extLst>
                <a:ext uri="{63B3BB69-23CF-44E3-9099-C40C66FF867C}">
                  <a14:compatExt spid="_x0000_s33805"/>
                </a:ext>
                <a:ext uri="{FF2B5EF4-FFF2-40B4-BE49-F238E27FC236}">
                  <a16:creationId xmlns:a16="http://schemas.microsoft.com/office/drawing/2014/main" id="{00000000-0008-0000-0300-00000D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806" name="Button 14" hidden="1">
              <a:extLst>
                <a:ext uri="{63B3BB69-23CF-44E3-9099-C40C66FF867C}">
                  <a14:compatExt spid="_x0000_s33806"/>
                </a:ext>
                <a:ext uri="{FF2B5EF4-FFF2-40B4-BE49-F238E27FC236}">
                  <a16:creationId xmlns:a16="http://schemas.microsoft.com/office/drawing/2014/main" id="{00000000-0008-0000-0300-00000E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807" name="Button 15" hidden="1">
              <a:extLst>
                <a:ext uri="{63B3BB69-23CF-44E3-9099-C40C66FF867C}">
                  <a14:compatExt spid="_x0000_s33807"/>
                </a:ext>
                <a:ext uri="{FF2B5EF4-FFF2-40B4-BE49-F238E27FC236}">
                  <a16:creationId xmlns:a16="http://schemas.microsoft.com/office/drawing/2014/main" id="{00000000-0008-0000-0300-00000F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808" name="Button 16" hidden="1">
              <a:extLst>
                <a:ext uri="{63B3BB69-23CF-44E3-9099-C40C66FF867C}">
                  <a14:compatExt spid="_x0000_s33808"/>
                </a:ext>
                <a:ext uri="{FF2B5EF4-FFF2-40B4-BE49-F238E27FC236}">
                  <a16:creationId xmlns:a16="http://schemas.microsoft.com/office/drawing/2014/main" id="{00000000-0008-0000-0300-000010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28575</xdr:colOff>
          <xdr:row>0</xdr:row>
          <xdr:rowOff>0</xdr:rowOff>
        </xdr:to>
        <xdr:sp macro="" textlink="">
          <xdr:nvSpPr>
            <xdr:cNvPr id="17409" name="Button 1" hidden="1">
              <a:extLst>
                <a:ext uri="{63B3BB69-23CF-44E3-9099-C40C66FF867C}">
                  <a14:compatExt spid="_x0000_s17409"/>
                </a:ext>
                <a:ext uri="{FF2B5EF4-FFF2-40B4-BE49-F238E27FC236}">
                  <a16:creationId xmlns:a16="http://schemas.microsoft.com/office/drawing/2014/main" id="{00000000-0008-0000-0400-00000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247650</xdr:colOff>
          <xdr:row>0</xdr:row>
          <xdr:rowOff>0</xdr:rowOff>
        </xdr:from>
        <xdr:to>
          <xdr:col>1</xdr:col>
          <xdr:colOff>276225</xdr:colOff>
          <xdr:row>0</xdr:row>
          <xdr:rowOff>0</xdr:rowOff>
        </xdr:to>
        <xdr:sp macro="" textlink="">
          <xdr:nvSpPr>
            <xdr:cNvPr id="17410" name="Button 2" hidden="1">
              <a:extLst>
                <a:ext uri="{63B3BB69-23CF-44E3-9099-C40C66FF867C}">
                  <a14:compatExt spid="_x0000_s17410"/>
                </a:ext>
                <a:ext uri="{FF2B5EF4-FFF2-40B4-BE49-F238E27FC236}">
                  <a16:creationId xmlns:a16="http://schemas.microsoft.com/office/drawing/2014/main" id="{00000000-0008-0000-0400-00000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soserver\kozos\Rendelet%20m&#243;dos&#237;t&#225;s\Rendelet%20m&#243;dos&#237;t&#225;s2010\rend.m&#243;d.010.12.%20h&#243;\Int&#233;zm&#233;nyi%20p&#233;nzf.t&#225;blai2010.12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soserver\kozos\Documents%20and%20Settings\IlonaM\Dokumentumok\Dokumentumok\AKV%202009\2009.%20&#233;vi%20kv%20egy&#233;b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67\sys\Documents%20and%20Settings\FerencZsoltE\Asztal\Szakmai_ig&#233;nyek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FerencZsoltE\Asztal\Szakmai_ig&#233;nyek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soserver\kozos\Documents%20and%20Settings\IlonaM\Dokumentumok\Dokumentumok\AKV%202009\KEMO%202009.%20&#233;vi%20kv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soserver\kozos\Documents%20and%20Settings\IlonaM\Dokumentumok\Dokumentumok\AKV%202008\08%20k&#246;lts&#233;gvet&#233;s\2008.%20&#233;vi%20kv.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KOZOS\Gl_riportok\Formazott_hide\02RIPOR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JBAKATS\SYS\KOZOS\Gl_riportok\Formazott_hide\06RIPOR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Összesen"/>
      <sheetName val="TGSZSZ"/>
      <sheetName val="Kórház"/>
      <sheetName val="Jávorka"/>
      <sheetName val="Zsigmondy"/>
      <sheetName val="Eötvös Szakk."/>
      <sheetName val="Széchenyi"/>
      <sheetName val="Kultsar"/>
      <sheetName val="Géza"/>
      <sheetName val="Alapy"/>
      <sheetName val="RubikE.Koll."/>
      <sheetName val="Erkel"/>
      <sheetName val="Óvoda,Ált.spec.isk"/>
      <sheetName val="Ped.és Gyermkv.Szaksz."/>
      <sheetName val="MERI"/>
      <sheetName val="Integrált szoc"/>
      <sheetName val="Múzeum"/>
      <sheetName val="Levéltár"/>
      <sheetName val="Könyvtár"/>
      <sheetName val="CSXLStore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isebbségi önk."/>
      <sheetName val="Kiadás"/>
      <sheetName val="Bevétel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ötelezettségek"/>
      <sheetName val="összes igény"/>
      <sheetName val="Eredeti tábla"/>
      <sheetName val="CSXLStore"/>
      <sheetName val="csxlDESheet1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ötelezettségek"/>
      <sheetName val="összes igény"/>
      <sheetName val="Eredeti tábla"/>
      <sheetName val="CSXLStore"/>
      <sheetName val="csxlDESheet1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főmérleg"/>
      <sheetName val="1aMűköd. mérleg"/>
      <sheetName val="1bFelhalm. mérleg"/>
      <sheetName val="2Hivatali kv"/>
      <sheetName val="2aHivatal kiad"/>
      <sheetName val="2cCéltartalék"/>
      <sheetName val="6TISZK"/>
      <sheetName val="7Cigány"/>
      <sheetName val="8Német"/>
      <sheetName val="9Szlovák"/>
      <sheetName val="10intberuh-felúj"/>
      <sheetName val="11PM jogcím"/>
      <sheetName val="143éves terv"/>
      <sheetName val="15likviditás"/>
      <sheetName val="Kisebbségi önk."/>
      <sheetName val="Bevétel"/>
      <sheetName val="Kiadás"/>
      <sheetName val="CSXLStore"/>
      <sheetName val="csxlDESheet1"/>
      <sheetName val="csxlDESheet2"/>
      <sheetName val="csxlDESheet3"/>
      <sheetName val="csxlDESheet4"/>
      <sheetName val="csxlDESheet5"/>
      <sheetName val="csxlDESheet6"/>
      <sheetName val="csxlDESheet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gyhatározat mell."/>
      <sheetName val="Függ.tarj."/>
      <sheetName val="1fhiány lev."/>
      <sheetName val="2fSzékházbérlők"/>
      <sheetName val="3fáth.szerz. "/>
      <sheetName val="4forg.kép.ing."/>
      <sheetName val="5fhitelkorlát"/>
      <sheetName val="6fellátotti létsz"/>
      <sheetName val="7fnyugd.névs"/>
      <sheetName val="8fhitel-kötvény kamat"/>
      <sheetName val="Kvrendelet "/>
      <sheetName val="tartalomj"/>
      <sheetName val="1Főmérleg"/>
      <sheetName val="1aműk.mérleg"/>
      <sheetName val="1bFelhalm.mérleg"/>
      <sheetName val="2mérlegössz."/>
      <sheetName val="2aMérlegint"/>
      <sheetName val="2bMérleghiv"/>
      <sheetName val="3-aBevétel"/>
      <sheetName val="3-bKiadás"/>
      <sheetName val="3-cIntézmények"/>
      <sheetName val="3-dInt beruh-felúj"/>
      <sheetName val="3-eKEMÖBev"/>
      <sheetName val="4Megye bev-kiad"/>
      <sheetName val="4aPénzeszköz"/>
      <sheetName val="4bHiv.felúj "/>
      <sheetName val="5adósság-hitel "/>
      <sheetName val="6többéves felad.forrása "/>
      <sheetName val="7központi tám."/>
      <sheetName val="7aközponti tám."/>
      <sheetName val="8gördülő"/>
      <sheetName val="9ütemterv"/>
      <sheetName val="10Létszám"/>
      <sheetName val="11acigány"/>
      <sheetName val="11bszlovák"/>
      <sheetName val="11cnémet"/>
      <sheetName val="csxlDESheet1"/>
      <sheetName val="CSXLSto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2riport"/>
      <sheetName val="Munka2"/>
      <sheetName val="Munka3"/>
    </sheetNames>
    <definedNames>
      <definedName name="run"/>
    </defined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6riport"/>
      <sheetName val="Munka2"/>
      <sheetName val="Munka3"/>
    </sheetNames>
    <definedNames>
      <definedName name="run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Relationship Id="rId5" Type="http://schemas.openxmlformats.org/officeDocument/2006/relationships/ctrlProp" Target="../ctrlProps/ctrlProp18.xml"/><Relationship Id="rId4" Type="http://schemas.openxmlformats.org/officeDocument/2006/relationships/ctrlProp" Target="../ctrlProps/ctrlProp17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0"/>
  <sheetViews>
    <sheetView tabSelected="1" view="pageBreakPreview" topLeftCell="A4" zoomScaleNormal="100" zoomScaleSheetLayoutView="100" workbookViewId="0">
      <selection activeCell="G4" sqref="G4:G5"/>
    </sheetView>
  </sheetViews>
  <sheetFormatPr defaultColWidth="9.140625" defaultRowHeight="12.75" x14ac:dyDescent="0.2"/>
  <cols>
    <col min="1" max="1" width="60.28515625" style="80" customWidth="1"/>
    <col min="2" max="5" width="13" style="80" customWidth="1"/>
    <col min="6" max="6" width="56.140625" style="80" customWidth="1"/>
    <col min="7" max="7" width="11.85546875" style="80" customWidth="1"/>
    <col min="8" max="10" width="11.5703125" style="80" customWidth="1"/>
    <col min="11" max="16384" width="9.140625" style="80"/>
  </cols>
  <sheetData>
    <row r="1" spans="1:10" x14ac:dyDescent="0.2">
      <c r="A1" s="1143" t="s">
        <v>76</v>
      </c>
      <c r="B1" s="1143"/>
      <c r="C1" s="1143"/>
      <c r="D1" s="1143"/>
      <c r="E1" s="1143"/>
      <c r="F1" s="1143"/>
    </row>
    <row r="2" spans="1:10" ht="12.75" customHeight="1" x14ac:dyDescent="0.2">
      <c r="A2" s="1142" t="s">
        <v>77</v>
      </c>
      <c r="B2" s="1142"/>
      <c r="C2" s="1142"/>
      <c r="D2" s="1142"/>
      <c r="E2" s="1142"/>
      <c r="F2" s="1142"/>
    </row>
    <row r="3" spans="1:10" ht="12.75" customHeight="1" x14ac:dyDescent="0.2">
      <c r="A3" s="694"/>
      <c r="B3" s="694"/>
      <c r="C3" s="694"/>
      <c r="D3" s="694"/>
      <c r="E3" s="694"/>
      <c r="F3" s="694"/>
      <c r="G3" s="695"/>
      <c r="J3" s="695" t="s">
        <v>456</v>
      </c>
    </row>
    <row r="4" spans="1:10" ht="12.75" customHeight="1" x14ac:dyDescent="0.2">
      <c r="A4" s="1144" t="s">
        <v>251</v>
      </c>
      <c r="B4" s="1140" t="s">
        <v>1251</v>
      </c>
      <c r="C4" s="1140" t="s">
        <v>1336</v>
      </c>
      <c r="D4" s="1140" t="s">
        <v>1354</v>
      </c>
      <c r="E4" s="1140" t="s">
        <v>1363</v>
      </c>
      <c r="F4" s="1144" t="s">
        <v>252</v>
      </c>
      <c r="G4" s="1140" t="s">
        <v>1251</v>
      </c>
      <c r="H4" s="1140" t="s">
        <v>1336</v>
      </c>
      <c r="I4" s="1140" t="s">
        <v>1354</v>
      </c>
      <c r="J4" s="1140" t="s">
        <v>1363</v>
      </c>
    </row>
    <row r="5" spans="1:10" ht="24.75" customHeight="1" thickBot="1" x14ac:dyDescent="0.25">
      <c r="A5" s="1145"/>
      <c r="B5" s="1141"/>
      <c r="C5" s="1141"/>
      <c r="D5" s="1141"/>
      <c r="E5" s="1141"/>
      <c r="F5" s="1145"/>
      <c r="G5" s="1141"/>
      <c r="H5" s="1141"/>
      <c r="I5" s="1141"/>
      <c r="J5" s="1141"/>
    </row>
    <row r="6" spans="1:10" s="131" customFormat="1" thickTop="1" x14ac:dyDescent="0.2">
      <c r="A6" s="696"/>
      <c r="B6" s="697"/>
      <c r="C6" s="697"/>
      <c r="D6" s="697"/>
      <c r="E6" s="697"/>
      <c r="F6" s="698" t="s">
        <v>253</v>
      </c>
      <c r="G6" s="413">
        <f>SUM('1c.mell '!C130)</f>
        <v>7338142</v>
      </c>
      <c r="H6" s="413">
        <f>SUM('1c.mell '!D130)</f>
        <v>9366942</v>
      </c>
      <c r="I6" s="413">
        <f>SUM('1c.mell '!E130)</f>
        <v>9481249</v>
      </c>
      <c r="J6" s="413">
        <f>SUM('1c.mell '!F130)</f>
        <v>9657001</v>
      </c>
    </row>
    <row r="7" spans="1:10" s="131" customFormat="1" ht="12" x14ac:dyDescent="0.2">
      <c r="A7" s="547" t="s">
        <v>169</v>
      </c>
      <c r="B7" s="592">
        <f>SUM('1b.mell '!C208)</f>
        <v>3544633</v>
      </c>
      <c r="C7" s="592">
        <f>SUM('1b.mell '!D208)</f>
        <v>4270289</v>
      </c>
      <c r="D7" s="592">
        <f>SUM('1b.mell '!E208)</f>
        <v>4379771</v>
      </c>
      <c r="E7" s="592">
        <f>SUM('1b.mell '!F208)</f>
        <v>4424851</v>
      </c>
      <c r="F7" s="699" t="s">
        <v>296</v>
      </c>
      <c r="G7" s="413">
        <f>SUM('1c.mell '!C131)</f>
        <v>1100140</v>
      </c>
      <c r="H7" s="413">
        <f>SUM('1c.mell '!D131)</f>
        <v>1378426</v>
      </c>
      <c r="I7" s="413">
        <f>SUM('1c.mell '!E131)</f>
        <v>1396438</v>
      </c>
      <c r="J7" s="413">
        <f>SUM('1c.mell '!F131)</f>
        <v>1394187</v>
      </c>
    </row>
    <row r="8" spans="1:10" s="131" customFormat="1" ht="12" x14ac:dyDescent="0.2">
      <c r="A8" s="547" t="s">
        <v>173</v>
      </c>
      <c r="B8" s="592">
        <f>SUM('1b.mell '!C17)</f>
        <v>0</v>
      </c>
      <c r="C8" s="592">
        <f>SUM('1b.mell '!D17)</f>
        <v>0</v>
      </c>
      <c r="D8" s="592">
        <f>SUM('1b.mell '!E17)</f>
        <v>0</v>
      </c>
      <c r="E8" s="592">
        <f>SUM('1b.mell '!F17)</f>
        <v>0</v>
      </c>
      <c r="F8" s="700" t="s">
        <v>254</v>
      </c>
      <c r="G8" s="701">
        <f>SUM('1c.mell '!C132)</f>
        <v>8366094</v>
      </c>
      <c r="H8" s="701">
        <f>SUM('1c.mell '!D132)</f>
        <v>10034138</v>
      </c>
      <c r="I8" s="701">
        <f>SUM('1c.mell '!E132)</f>
        <v>10362907</v>
      </c>
      <c r="J8" s="701">
        <f>SUM('1c.mell '!F132)</f>
        <v>10568941</v>
      </c>
    </row>
    <row r="9" spans="1:10" s="131" customFormat="1" ht="12" x14ac:dyDescent="0.2">
      <c r="A9" s="547" t="s">
        <v>467</v>
      </c>
      <c r="B9" s="592">
        <f>SUM('1b.mell '!C211)</f>
        <v>0</v>
      </c>
      <c r="C9" s="592">
        <f>SUM('1b.mell '!D211)</f>
        <v>2041968</v>
      </c>
      <c r="D9" s="592">
        <f>SUM('1b.mell '!E211)</f>
        <v>2045920</v>
      </c>
      <c r="E9" s="592">
        <f>SUM('1b.mell '!F211)</f>
        <v>2058831</v>
      </c>
      <c r="F9" s="700" t="s">
        <v>79</v>
      </c>
      <c r="G9" s="701">
        <f>SUM('1c.mell '!C133)</f>
        <v>184345</v>
      </c>
      <c r="H9" s="701">
        <f>SUM('1c.mell '!D133)</f>
        <v>191858</v>
      </c>
      <c r="I9" s="701">
        <f>SUM('1c.mell '!E133)</f>
        <v>183358</v>
      </c>
      <c r="J9" s="701">
        <f>SUM('1c.mell '!F133)</f>
        <v>183358</v>
      </c>
    </row>
    <row r="10" spans="1:10" s="131" customFormat="1" ht="12" x14ac:dyDescent="0.2">
      <c r="A10" s="547" t="s">
        <v>1020</v>
      </c>
      <c r="B10" s="592">
        <f>SUM('1b.mell '!C210)</f>
        <v>0</v>
      </c>
      <c r="C10" s="592">
        <f>SUM('1b.mell '!D210)</f>
        <v>0</v>
      </c>
      <c r="D10" s="592">
        <f>SUM('1b.mell '!E210)</f>
        <v>0</v>
      </c>
      <c r="E10" s="592">
        <f>SUM('1b.mell '!F210)</f>
        <v>0</v>
      </c>
      <c r="F10" s="700"/>
      <c r="G10" s="701"/>
      <c r="H10" s="701"/>
      <c r="I10" s="701"/>
      <c r="J10" s="701"/>
    </row>
    <row r="11" spans="1:10" s="131" customFormat="1" ht="12" x14ac:dyDescent="0.2">
      <c r="A11" s="547" t="s">
        <v>468</v>
      </c>
      <c r="B11" s="701">
        <f>SUM('1b.mell '!C212)</f>
        <v>0</v>
      </c>
      <c r="C11" s="701">
        <f>SUM('1b.mell '!D212)</f>
        <v>0</v>
      </c>
      <c r="D11" s="701">
        <f>SUM('1b.mell '!E212)</f>
        <v>0</v>
      </c>
      <c r="E11" s="701">
        <f>SUM('1b.mell '!F212)</f>
        <v>0</v>
      </c>
      <c r="F11" s="700" t="s">
        <v>78</v>
      </c>
      <c r="G11" s="701">
        <f>SUM('1c.mell '!C134)</f>
        <v>3607711</v>
      </c>
      <c r="H11" s="701">
        <f>SUM('1c.mell '!D134)</f>
        <v>4051779</v>
      </c>
      <c r="I11" s="701">
        <f>SUM('1c.mell '!E134)</f>
        <v>4008999</v>
      </c>
      <c r="J11" s="701">
        <f>SUM('1c.mell '!F134)</f>
        <v>4072329</v>
      </c>
    </row>
    <row r="12" spans="1:10" s="131" customFormat="1" ht="12" x14ac:dyDescent="0.2">
      <c r="A12" s="104" t="s">
        <v>1014</v>
      </c>
      <c r="B12" s="701">
        <f>SUM('1b.mell '!C213)</f>
        <v>0</v>
      </c>
      <c r="C12" s="701">
        <f>SUM('1b.mell '!D213)</f>
        <v>0</v>
      </c>
      <c r="D12" s="701">
        <f>SUM('1b.mell '!E213)</f>
        <v>750</v>
      </c>
      <c r="E12" s="701">
        <f>SUM('1b.mell '!F213)</f>
        <v>750</v>
      </c>
      <c r="F12" s="702" t="s">
        <v>405</v>
      </c>
      <c r="G12" s="615">
        <f>'6.mell. '!C12</f>
        <v>16404</v>
      </c>
      <c r="H12" s="615">
        <f>'6.mell. '!D12</f>
        <v>50000</v>
      </c>
      <c r="I12" s="615">
        <f>'6.mell. '!E12</f>
        <v>42020</v>
      </c>
      <c r="J12" s="615">
        <f>'6.mell. '!F12</f>
        <v>50000</v>
      </c>
    </row>
    <row r="13" spans="1:10" s="131" customFormat="1" thickBot="1" x14ac:dyDescent="0.25">
      <c r="A13" s="104"/>
      <c r="B13" s="703"/>
      <c r="C13" s="703"/>
      <c r="D13" s="703"/>
      <c r="E13" s="703"/>
      <c r="F13" s="702" t="s">
        <v>1037</v>
      </c>
      <c r="G13" s="615">
        <f>'6.mell. '!C14</f>
        <v>27583</v>
      </c>
      <c r="H13" s="615">
        <f>'6.mell. '!D20+'6.mell. '!D16</f>
        <v>76173</v>
      </c>
      <c r="I13" s="615">
        <f>'6.mell. '!E20+'6.mell. '!E16</f>
        <v>56173</v>
      </c>
      <c r="J13" s="615">
        <f>'6.mell. '!F20+'6.mell. '!F16</f>
        <v>56173</v>
      </c>
    </row>
    <row r="14" spans="1:10" s="131" customFormat="1" thickBot="1" x14ac:dyDescent="0.25">
      <c r="A14" s="704" t="s">
        <v>174</v>
      </c>
      <c r="B14" s="705">
        <f>SUM(B7:B13)</f>
        <v>3544633</v>
      </c>
      <c r="C14" s="705">
        <f>SUM(C7:C13)</f>
        <v>6312257</v>
      </c>
      <c r="D14" s="705">
        <f>SUM(D7:D13)</f>
        <v>6426441</v>
      </c>
      <c r="E14" s="705">
        <f>SUM(E7:E13)</f>
        <v>6484432</v>
      </c>
      <c r="F14" s="702"/>
      <c r="G14" s="615"/>
      <c r="H14" s="615"/>
      <c r="I14" s="615"/>
      <c r="J14" s="615"/>
    </row>
    <row r="15" spans="1:10" s="131" customFormat="1" ht="12" x14ac:dyDescent="0.2">
      <c r="A15" s="706" t="s">
        <v>175</v>
      </c>
      <c r="B15" s="707">
        <f>SUM('1b.mell '!C215)</f>
        <v>5377421</v>
      </c>
      <c r="C15" s="707">
        <f>SUM('1b.mell '!D215)</f>
        <v>5377421</v>
      </c>
      <c r="D15" s="707">
        <f>SUM('1b.mell '!E215)</f>
        <v>5377421</v>
      </c>
      <c r="E15" s="707">
        <f>SUM('1b.mell '!F215)</f>
        <v>5377421</v>
      </c>
      <c r="F15" s="702"/>
      <c r="G15" s="615"/>
      <c r="H15" s="615"/>
      <c r="I15" s="615"/>
      <c r="J15" s="615"/>
    </row>
    <row r="16" spans="1:10" s="131" customFormat="1" x14ac:dyDescent="0.2">
      <c r="A16" s="706" t="s">
        <v>176</v>
      </c>
      <c r="B16" s="413">
        <f>SUM('1b.mell '!C216)</f>
        <v>9857538</v>
      </c>
      <c r="C16" s="413">
        <f>SUM('1b.mell '!D216)</f>
        <v>9857538</v>
      </c>
      <c r="D16" s="413">
        <f>SUM('1b.mell '!E216)</f>
        <v>9857538</v>
      </c>
      <c r="E16" s="413">
        <f>SUM('1b.mell '!F216)</f>
        <v>9933538</v>
      </c>
      <c r="F16" s="708"/>
      <c r="G16" s="615"/>
      <c r="H16" s="615"/>
      <c r="I16" s="615"/>
      <c r="J16" s="615"/>
    </row>
    <row r="17" spans="1:10" s="131" customFormat="1" ht="13.5" thickBot="1" x14ac:dyDescent="0.25">
      <c r="A17" s="709" t="s">
        <v>5</v>
      </c>
      <c r="B17" s="703">
        <f>SUM('1b.mell '!C217)</f>
        <v>899172</v>
      </c>
      <c r="C17" s="703">
        <f>SUM('1b.mell '!D217)</f>
        <v>899172</v>
      </c>
      <c r="D17" s="703">
        <f>SUM('1b.mell '!E217)</f>
        <v>900952</v>
      </c>
      <c r="E17" s="703">
        <f>SUM('1b.mell '!F217)</f>
        <v>900952</v>
      </c>
      <c r="F17" s="708"/>
      <c r="G17" s="615"/>
      <c r="H17" s="615"/>
      <c r="I17" s="615"/>
      <c r="J17" s="615"/>
    </row>
    <row r="18" spans="1:10" s="131" customFormat="1" ht="13.5" thickBot="1" x14ac:dyDescent="0.25">
      <c r="A18" s="710" t="s">
        <v>182</v>
      </c>
      <c r="B18" s="711">
        <f t="shared" ref="B18:C18" si="0">SUM(B15:B17)</f>
        <v>16134131</v>
      </c>
      <c r="C18" s="711">
        <f t="shared" si="0"/>
        <v>16134131</v>
      </c>
      <c r="D18" s="711">
        <f t="shared" ref="D18:E18" si="1">SUM(D15:D17)</f>
        <v>16135911</v>
      </c>
      <c r="E18" s="711">
        <f t="shared" si="1"/>
        <v>16211911</v>
      </c>
      <c r="F18" s="708"/>
      <c r="G18" s="701"/>
      <c r="H18" s="701"/>
      <c r="I18" s="701"/>
      <c r="J18" s="701"/>
    </row>
    <row r="19" spans="1:10" s="131" customFormat="1" x14ac:dyDescent="0.2">
      <c r="A19" s="712" t="s">
        <v>372</v>
      </c>
      <c r="B19" s="413">
        <f>SUM('1b.mell '!C219)</f>
        <v>0</v>
      </c>
      <c r="C19" s="413">
        <f>SUM('1b.mell '!D219)</f>
        <v>0</v>
      </c>
      <c r="D19" s="413">
        <f>SUM('1b.mell '!E219)</f>
        <v>0</v>
      </c>
      <c r="E19" s="413">
        <f>SUM('1b.mell '!F219)</f>
        <v>21</v>
      </c>
      <c r="F19" s="708"/>
      <c r="G19" s="615"/>
      <c r="H19" s="615"/>
      <c r="I19" s="615"/>
      <c r="J19" s="615"/>
    </row>
    <row r="20" spans="1:10" s="131" customFormat="1" x14ac:dyDescent="0.2">
      <c r="A20" s="706" t="s">
        <v>183</v>
      </c>
      <c r="B20" s="413">
        <f>SUM('1b.mell '!C220)</f>
        <v>2030915</v>
      </c>
      <c r="C20" s="413">
        <f>SUM('1b.mell '!D220)</f>
        <v>2167183</v>
      </c>
      <c r="D20" s="413">
        <f>SUM('1b.mell '!E220)</f>
        <v>2183409</v>
      </c>
      <c r="E20" s="413">
        <f>SUM('1b.mell '!F220)</f>
        <v>2198627</v>
      </c>
      <c r="F20" s="708"/>
      <c r="G20" s="615"/>
      <c r="H20" s="615"/>
      <c r="I20" s="615"/>
      <c r="J20" s="615"/>
    </row>
    <row r="21" spans="1:10" s="131" customFormat="1" x14ac:dyDescent="0.2">
      <c r="A21" s="547" t="s">
        <v>184</v>
      </c>
      <c r="B21" s="413">
        <f>SUM('1b.mell '!C221)</f>
        <v>202736</v>
      </c>
      <c r="C21" s="413">
        <f>SUM('1b.mell '!D221)</f>
        <v>225736</v>
      </c>
      <c r="D21" s="413">
        <f>SUM('1b.mell '!E221)</f>
        <v>225736</v>
      </c>
      <c r="E21" s="413">
        <f>SUM('1b.mell '!F221)</f>
        <v>231185</v>
      </c>
      <c r="F21" s="708"/>
      <c r="G21" s="615"/>
      <c r="H21" s="615"/>
      <c r="I21" s="615"/>
      <c r="J21" s="615"/>
    </row>
    <row r="22" spans="1:10" s="131" customFormat="1" ht="12" x14ac:dyDescent="0.2">
      <c r="A22" s="547" t="s">
        <v>67</v>
      </c>
      <c r="B22" s="701">
        <f>SUM('1b.mell '!C222)</f>
        <v>0</v>
      </c>
      <c r="C22" s="701">
        <f>SUM('1b.mell '!D222)</f>
        <v>0</v>
      </c>
      <c r="D22" s="701">
        <f>SUM('1b.mell '!E222)</f>
        <v>0</v>
      </c>
      <c r="E22" s="701">
        <f>SUM('1b.mell '!F222)</f>
        <v>0</v>
      </c>
      <c r="F22" s="1103"/>
      <c r="G22" s="1104"/>
      <c r="H22" s="1104"/>
      <c r="I22" s="1104"/>
      <c r="J22" s="714"/>
    </row>
    <row r="23" spans="1:10" s="131" customFormat="1" ht="12" x14ac:dyDescent="0.2">
      <c r="A23" s="547" t="s">
        <v>187</v>
      </c>
      <c r="B23" s="701">
        <f>SUM('1b.mell '!C223)</f>
        <v>193454</v>
      </c>
      <c r="C23" s="701">
        <f>SUM('1b.mell '!D223)</f>
        <v>193454</v>
      </c>
      <c r="D23" s="701">
        <f>SUM('1b.mell '!E223)</f>
        <v>193454</v>
      </c>
      <c r="E23" s="701">
        <f>SUM('1b.mell '!F223)</f>
        <v>195253</v>
      </c>
      <c r="F23" s="713"/>
      <c r="G23" s="1105"/>
      <c r="H23" s="1105"/>
      <c r="I23" s="1105"/>
      <c r="J23" s="715"/>
    </row>
    <row r="24" spans="1:10" s="131" customFormat="1" ht="12" x14ac:dyDescent="0.2">
      <c r="A24" s="547" t="s">
        <v>188</v>
      </c>
      <c r="B24" s="701">
        <f>SUM('1b.mell '!C224)</f>
        <v>652457</v>
      </c>
      <c r="C24" s="701">
        <f>SUM('1b.mell '!D224)</f>
        <v>665912</v>
      </c>
      <c r="D24" s="701">
        <f>SUM('1b.mell '!E224)</f>
        <v>670293</v>
      </c>
      <c r="E24" s="701">
        <f>SUM('1b.mell '!F224)</f>
        <v>674844</v>
      </c>
      <c r="F24" s="716"/>
      <c r="G24" s="750"/>
      <c r="H24" s="750"/>
      <c r="I24" s="750"/>
      <c r="J24" s="717"/>
    </row>
    <row r="25" spans="1:10" s="131" customFormat="1" ht="12" x14ac:dyDescent="0.2">
      <c r="A25" s="706" t="s">
        <v>189</v>
      </c>
      <c r="B25" s="701">
        <f>SUM('1b.mell '!C225)</f>
        <v>14000</v>
      </c>
      <c r="C25" s="701">
        <f>SUM('1b.mell '!D225)</f>
        <v>14000</v>
      </c>
      <c r="D25" s="701">
        <f>SUM('1b.mell '!E225)</f>
        <v>14000</v>
      </c>
      <c r="E25" s="701">
        <f>SUM('1b.mell '!F225)</f>
        <v>21944</v>
      </c>
      <c r="F25" s="716"/>
      <c r="G25" s="750"/>
      <c r="H25" s="750"/>
      <c r="I25" s="750"/>
      <c r="J25" s="717"/>
    </row>
    <row r="26" spans="1:10" s="131" customFormat="1" ht="12" x14ac:dyDescent="0.2">
      <c r="A26" s="706" t="s">
        <v>373</v>
      </c>
      <c r="B26" s="701">
        <f>SUM('1b.mell '!C226)</f>
        <v>250000</v>
      </c>
      <c r="C26" s="701">
        <f>SUM('1b.mell '!D226)</f>
        <v>271532</v>
      </c>
      <c r="D26" s="701">
        <f>SUM('1b.mell '!E226)</f>
        <v>271532</v>
      </c>
      <c r="E26" s="701">
        <f>SUM('1b.mell '!F226)</f>
        <v>271532</v>
      </c>
      <c r="F26" s="716"/>
      <c r="G26" s="750"/>
      <c r="H26" s="750"/>
      <c r="I26" s="750"/>
      <c r="J26" s="717"/>
    </row>
    <row r="27" spans="1:10" s="131" customFormat="1" ht="12" x14ac:dyDescent="0.2">
      <c r="A27" s="718" t="s">
        <v>398</v>
      </c>
      <c r="B27" s="701"/>
      <c r="C27" s="701"/>
      <c r="D27" s="701"/>
      <c r="E27" s="701"/>
      <c r="F27" s="716"/>
      <c r="G27" s="750"/>
      <c r="H27" s="750"/>
      <c r="I27" s="750"/>
      <c r="J27" s="717"/>
    </row>
    <row r="28" spans="1:10" s="131" customFormat="1" thickBot="1" x14ac:dyDescent="0.25">
      <c r="A28" s="709" t="s">
        <v>190</v>
      </c>
      <c r="B28" s="703">
        <f>SUM('1b.mell '!C227)</f>
        <v>55266</v>
      </c>
      <c r="C28" s="703">
        <f>SUM('1b.mell '!D227)</f>
        <v>56266</v>
      </c>
      <c r="D28" s="703">
        <f>SUM('1b.mell '!E227)</f>
        <v>58776</v>
      </c>
      <c r="E28" s="703">
        <f>SUM('1b.mell '!F227)</f>
        <v>77077</v>
      </c>
      <c r="F28" s="716"/>
      <c r="G28" s="750"/>
      <c r="H28" s="750"/>
      <c r="I28" s="750"/>
      <c r="J28" s="717"/>
    </row>
    <row r="29" spans="1:10" s="131" customFormat="1" ht="13.5" thickBot="1" x14ac:dyDescent="0.25">
      <c r="A29" s="710" t="s">
        <v>295</v>
      </c>
      <c r="B29" s="705">
        <f>SUM(B19:B28)</f>
        <v>3398828</v>
      </c>
      <c r="C29" s="705">
        <f>SUM(C19:C28)</f>
        <v>3594083</v>
      </c>
      <c r="D29" s="705">
        <f>SUM(D19:D28)</f>
        <v>3617200</v>
      </c>
      <c r="E29" s="705">
        <f>SUM(E19:E28)</f>
        <v>3670483</v>
      </c>
      <c r="F29" s="716"/>
      <c r="G29" s="750"/>
      <c r="H29" s="750"/>
      <c r="I29" s="750"/>
      <c r="J29" s="717"/>
    </row>
    <row r="30" spans="1:10" s="131" customFormat="1" thickBot="1" x14ac:dyDescent="0.25">
      <c r="A30" s="719" t="s">
        <v>191</v>
      </c>
      <c r="B30" s="720">
        <f>SUM('1b.mell '!C229)</f>
        <v>0</v>
      </c>
      <c r="C30" s="720">
        <f>SUM('1b.mell '!D229)</f>
        <v>0</v>
      </c>
      <c r="D30" s="720">
        <f>SUM('1b.mell '!E229)</f>
        <v>46745</v>
      </c>
      <c r="E30" s="720">
        <f>SUM('1b.mell '!F229)</f>
        <v>46745</v>
      </c>
      <c r="F30" s="716"/>
      <c r="G30" s="750"/>
      <c r="H30" s="750"/>
      <c r="I30" s="750"/>
      <c r="J30" s="717"/>
    </row>
    <row r="31" spans="1:10" s="131" customFormat="1" ht="13.5" thickBot="1" x14ac:dyDescent="0.25">
      <c r="A31" s="721" t="s">
        <v>192</v>
      </c>
      <c r="B31" s="722">
        <f t="shared" ref="B31:C31" si="2">SUM(B30)</f>
        <v>0</v>
      </c>
      <c r="C31" s="722">
        <f t="shared" si="2"/>
        <v>0</v>
      </c>
      <c r="D31" s="722">
        <f t="shared" ref="D31:E31" si="3">SUM(D30)</f>
        <v>46745</v>
      </c>
      <c r="E31" s="722">
        <f t="shared" si="3"/>
        <v>46745</v>
      </c>
      <c r="F31" s="723"/>
      <c r="G31" s="1106"/>
      <c r="H31" s="1106"/>
      <c r="I31" s="1106"/>
      <c r="J31" s="724"/>
    </row>
    <row r="32" spans="1:10" s="131" customFormat="1" ht="17.25" thickTop="1" thickBot="1" x14ac:dyDescent="0.3">
      <c r="A32" s="725" t="s">
        <v>49</v>
      </c>
      <c r="B32" s="726">
        <f t="shared" ref="B32:C32" si="4">SUM(B31,B29,B18,B14)</f>
        <v>23077592</v>
      </c>
      <c r="C32" s="726">
        <f t="shared" si="4"/>
        <v>26040471</v>
      </c>
      <c r="D32" s="726">
        <f t="shared" ref="D32:E32" si="5">SUM(D31,D29,D18,D14)</f>
        <v>26226297</v>
      </c>
      <c r="E32" s="726">
        <f t="shared" si="5"/>
        <v>26413571</v>
      </c>
      <c r="F32" s="727" t="s">
        <v>42</v>
      </c>
      <c r="G32" s="728">
        <f>SUM(G6:G11)</f>
        <v>20596432</v>
      </c>
      <c r="H32" s="728">
        <f>SUM(H6:H11)</f>
        <v>25023143</v>
      </c>
      <c r="I32" s="728">
        <f>SUM(I6:I11)</f>
        <v>25432951</v>
      </c>
      <c r="J32" s="728">
        <f>SUM(J6:J11)</f>
        <v>25875816</v>
      </c>
    </row>
    <row r="33" spans="1:10" s="131" customFormat="1" thickTop="1" x14ac:dyDescent="0.2">
      <c r="A33" s="706" t="s">
        <v>193</v>
      </c>
      <c r="B33" s="729">
        <f>SUM('1b.mell '!C232)</f>
        <v>0</v>
      </c>
      <c r="C33" s="729">
        <f>SUM('1b.mell '!D232)</f>
        <v>0</v>
      </c>
      <c r="D33" s="729">
        <f>SUM('1b.mell '!E232)</f>
        <v>0</v>
      </c>
      <c r="E33" s="729">
        <f>SUM('1b.mell '!F232)</f>
        <v>0</v>
      </c>
      <c r="F33" s="730"/>
      <c r="G33" s="731"/>
      <c r="H33" s="731"/>
      <c r="I33" s="731"/>
      <c r="J33" s="731"/>
    </row>
    <row r="34" spans="1:10" s="131" customFormat="1" ht="12" x14ac:dyDescent="0.2">
      <c r="A34" s="547" t="s">
        <v>1019</v>
      </c>
      <c r="B34" s="732">
        <f>SUM('1b.mell '!C233)</f>
        <v>0</v>
      </c>
      <c r="C34" s="732">
        <f>SUM('1b.mell '!D233)</f>
        <v>0</v>
      </c>
      <c r="D34" s="732">
        <f>SUM('1b.mell '!E233)</f>
        <v>0</v>
      </c>
      <c r="E34" s="732">
        <f>SUM('1b.mell '!F233)</f>
        <v>0</v>
      </c>
      <c r="F34" s="716"/>
      <c r="G34" s="733"/>
      <c r="H34" s="733"/>
      <c r="I34" s="733"/>
      <c r="J34" s="733"/>
    </row>
    <row r="35" spans="1:10" s="131" customFormat="1" ht="12" x14ac:dyDescent="0.2">
      <c r="A35" s="547" t="s">
        <v>1174</v>
      </c>
      <c r="B35" s="592">
        <f>SUM('1b.mell '!C234)</f>
        <v>0</v>
      </c>
      <c r="C35" s="592">
        <f>SUM('1b.mell '!D234)</f>
        <v>0</v>
      </c>
      <c r="D35" s="592">
        <f>SUM('1b.mell '!E234)</f>
        <v>0</v>
      </c>
      <c r="E35" s="592">
        <f>SUM('1b.mell '!F234)</f>
        <v>0</v>
      </c>
      <c r="F35" s="734" t="s">
        <v>205</v>
      </c>
      <c r="G35" s="701">
        <f>SUM('1c.mell '!C137)</f>
        <v>3875676</v>
      </c>
      <c r="H35" s="701">
        <f>SUM('1c.mell '!D137)</f>
        <v>4351206</v>
      </c>
      <c r="I35" s="701">
        <f>SUM('1c.mell '!E137)</f>
        <v>4184467</v>
      </c>
      <c r="J35" s="701">
        <f>SUM('1c.mell '!F137)</f>
        <v>4133787</v>
      </c>
    </row>
    <row r="36" spans="1:10" s="131" customFormat="1" ht="12" x14ac:dyDescent="0.2">
      <c r="A36" s="547" t="s">
        <v>195</v>
      </c>
      <c r="B36" s="707">
        <f>SUM('1b.mell '!C235)</f>
        <v>0</v>
      </c>
      <c r="C36" s="707">
        <f>SUM('1b.mell '!D235)</f>
        <v>0</v>
      </c>
      <c r="D36" s="707">
        <f>SUM('1b.mell '!E235)</f>
        <v>0</v>
      </c>
      <c r="E36" s="707">
        <f>SUM('1b.mell '!F235)</f>
        <v>6638</v>
      </c>
      <c r="F36" s="735" t="s">
        <v>206</v>
      </c>
      <c r="G36" s="701">
        <f>SUM('1c.mell '!C138)</f>
        <v>3203538</v>
      </c>
      <c r="H36" s="701">
        <f>SUM('1c.mell '!D138)</f>
        <v>5380131</v>
      </c>
      <c r="I36" s="701">
        <f>SUM('1c.mell '!E138)</f>
        <v>5285093</v>
      </c>
      <c r="J36" s="701">
        <f>SUM('1c.mell '!F138)</f>
        <v>5253782</v>
      </c>
    </row>
    <row r="37" spans="1:10" s="131" customFormat="1" thickBot="1" x14ac:dyDescent="0.25">
      <c r="A37" s="547" t="s">
        <v>406</v>
      </c>
      <c r="B37" s="592">
        <f>SUM('1b.mell '!C236)</f>
        <v>0</v>
      </c>
      <c r="C37" s="592">
        <f>SUM('1b.mell '!D236)</f>
        <v>0</v>
      </c>
      <c r="D37" s="592">
        <f>SUM('1b.mell '!E236)</f>
        <v>7987</v>
      </c>
      <c r="E37" s="592">
        <f>SUM('1b.mell '!F236)</f>
        <v>7987</v>
      </c>
      <c r="F37" s="734" t="s">
        <v>326</v>
      </c>
      <c r="G37" s="701">
        <f>SUM('1c.mell '!C139)</f>
        <v>1402392</v>
      </c>
      <c r="H37" s="701">
        <f>SUM('1c.mell '!D139)</f>
        <v>3330632</v>
      </c>
      <c r="I37" s="701">
        <f>SUM('1c.mell '!E139)</f>
        <v>3376414</v>
      </c>
      <c r="J37" s="701">
        <f>SUM('1c.mell '!F139)</f>
        <v>3365202</v>
      </c>
    </row>
    <row r="38" spans="1:10" s="131" customFormat="1" ht="13.5" thickBot="1" x14ac:dyDescent="0.25">
      <c r="A38" s="710" t="s">
        <v>196</v>
      </c>
      <c r="B38" s="711">
        <f t="shared" ref="B38:C38" si="6">SUM(B33:B37)</f>
        <v>0</v>
      </c>
      <c r="C38" s="711">
        <f t="shared" si="6"/>
        <v>0</v>
      </c>
      <c r="D38" s="711">
        <f t="shared" ref="D38:E38" si="7">SUM(D33:D37)</f>
        <v>7987</v>
      </c>
      <c r="E38" s="711">
        <f t="shared" si="7"/>
        <v>14625</v>
      </c>
      <c r="F38" s="736"/>
      <c r="G38" s="615"/>
      <c r="H38" s="615"/>
      <c r="I38" s="615"/>
      <c r="J38" s="615"/>
    </row>
    <row r="39" spans="1:10" s="131" customFormat="1" ht="12" x14ac:dyDescent="0.2">
      <c r="A39" s="706" t="s">
        <v>197</v>
      </c>
      <c r="B39" s="737">
        <f>SUM('1b.mell '!C238)</f>
        <v>180000</v>
      </c>
      <c r="C39" s="737">
        <f>SUM('1b.mell '!D238)</f>
        <v>180000</v>
      </c>
      <c r="D39" s="737">
        <f>SUM('1b.mell '!E238)</f>
        <v>180000</v>
      </c>
      <c r="E39" s="737">
        <f>SUM('1b.mell '!F238)</f>
        <v>335000</v>
      </c>
      <c r="F39" s="752"/>
      <c r="G39" s="1107"/>
      <c r="H39" s="1107"/>
      <c r="I39" s="1107"/>
      <c r="J39" s="738"/>
    </row>
    <row r="40" spans="1:10" s="131" customFormat="1" ht="12" x14ac:dyDescent="0.2">
      <c r="A40" s="547" t="s">
        <v>203</v>
      </c>
      <c r="B40" s="701">
        <f>SUM('1b.mell '!C239)</f>
        <v>0</v>
      </c>
      <c r="C40" s="701">
        <f>SUM('1b.mell '!D239)</f>
        <v>0</v>
      </c>
      <c r="D40" s="701">
        <f>SUM('1b.mell '!E239)</f>
        <v>0</v>
      </c>
      <c r="E40" s="701">
        <f>SUM('1b.mell '!F239)</f>
        <v>750</v>
      </c>
      <c r="F40" s="716"/>
      <c r="G40" s="750"/>
      <c r="H40" s="750"/>
      <c r="I40" s="750"/>
      <c r="J40" s="717"/>
    </row>
    <row r="41" spans="1:10" s="131" customFormat="1" thickBot="1" x14ac:dyDescent="0.25">
      <c r="A41" s="739" t="s">
        <v>397</v>
      </c>
      <c r="B41" s="740"/>
      <c r="C41" s="740"/>
      <c r="D41" s="740"/>
      <c r="E41" s="740"/>
      <c r="F41" s="716"/>
      <c r="G41" s="750"/>
      <c r="H41" s="750"/>
      <c r="I41" s="750"/>
      <c r="J41" s="717"/>
    </row>
    <row r="42" spans="1:10" s="131" customFormat="1" ht="13.5" thickBot="1" x14ac:dyDescent="0.25">
      <c r="A42" s="710" t="s">
        <v>198</v>
      </c>
      <c r="B42" s="711">
        <f t="shared" ref="B42:C42" si="8">SUM(B39:B40)</f>
        <v>180000</v>
      </c>
      <c r="C42" s="711">
        <f t="shared" si="8"/>
        <v>180000</v>
      </c>
      <c r="D42" s="711">
        <f t="shared" ref="D42:E42" si="9">SUM(D39:D40)</f>
        <v>180000</v>
      </c>
      <c r="E42" s="711">
        <f t="shared" si="9"/>
        <v>335750</v>
      </c>
      <c r="F42" s="713"/>
      <c r="G42" s="1108"/>
      <c r="H42" s="1108"/>
      <c r="I42" s="1108"/>
      <c r="J42" s="741"/>
    </row>
    <row r="43" spans="1:10" s="131" customFormat="1" ht="12.75" customHeight="1" x14ac:dyDescent="0.2">
      <c r="A43" s="712" t="s">
        <v>362</v>
      </c>
      <c r="B43" s="737">
        <f>SUM('1b.mell '!C241)</f>
        <v>19000</v>
      </c>
      <c r="C43" s="737">
        <f>SUM('1b.mell '!D241)</f>
        <v>19000</v>
      </c>
      <c r="D43" s="737">
        <f>SUM('1b.mell '!E241)</f>
        <v>19000</v>
      </c>
      <c r="E43" s="737">
        <f>SUM('1b.mell '!F241)</f>
        <v>19000</v>
      </c>
      <c r="F43" s="742"/>
      <c r="G43" s="750"/>
      <c r="H43" s="750"/>
      <c r="I43" s="750"/>
      <c r="J43" s="717"/>
    </row>
    <row r="44" spans="1:10" s="131" customFormat="1" ht="12.75" customHeight="1" thickBot="1" x14ac:dyDescent="0.25">
      <c r="A44" s="743" t="s">
        <v>200</v>
      </c>
      <c r="B44" s="703">
        <f>SUM('1b.mell '!C242+'1b.mell '!C243)</f>
        <v>400000</v>
      </c>
      <c r="C44" s="703">
        <f>SUM('1b.mell '!D242+'1b.mell '!D243)</f>
        <v>500000</v>
      </c>
      <c r="D44" s="703">
        <f>SUM('1b.mell '!E242+'1b.mell '!E243)</f>
        <v>500000</v>
      </c>
      <c r="E44" s="703">
        <f>SUM('1b.mell '!F242+'1b.mell '!F243)</f>
        <v>500000</v>
      </c>
      <c r="F44" s="742"/>
      <c r="G44" s="1105"/>
      <c r="H44" s="1105"/>
      <c r="I44" s="1105"/>
      <c r="J44" s="715"/>
    </row>
    <row r="45" spans="1:10" s="131" customFormat="1" ht="13.5" thickBot="1" x14ac:dyDescent="0.25">
      <c r="A45" s="721" t="s">
        <v>201</v>
      </c>
      <c r="B45" s="722">
        <f>SUM(B43:B44)</f>
        <v>419000</v>
      </c>
      <c r="C45" s="722">
        <f>SUM(C43:C44)</f>
        <v>519000</v>
      </c>
      <c r="D45" s="722">
        <f>SUM(D43:D44)</f>
        <v>519000</v>
      </c>
      <c r="E45" s="722">
        <f>SUM(E43:E44)</f>
        <v>519000</v>
      </c>
      <c r="F45" s="744"/>
      <c r="G45" s="1109"/>
      <c r="H45" s="1109"/>
      <c r="I45" s="1109"/>
      <c r="J45" s="745"/>
    </row>
    <row r="46" spans="1:10" s="131" customFormat="1" ht="20.25" customHeight="1" thickTop="1" thickBot="1" x14ac:dyDescent="0.25">
      <c r="A46" s="746" t="s">
        <v>50</v>
      </c>
      <c r="B46" s="747">
        <f t="shared" ref="B46:C46" si="10">SUM(B45,B42,B38)</f>
        <v>599000</v>
      </c>
      <c r="C46" s="747">
        <f t="shared" si="10"/>
        <v>699000</v>
      </c>
      <c r="D46" s="747">
        <f t="shared" ref="D46:E46" si="11">SUM(D45,D42,D38)</f>
        <v>706987</v>
      </c>
      <c r="E46" s="747">
        <f t="shared" si="11"/>
        <v>869375</v>
      </c>
      <c r="F46" s="748" t="s">
        <v>48</v>
      </c>
      <c r="G46" s="749">
        <f>SUM(G33:G37)</f>
        <v>8481606</v>
      </c>
      <c r="H46" s="749">
        <f>SUM(H33:H37)</f>
        <v>13061969</v>
      </c>
      <c r="I46" s="749">
        <f>SUM(I33:I37)</f>
        <v>12845974</v>
      </c>
      <c r="J46" s="749">
        <f>SUM(J33:J37)</f>
        <v>12752771</v>
      </c>
    </row>
    <row r="47" spans="1:10" s="131" customFormat="1" ht="12.75" customHeight="1" thickTop="1" x14ac:dyDescent="0.2">
      <c r="A47" s="706" t="s">
        <v>357</v>
      </c>
      <c r="B47" s="548">
        <f>SUM('1b.mell '!C246)</f>
        <v>131554</v>
      </c>
      <c r="C47" s="548">
        <f>SUM('1b.mell '!D246)</f>
        <v>4186004</v>
      </c>
      <c r="D47" s="548">
        <f>SUM('1b.mell '!E246)</f>
        <v>4186004</v>
      </c>
      <c r="E47" s="548">
        <f>SUM('1b.mell '!F246)</f>
        <v>4186004</v>
      </c>
      <c r="F47" s="547" t="s">
        <v>460</v>
      </c>
      <c r="G47" s="614">
        <f>'1c.mell '!C141</f>
        <v>0</v>
      </c>
      <c r="H47" s="614">
        <f>'1c.mell '!D141</f>
        <v>294647</v>
      </c>
      <c r="I47" s="614">
        <f>'1c.mell '!E141</f>
        <v>898064</v>
      </c>
      <c r="J47" s="614">
        <f>'1c.mell '!F141</f>
        <v>1053866</v>
      </c>
    </row>
    <row r="48" spans="1:10" s="131" customFormat="1" ht="12.75" customHeight="1" x14ac:dyDescent="0.2">
      <c r="A48" s="547" t="s">
        <v>460</v>
      </c>
      <c r="B48" s="781">
        <f>SUM('1b.mell '!C248)</f>
        <v>0</v>
      </c>
      <c r="C48" s="781">
        <f>SUM('1b.mell '!D248)</f>
        <v>294647</v>
      </c>
      <c r="D48" s="781">
        <f>SUM('1b.mell '!E248)</f>
        <v>898064</v>
      </c>
      <c r="E48" s="781">
        <f>SUM('1b.mell '!F248)</f>
        <v>1053866</v>
      </c>
      <c r="F48" s="830" t="s">
        <v>379</v>
      </c>
      <c r="G48" s="548">
        <f>SUM('1c.mell '!C143)</f>
        <v>131554</v>
      </c>
      <c r="H48" s="548">
        <f>SUM('1c.mell '!D143)</f>
        <v>131554</v>
      </c>
      <c r="I48" s="548">
        <f>SUM('1c.mell '!E143)</f>
        <v>131554</v>
      </c>
      <c r="J48" s="548">
        <f>SUM('1c.mell '!F143)</f>
        <v>131554</v>
      </c>
    </row>
    <row r="49" spans="1:10" s="131" customFormat="1" ht="12.75" customHeight="1" x14ac:dyDescent="0.2">
      <c r="A49" s="547" t="s">
        <v>385</v>
      </c>
      <c r="B49" s="701">
        <f>SUM('1b.mell '!C247)</f>
        <v>11090999</v>
      </c>
      <c r="C49" s="701">
        <f>SUM('1b.mell '!D247)</f>
        <v>12386484</v>
      </c>
      <c r="D49" s="701">
        <f>SUM('1b.mell '!E247)</f>
        <v>12476121</v>
      </c>
      <c r="E49" s="701">
        <f>SUM('1b.mell '!F247)</f>
        <v>12615766</v>
      </c>
      <c r="F49" s="750" t="s">
        <v>386</v>
      </c>
      <c r="G49" s="701">
        <f>SUM('1c.mell '!C142)</f>
        <v>11090999</v>
      </c>
      <c r="H49" s="701">
        <f>SUM('1c.mell '!D142)</f>
        <v>12386484</v>
      </c>
      <c r="I49" s="701">
        <f>SUM('1c.mell '!E142)</f>
        <v>12476121</v>
      </c>
      <c r="J49" s="701">
        <f>SUM('1c.mell '!F142)</f>
        <v>12615766</v>
      </c>
    </row>
    <row r="50" spans="1:10" s="131" customFormat="1" ht="12.75" customHeight="1" x14ac:dyDescent="0.2">
      <c r="A50" s="547" t="s">
        <v>459</v>
      </c>
      <c r="B50" s="701"/>
      <c r="C50" s="701"/>
      <c r="D50" s="701"/>
      <c r="E50" s="701"/>
      <c r="F50" s="734" t="s">
        <v>1024</v>
      </c>
      <c r="G50" s="701"/>
      <c r="H50" s="701"/>
      <c r="I50" s="701"/>
      <c r="J50" s="701"/>
    </row>
    <row r="51" spans="1:10" s="131" customFormat="1" ht="12.75" customHeight="1" x14ac:dyDescent="0.2">
      <c r="A51" s="751" t="s">
        <v>1027</v>
      </c>
      <c r="B51" s="701">
        <f>'1b.mell '!C249</f>
        <v>0</v>
      </c>
      <c r="C51" s="701">
        <f>'1b.mell '!D249</f>
        <v>0</v>
      </c>
      <c r="D51" s="701">
        <f>'1b.mell '!E249</f>
        <v>0</v>
      </c>
      <c r="E51" s="701">
        <f>'1b.mell '!F249</f>
        <v>0</v>
      </c>
      <c r="F51" s="752"/>
      <c r="G51" s="1104"/>
      <c r="H51" s="1104"/>
      <c r="I51" s="1104"/>
      <c r="J51" s="714"/>
    </row>
    <row r="52" spans="1:10" s="131" customFormat="1" ht="12.75" customHeight="1" thickBot="1" x14ac:dyDescent="0.25">
      <c r="A52" s="753" t="s">
        <v>1024</v>
      </c>
      <c r="B52" s="754"/>
      <c r="C52" s="754"/>
      <c r="D52" s="754"/>
      <c r="E52" s="754"/>
      <c r="F52" s="723"/>
      <c r="G52" s="1109"/>
      <c r="H52" s="1109"/>
      <c r="I52" s="1109"/>
      <c r="J52" s="745"/>
    </row>
    <row r="53" spans="1:10" s="131" customFormat="1" ht="15.75" thickTop="1" thickBot="1" x14ac:dyDescent="0.25">
      <c r="A53" s="755" t="s">
        <v>43</v>
      </c>
      <c r="B53" s="728">
        <f>SUM(B47:B52)</f>
        <v>11222553</v>
      </c>
      <c r="C53" s="728">
        <f>SUM(C47:C52)</f>
        <v>16867135</v>
      </c>
      <c r="D53" s="728">
        <f>SUM(D47:D52)</f>
        <v>17560189</v>
      </c>
      <c r="E53" s="728">
        <f>SUM(E47:E52)</f>
        <v>17855636</v>
      </c>
      <c r="F53" s="755" t="s">
        <v>44</v>
      </c>
      <c r="G53" s="756">
        <f>SUM(G47:G50)</f>
        <v>11222553</v>
      </c>
      <c r="H53" s="756">
        <f>SUM(H47:H50)</f>
        <v>12812685</v>
      </c>
      <c r="I53" s="756">
        <f>SUM(I47:I50)</f>
        <v>13505739</v>
      </c>
      <c r="J53" s="756">
        <f>SUM(J47:J50)</f>
        <v>13801186</v>
      </c>
    </row>
    <row r="54" spans="1:10" s="131" customFormat="1" ht="13.5" thickTop="1" thickBot="1" x14ac:dyDescent="0.25">
      <c r="A54" s="757" t="s">
        <v>357</v>
      </c>
      <c r="B54" s="758">
        <f>SUM('1b.mell '!C251)</f>
        <v>5413446</v>
      </c>
      <c r="C54" s="758">
        <f>SUM('1b.mell '!D251)</f>
        <v>7303191</v>
      </c>
      <c r="D54" s="758">
        <f>SUM('1b.mell '!E251)</f>
        <v>7303191</v>
      </c>
      <c r="E54" s="758">
        <f>SUM('1b.mell '!F251)</f>
        <v>7303191</v>
      </c>
      <c r="F54" s="759" t="s">
        <v>374</v>
      </c>
      <c r="G54" s="760">
        <f>SUM('1c.mell '!C145)</f>
        <v>12000</v>
      </c>
      <c r="H54" s="760">
        <f>SUM('1c.mell '!D145)</f>
        <v>12000</v>
      </c>
      <c r="I54" s="760">
        <f>SUM('1c.mell '!E145)</f>
        <v>12000</v>
      </c>
      <c r="J54" s="760">
        <f>SUM('1c.mell '!F145)</f>
        <v>12000</v>
      </c>
    </row>
    <row r="55" spans="1:10" s="131" customFormat="1" ht="16.5" customHeight="1" thickBot="1" x14ac:dyDescent="0.25">
      <c r="A55" s="761" t="s">
        <v>202</v>
      </c>
      <c r="B55" s="726">
        <f t="shared" ref="B55:C55" si="12">SUM(B54:B54)</f>
        <v>5413446</v>
      </c>
      <c r="C55" s="726">
        <f t="shared" si="12"/>
        <v>7303191</v>
      </c>
      <c r="D55" s="726">
        <f t="shared" ref="D55:E55" si="13">SUM(D54:D54)</f>
        <v>7303191</v>
      </c>
      <c r="E55" s="726">
        <f t="shared" si="13"/>
        <v>7303191</v>
      </c>
      <c r="F55" s="727" t="s">
        <v>29</v>
      </c>
      <c r="G55" s="762">
        <f t="shared" ref="G55:H55" si="14">SUM(G54:G54)</f>
        <v>12000</v>
      </c>
      <c r="H55" s="762">
        <f t="shared" si="14"/>
        <v>12000</v>
      </c>
      <c r="I55" s="762">
        <f t="shared" ref="I55:J55" si="15">SUM(I54:I54)</f>
        <v>12000</v>
      </c>
      <c r="J55" s="762">
        <f t="shared" si="15"/>
        <v>12000</v>
      </c>
    </row>
    <row r="56" spans="1:10" s="131" customFormat="1" ht="14.25" thickTop="1" thickBot="1" x14ac:dyDescent="0.25">
      <c r="A56" s="763"/>
      <c r="B56" s="726"/>
      <c r="C56" s="726"/>
      <c r="D56" s="726"/>
      <c r="E56" s="726"/>
      <c r="F56" s="764"/>
      <c r="G56" s="765"/>
      <c r="H56" s="765"/>
      <c r="I56" s="765"/>
      <c r="J56" s="765"/>
    </row>
    <row r="57" spans="1:10" s="131" customFormat="1" ht="20.25" customHeight="1" thickTop="1" thickBot="1" x14ac:dyDescent="0.25">
      <c r="A57" s="411" t="s">
        <v>1025</v>
      </c>
      <c r="B57" s="333">
        <f>SUM(B32+B46+B54+B47+B50+B52+B48+B51)</f>
        <v>29221592</v>
      </c>
      <c r="C57" s="333">
        <f>SUM(C32+C46+C54+C47+C50+C52+C48+C51)</f>
        <v>38523313</v>
      </c>
      <c r="D57" s="333">
        <f>SUM(D32+D46+D54+D47+D50+D52+D48+D51)</f>
        <v>39320543</v>
      </c>
      <c r="E57" s="333">
        <f>SUM(E32+E46+E54+E47+E50+E52+E48+E51)</f>
        <v>39826007</v>
      </c>
      <c r="F57" s="411" t="s">
        <v>1026</v>
      </c>
      <c r="G57" s="333">
        <f>SUM(G32+G46+G54+G48+G50)+G47</f>
        <v>29221592</v>
      </c>
      <c r="H57" s="333">
        <f>SUM(H32+H46+H54+H48+H50)+H47</f>
        <v>38523313</v>
      </c>
      <c r="I57" s="333">
        <f>SUM(I32+I46+I54+I48+I50)+I47</f>
        <v>39320543</v>
      </c>
      <c r="J57" s="333">
        <f>SUM(J32+J46+J54+J48+J50)+J47</f>
        <v>39826007</v>
      </c>
    </row>
    <row r="58" spans="1:10" ht="15.75" thickTop="1" x14ac:dyDescent="0.25">
      <c r="A58" s="766"/>
      <c r="B58" s="412"/>
      <c r="C58" s="412"/>
      <c r="D58" s="412"/>
      <c r="E58" s="412"/>
    </row>
    <row r="59" spans="1:10" ht="15" x14ac:dyDescent="0.25">
      <c r="A59" s="766"/>
      <c r="B59" s="410"/>
      <c r="C59" s="410"/>
      <c r="D59" s="410"/>
      <c r="E59" s="410"/>
    </row>
    <row r="60" spans="1:10" ht="15" x14ac:dyDescent="0.25">
      <c r="A60" s="766"/>
    </row>
  </sheetData>
  <mergeCells count="12">
    <mergeCell ref="A1:F1"/>
    <mergeCell ref="A4:A5"/>
    <mergeCell ref="F4:F5"/>
    <mergeCell ref="B4:B5"/>
    <mergeCell ref="C4:C5"/>
    <mergeCell ref="D4:D5"/>
    <mergeCell ref="E4:E5"/>
    <mergeCell ref="J4:J5"/>
    <mergeCell ref="I4:I5"/>
    <mergeCell ref="H4:H5"/>
    <mergeCell ref="G4:G5"/>
    <mergeCell ref="A2:F2"/>
  </mergeCells>
  <phoneticPr fontId="16" type="noConversion"/>
  <pageMargins left="0.78740157480314965" right="0.39370078740157483" top="0.39370078740157483" bottom="0.59055118110236227" header="0.51181102362204722" footer="0.31496062992125984"/>
  <pageSetup paperSize="9" scale="63" orientation="landscape" useFirstPageNumber="1" r:id="rId1"/>
  <headerFooter alignWithMargins="0">
    <oddFooter>&amp;C&amp;P.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3"/>
  <sheetViews>
    <sheetView topLeftCell="A232" zoomScaleNormal="100" workbookViewId="0">
      <selection activeCell="B190" sqref="B190"/>
    </sheetView>
  </sheetViews>
  <sheetFormatPr defaultColWidth="9.140625" defaultRowHeight="12" x14ac:dyDescent="0.2"/>
  <cols>
    <col min="1" max="1" width="8.42578125" style="129" customWidth="1"/>
    <col min="2" max="2" width="72.140625" style="87" customWidth="1"/>
    <col min="3" max="6" width="13.28515625" style="87" customWidth="1"/>
    <col min="7" max="7" width="8.7109375" style="87" customWidth="1"/>
    <col min="8" max="16384" width="9.140625" style="87"/>
  </cols>
  <sheetData>
    <row r="1" spans="1:7" ht="12.75" x14ac:dyDescent="0.2">
      <c r="A1" s="1146" t="s">
        <v>145</v>
      </c>
      <c r="B1" s="1146"/>
      <c r="C1" s="1147"/>
      <c r="D1" s="1147"/>
      <c r="E1" s="1147"/>
      <c r="F1" s="1147"/>
      <c r="G1" s="1148"/>
    </row>
    <row r="2" spans="1:7" ht="12.75" x14ac:dyDescent="0.2">
      <c r="A2" s="1146" t="s">
        <v>1177</v>
      </c>
      <c r="B2" s="1146"/>
      <c r="C2" s="1147"/>
      <c r="D2" s="1147"/>
      <c r="E2" s="1147"/>
      <c r="F2" s="1147"/>
      <c r="G2" s="1148"/>
    </row>
    <row r="3" spans="1:7" ht="12.75" x14ac:dyDescent="0.2">
      <c r="A3" s="85"/>
      <c r="B3" s="86"/>
    </row>
    <row r="4" spans="1:7" ht="11.25" customHeight="1" x14ac:dyDescent="0.2">
      <c r="A4" s="85"/>
      <c r="B4" s="85"/>
      <c r="C4" s="88"/>
      <c r="D4" s="88"/>
      <c r="E4" s="88"/>
      <c r="F4" s="88"/>
      <c r="G4" s="312" t="s">
        <v>146</v>
      </c>
    </row>
    <row r="5" spans="1:7" s="89" customFormat="1" ht="19.5" customHeight="1" x14ac:dyDescent="0.2">
      <c r="A5" s="1153" t="s">
        <v>152</v>
      </c>
      <c r="B5" s="1151" t="s">
        <v>141</v>
      </c>
      <c r="C5" s="1140" t="s">
        <v>1252</v>
      </c>
      <c r="D5" s="1140" t="s">
        <v>1337</v>
      </c>
      <c r="E5" s="1140" t="s">
        <v>1355</v>
      </c>
      <c r="F5" s="1140" t="s">
        <v>1357</v>
      </c>
      <c r="G5" s="1149" t="s">
        <v>1362</v>
      </c>
    </row>
    <row r="6" spans="1:7" s="89" customFormat="1" ht="17.25" customHeight="1" x14ac:dyDescent="0.2">
      <c r="A6" s="1152"/>
      <c r="B6" s="1152"/>
      <c r="C6" s="1154"/>
      <c r="D6" s="1154"/>
      <c r="E6" s="1154"/>
      <c r="F6" s="1155"/>
      <c r="G6" s="1150"/>
    </row>
    <row r="7" spans="1:7" s="89" customFormat="1" ht="11.25" customHeight="1" x14ac:dyDescent="0.2">
      <c r="A7" s="90" t="s">
        <v>131</v>
      </c>
      <c r="B7" s="91" t="s">
        <v>132</v>
      </c>
      <c r="C7" s="164" t="s">
        <v>133</v>
      </c>
      <c r="D7" s="164" t="s">
        <v>454</v>
      </c>
      <c r="E7" s="164" t="s">
        <v>455</v>
      </c>
      <c r="F7" s="164" t="s">
        <v>469</v>
      </c>
      <c r="G7" s="164" t="s">
        <v>520</v>
      </c>
    </row>
    <row r="8" spans="1:7" s="94" customFormat="1" ht="16.5" customHeight="1" x14ac:dyDescent="0.2">
      <c r="A8" s="92"/>
      <c r="B8" s="182" t="s">
        <v>292</v>
      </c>
      <c r="C8" s="424"/>
      <c r="D8" s="424"/>
      <c r="E8" s="424"/>
      <c r="F8" s="424"/>
      <c r="G8" s="143"/>
    </row>
    <row r="9" spans="1:7" ht="12" customHeight="1" x14ac:dyDescent="0.2">
      <c r="A9" s="95"/>
      <c r="B9" s="96"/>
      <c r="C9" s="95"/>
      <c r="D9" s="95"/>
      <c r="E9" s="95"/>
      <c r="F9" s="95"/>
      <c r="G9" s="96"/>
    </row>
    <row r="10" spans="1:7" ht="12" customHeight="1" x14ac:dyDescent="0.2">
      <c r="A10" s="99">
        <v>1010</v>
      </c>
      <c r="B10" s="109" t="s">
        <v>169</v>
      </c>
      <c r="C10" s="340">
        <f>SUM(C11:C16)</f>
        <v>3544633</v>
      </c>
      <c r="D10" s="340">
        <f>SUM(D11:D16)</f>
        <v>4270289</v>
      </c>
      <c r="E10" s="340">
        <f>SUM(E11:E16)</f>
        <v>4379771</v>
      </c>
      <c r="F10" s="340">
        <f>SUM(F11:F16)</f>
        <v>4424851</v>
      </c>
      <c r="G10" s="196">
        <f>SUM(F10/E10)</f>
        <v>1.010292775581189</v>
      </c>
    </row>
    <row r="11" spans="1:7" ht="12" customHeight="1" x14ac:dyDescent="0.2">
      <c r="A11" s="95">
        <v>1011</v>
      </c>
      <c r="B11" s="96" t="s">
        <v>170</v>
      </c>
      <c r="C11" s="339">
        <f>837843+66853</f>
        <v>904696</v>
      </c>
      <c r="D11" s="339">
        <f>904696</f>
        <v>904696</v>
      </c>
      <c r="E11" s="339">
        <f>904696</f>
        <v>904696</v>
      </c>
      <c r="F11" s="339">
        <f>904696</f>
        <v>904696</v>
      </c>
      <c r="G11" s="880">
        <f t="shared" ref="G11:G74" si="0">SUM(F11/E11)</f>
        <v>1</v>
      </c>
    </row>
    <row r="12" spans="1:7" ht="12" customHeight="1" x14ac:dyDescent="0.2">
      <c r="A12" s="95">
        <v>1012</v>
      </c>
      <c r="B12" s="96" t="s">
        <v>171</v>
      </c>
      <c r="C12" s="356">
        <f>1155855+102932</f>
        <v>1258787</v>
      </c>
      <c r="D12" s="356">
        <f>1258787+268412</f>
        <v>1527199</v>
      </c>
      <c r="E12" s="356">
        <f>1527199+17230</f>
        <v>1544429</v>
      </c>
      <c r="F12" s="356">
        <f>1544429+769</f>
        <v>1545198</v>
      </c>
      <c r="G12" s="880">
        <f t="shared" si="0"/>
        <v>1.0004979186482512</v>
      </c>
    </row>
    <row r="13" spans="1:7" ht="12" customHeight="1" x14ac:dyDescent="0.2">
      <c r="A13" s="95">
        <v>1013</v>
      </c>
      <c r="B13" s="96" t="s">
        <v>375</v>
      </c>
      <c r="C13" s="106">
        <f>1121894+228945</f>
        <v>1350839</v>
      </c>
      <c r="D13" s="106">
        <f>1350839+26911+60831</f>
        <v>1438581</v>
      </c>
      <c r="E13" s="106">
        <f>1438581+91817</f>
        <v>1530398</v>
      </c>
      <c r="F13" s="106">
        <f>1530398+44311</f>
        <v>1574709</v>
      </c>
      <c r="G13" s="880">
        <f t="shared" si="0"/>
        <v>1.0289539061080843</v>
      </c>
    </row>
    <row r="14" spans="1:7" ht="12" customHeight="1" x14ac:dyDescent="0.2">
      <c r="A14" s="95">
        <v>1014</v>
      </c>
      <c r="B14" s="96" t="s">
        <v>172</v>
      </c>
      <c r="C14" s="95">
        <v>30311</v>
      </c>
      <c r="D14" s="95">
        <f>30311+313826+30377</f>
        <v>374514</v>
      </c>
      <c r="E14" s="95">
        <f>374514+435</f>
        <v>374949</v>
      </c>
      <c r="F14" s="95">
        <f>374514+435</f>
        <v>374949</v>
      </c>
      <c r="G14" s="880">
        <f t="shared" si="0"/>
        <v>1</v>
      </c>
    </row>
    <row r="15" spans="1:7" ht="12" customHeight="1" x14ac:dyDescent="0.2">
      <c r="A15" s="95">
        <v>1015</v>
      </c>
      <c r="B15" s="96" t="s">
        <v>2</v>
      </c>
      <c r="C15" s="95"/>
      <c r="D15" s="95"/>
      <c r="E15" s="95"/>
      <c r="F15" s="95"/>
      <c r="G15" s="880"/>
    </row>
    <row r="16" spans="1:7" ht="12" customHeight="1" x14ac:dyDescent="0.2">
      <c r="A16" s="95">
        <v>1016</v>
      </c>
      <c r="B16" s="96" t="s">
        <v>3</v>
      </c>
      <c r="C16" s="339">
        <v>0</v>
      </c>
      <c r="D16" s="339">
        <v>25299</v>
      </c>
      <c r="E16" s="339">
        <v>25299</v>
      </c>
      <c r="F16" s="339">
        <v>25299</v>
      </c>
      <c r="G16" s="880">
        <f t="shared" si="0"/>
        <v>1</v>
      </c>
    </row>
    <row r="17" spans="1:7" ht="15" customHeight="1" x14ac:dyDescent="0.2">
      <c r="A17" s="99">
        <v>1020</v>
      </c>
      <c r="B17" s="109" t="s">
        <v>173</v>
      </c>
      <c r="C17" s="339"/>
      <c r="D17" s="339"/>
      <c r="E17" s="339"/>
      <c r="F17" s="339"/>
      <c r="G17" s="880"/>
    </row>
    <row r="18" spans="1:7" ht="15" customHeight="1" x14ac:dyDescent="0.2">
      <c r="A18" s="99">
        <v>1029</v>
      </c>
      <c r="B18" s="109" t="s">
        <v>1018</v>
      </c>
      <c r="C18" s="340">
        <v>0</v>
      </c>
      <c r="D18" s="340">
        <v>0</v>
      </c>
      <c r="E18" s="340">
        <v>0</v>
      </c>
      <c r="F18" s="340">
        <v>0</v>
      </c>
      <c r="G18" s="880"/>
    </row>
    <row r="19" spans="1:7" ht="15" customHeight="1" x14ac:dyDescent="0.2">
      <c r="A19" s="99">
        <v>1030</v>
      </c>
      <c r="B19" s="109" t="s">
        <v>347</v>
      </c>
      <c r="C19" s="340">
        <v>0</v>
      </c>
      <c r="D19" s="340">
        <v>10483</v>
      </c>
      <c r="E19" s="340">
        <f>10483+2652</f>
        <v>13135</v>
      </c>
      <c r="F19" s="340">
        <f>10483+2652</f>
        <v>13135</v>
      </c>
      <c r="G19" s="196">
        <f t="shared" si="0"/>
        <v>1</v>
      </c>
    </row>
    <row r="20" spans="1:7" ht="15" customHeight="1" x14ac:dyDescent="0.2">
      <c r="A20" s="99">
        <v>1031</v>
      </c>
      <c r="B20" s="98" t="s">
        <v>465</v>
      </c>
      <c r="C20" s="340"/>
      <c r="D20" s="340"/>
      <c r="E20" s="340"/>
      <c r="F20" s="340"/>
      <c r="G20" s="880"/>
    </row>
    <row r="21" spans="1:7" ht="15" customHeight="1" thickBot="1" x14ac:dyDescent="0.25">
      <c r="A21" s="609">
        <v>1032</v>
      </c>
      <c r="B21" s="610" t="s">
        <v>1119</v>
      </c>
      <c r="C21" s="552">
        <v>0</v>
      </c>
      <c r="D21" s="552">
        <v>0</v>
      </c>
      <c r="E21" s="555">
        <v>750</v>
      </c>
      <c r="F21" s="555">
        <v>750</v>
      </c>
      <c r="G21" s="882">
        <f t="shared" si="0"/>
        <v>1</v>
      </c>
    </row>
    <row r="22" spans="1:7" ht="16.5" customHeight="1" thickBot="1" x14ac:dyDescent="0.3">
      <c r="A22" s="123"/>
      <c r="B22" s="174" t="s">
        <v>348</v>
      </c>
      <c r="C22" s="341">
        <f>SUM(C10+C21+C20+C18+C19)</f>
        <v>3544633</v>
      </c>
      <c r="D22" s="881">
        <f>SUM(D10+D21+D20+D18+D19)</f>
        <v>4280772</v>
      </c>
      <c r="E22" s="553">
        <f>SUM(E10+E21+E20+E18+E19)</f>
        <v>4393656</v>
      </c>
      <c r="F22" s="553">
        <f>SUM(F10+F21+F20+F18+F19)</f>
        <v>4438736</v>
      </c>
      <c r="G22" s="884">
        <f t="shared" si="0"/>
        <v>1.0102602479575096</v>
      </c>
    </row>
    <row r="23" spans="1:7" ht="12" customHeight="1" x14ac:dyDescent="0.2">
      <c r="A23" s="118"/>
      <c r="B23" s="130"/>
      <c r="C23" s="549"/>
      <c r="D23" s="549"/>
      <c r="E23" s="549"/>
      <c r="F23" s="549"/>
      <c r="G23" s="883"/>
    </row>
    <row r="24" spans="1:7" ht="12" customHeight="1" x14ac:dyDescent="0.2">
      <c r="A24" s="97">
        <v>1040</v>
      </c>
      <c r="B24" s="98" t="s">
        <v>175</v>
      </c>
      <c r="C24" s="340">
        <f t="shared" ref="C24:D24" si="1">SUM(C25:C26)</f>
        <v>5377421</v>
      </c>
      <c r="D24" s="340">
        <f t="shared" si="1"/>
        <v>5377421</v>
      </c>
      <c r="E24" s="340">
        <f t="shared" ref="E24:F24" si="2">SUM(E25:E26)</f>
        <v>5377421</v>
      </c>
      <c r="F24" s="340">
        <f t="shared" si="2"/>
        <v>5377421</v>
      </c>
      <c r="G24" s="196">
        <f t="shared" si="0"/>
        <v>1</v>
      </c>
    </row>
    <row r="25" spans="1:7" ht="12" customHeight="1" x14ac:dyDescent="0.2">
      <c r="A25" s="106">
        <v>1041</v>
      </c>
      <c r="B25" s="104" t="s">
        <v>21</v>
      </c>
      <c r="C25" s="339">
        <v>4638980</v>
      </c>
      <c r="D25" s="339">
        <v>4638980</v>
      </c>
      <c r="E25" s="339">
        <v>4638980</v>
      </c>
      <c r="F25" s="339">
        <v>4638980</v>
      </c>
      <c r="G25" s="880">
        <f t="shared" si="0"/>
        <v>1</v>
      </c>
    </row>
    <row r="26" spans="1:7" ht="12" customHeight="1" x14ac:dyDescent="0.2">
      <c r="A26" s="106">
        <v>1042</v>
      </c>
      <c r="B26" s="104" t="s">
        <v>22</v>
      </c>
      <c r="C26" s="339">
        <v>738441</v>
      </c>
      <c r="D26" s="339">
        <v>738441</v>
      </c>
      <c r="E26" s="339">
        <v>738441</v>
      </c>
      <c r="F26" s="339">
        <v>738441</v>
      </c>
      <c r="G26" s="880">
        <f t="shared" si="0"/>
        <v>1</v>
      </c>
    </row>
    <row r="27" spans="1:7" ht="12" customHeight="1" x14ac:dyDescent="0.2">
      <c r="A27" s="101">
        <v>1050</v>
      </c>
      <c r="B27" s="100" t="s">
        <v>176</v>
      </c>
      <c r="C27" s="340">
        <f t="shared" ref="C27:D27" si="3">SUM(C28:C30)</f>
        <v>9857538</v>
      </c>
      <c r="D27" s="340">
        <f t="shared" si="3"/>
        <v>9857538</v>
      </c>
      <c r="E27" s="340">
        <f t="shared" ref="E27:F27" si="4">SUM(E28:E30)</f>
        <v>9857538</v>
      </c>
      <c r="F27" s="340">
        <f t="shared" si="4"/>
        <v>9933538</v>
      </c>
      <c r="G27" s="196">
        <f t="shared" si="0"/>
        <v>1.0077098358636811</v>
      </c>
    </row>
    <row r="28" spans="1:7" ht="12.75" customHeight="1" x14ac:dyDescent="0.2">
      <c r="A28" s="107">
        <v>1051</v>
      </c>
      <c r="B28" s="96" t="s">
        <v>147</v>
      </c>
      <c r="C28" s="339">
        <f>9340000+17538</f>
        <v>9357538</v>
      </c>
      <c r="D28" s="339">
        <f>9340000+17538</f>
        <v>9357538</v>
      </c>
      <c r="E28" s="339">
        <f>9340000+17538</f>
        <v>9357538</v>
      </c>
      <c r="F28" s="339">
        <f>9340000+17538</f>
        <v>9357538</v>
      </c>
      <c r="G28" s="880">
        <f t="shared" si="0"/>
        <v>1</v>
      </c>
    </row>
    <row r="29" spans="1:7" ht="12.75" customHeight="1" x14ac:dyDescent="0.2">
      <c r="A29" s="107">
        <v>1052</v>
      </c>
      <c r="B29" s="108" t="s">
        <v>349</v>
      </c>
      <c r="C29" s="339"/>
      <c r="D29" s="339"/>
      <c r="E29" s="339"/>
      <c r="F29" s="339"/>
      <c r="G29" s="880"/>
    </row>
    <row r="30" spans="1:7" ht="12.75" customHeight="1" x14ac:dyDescent="0.2">
      <c r="A30" s="107">
        <v>1053</v>
      </c>
      <c r="B30" s="103" t="s">
        <v>143</v>
      </c>
      <c r="C30" s="339">
        <v>500000</v>
      </c>
      <c r="D30" s="339">
        <v>500000</v>
      </c>
      <c r="E30" s="339">
        <v>500000</v>
      </c>
      <c r="F30" s="339">
        <f>500000+76000</f>
        <v>576000</v>
      </c>
      <c r="G30" s="880">
        <f t="shared" si="0"/>
        <v>1.1519999999999999</v>
      </c>
    </row>
    <row r="31" spans="1:7" ht="12" customHeight="1" x14ac:dyDescent="0.2">
      <c r="A31" s="101">
        <v>1070</v>
      </c>
      <c r="B31" s="100" t="s">
        <v>149</v>
      </c>
      <c r="C31" s="340">
        <f>SUM(C32:C42)</f>
        <v>859172</v>
      </c>
      <c r="D31" s="340">
        <f>SUM(D32:D42)</f>
        <v>859172</v>
      </c>
      <c r="E31" s="340">
        <f>SUM(E32:E42)</f>
        <v>860952</v>
      </c>
      <c r="F31" s="340">
        <f>SUM(F32:F42)</f>
        <v>860952</v>
      </c>
      <c r="G31" s="196">
        <f t="shared" si="0"/>
        <v>1</v>
      </c>
    </row>
    <row r="32" spans="1:7" ht="12" customHeight="1" x14ac:dyDescent="0.2">
      <c r="A32" s="107">
        <v>1071</v>
      </c>
      <c r="B32" s="104" t="s">
        <v>177</v>
      </c>
      <c r="C32" s="339">
        <v>400</v>
      </c>
      <c r="D32" s="339">
        <v>400</v>
      </c>
      <c r="E32" s="339">
        <v>400</v>
      </c>
      <c r="F32" s="339">
        <v>400</v>
      </c>
      <c r="G32" s="880">
        <f t="shared" si="0"/>
        <v>1</v>
      </c>
    </row>
    <row r="33" spans="1:7" ht="12" customHeight="1" x14ac:dyDescent="0.2">
      <c r="A33" s="107">
        <v>1072</v>
      </c>
      <c r="B33" s="104" t="s">
        <v>1341</v>
      </c>
      <c r="C33" s="339"/>
      <c r="D33" s="339"/>
      <c r="E33" s="339">
        <v>1780</v>
      </c>
      <c r="F33" s="339">
        <v>1780</v>
      </c>
      <c r="G33" s="880">
        <f t="shared" si="0"/>
        <v>1</v>
      </c>
    </row>
    <row r="34" spans="1:7" ht="12" customHeight="1" x14ac:dyDescent="0.2">
      <c r="A34" s="107">
        <v>1073</v>
      </c>
      <c r="B34" s="96" t="s">
        <v>178</v>
      </c>
      <c r="C34" s="339"/>
      <c r="D34" s="339"/>
      <c r="E34" s="339"/>
      <c r="F34" s="339"/>
      <c r="G34" s="880"/>
    </row>
    <row r="35" spans="1:7" ht="12" customHeight="1" x14ac:dyDescent="0.2">
      <c r="A35" s="107">
        <v>1074</v>
      </c>
      <c r="B35" s="96" t="s">
        <v>179</v>
      </c>
      <c r="C35" s="339"/>
      <c r="D35" s="339"/>
      <c r="E35" s="339"/>
      <c r="F35" s="339"/>
      <c r="G35" s="880"/>
    </row>
    <row r="36" spans="1:7" ht="12" customHeight="1" x14ac:dyDescent="0.2">
      <c r="A36" s="107">
        <v>1075</v>
      </c>
      <c r="B36" s="103" t="s">
        <v>350</v>
      </c>
      <c r="C36" s="339">
        <v>22000</v>
      </c>
      <c r="D36" s="339">
        <v>22000</v>
      </c>
      <c r="E36" s="339">
        <v>22000</v>
      </c>
      <c r="F36" s="339">
        <v>22000</v>
      </c>
      <c r="G36" s="880">
        <f t="shared" si="0"/>
        <v>1</v>
      </c>
    </row>
    <row r="37" spans="1:7" ht="12" customHeight="1" x14ac:dyDescent="0.2">
      <c r="A37" s="107">
        <v>1076</v>
      </c>
      <c r="B37" s="103" t="s">
        <v>351</v>
      </c>
      <c r="C37" s="339">
        <f>12116-460+972</f>
        <v>12628</v>
      </c>
      <c r="D37" s="339">
        <f>12116-460+972</f>
        <v>12628</v>
      </c>
      <c r="E37" s="339">
        <f>12116-460+972</f>
        <v>12628</v>
      </c>
      <c r="F37" s="339">
        <f>12116-460+972</f>
        <v>12628</v>
      </c>
      <c r="G37" s="880">
        <f t="shared" si="0"/>
        <v>1</v>
      </c>
    </row>
    <row r="38" spans="1:7" ht="12" customHeight="1" x14ac:dyDescent="0.2">
      <c r="A38" s="107">
        <v>1077</v>
      </c>
      <c r="B38" s="108" t="s">
        <v>180</v>
      </c>
      <c r="C38" s="339">
        <v>557844</v>
      </c>
      <c r="D38" s="339">
        <v>557844</v>
      </c>
      <c r="E38" s="339">
        <v>557844</v>
      </c>
      <c r="F38" s="339">
        <v>557844</v>
      </c>
      <c r="G38" s="880">
        <f t="shared" si="0"/>
        <v>1</v>
      </c>
    </row>
    <row r="39" spans="1:7" ht="12" customHeight="1" x14ac:dyDescent="0.2">
      <c r="A39" s="107">
        <v>1078</v>
      </c>
      <c r="B39" s="104" t="s">
        <v>181</v>
      </c>
      <c r="C39" s="339">
        <v>1300</v>
      </c>
      <c r="D39" s="339">
        <v>1300</v>
      </c>
      <c r="E39" s="339">
        <v>1300</v>
      </c>
      <c r="F39" s="339">
        <v>1300</v>
      </c>
      <c r="G39" s="880">
        <f t="shared" si="0"/>
        <v>1</v>
      </c>
    </row>
    <row r="40" spans="1:7" ht="12" customHeight="1" x14ac:dyDescent="0.2">
      <c r="A40" s="107">
        <v>1079</v>
      </c>
      <c r="B40" s="104" t="s">
        <v>369</v>
      </c>
      <c r="C40" s="339">
        <v>15000</v>
      </c>
      <c r="D40" s="339">
        <v>15000</v>
      </c>
      <c r="E40" s="339">
        <v>15000</v>
      </c>
      <c r="F40" s="339">
        <v>15000</v>
      </c>
      <c r="G40" s="880">
        <f t="shared" si="0"/>
        <v>1</v>
      </c>
    </row>
    <row r="41" spans="1:7" ht="12" customHeight="1" x14ac:dyDescent="0.2">
      <c r="A41" s="106">
        <v>1081</v>
      </c>
      <c r="B41" s="104" t="s">
        <v>983</v>
      </c>
      <c r="C41" s="339">
        <v>250000</v>
      </c>
      <c r="D41" s="339">
        <v>250000</v>
      </c>
      <c r="E41" s="339">
        <v>250000</v>
      </c>
      <c r="F41" s="339">
        <v>250000</v>
      </c>
      <c r="G41" s="880">
        <f t="shared" si="0"/>
        <v>1</v>
      </c>
    </row>
    <row r="42" spans="1:7" ht="13.5" customHeight="1" thickBot="1" x14ac:dyDescent="0.25">
      <c r="A42" s="122">
        <v>1082</v>
      </c>
      <c r="B42" s="195" t="s">
        <v>134</v>
      </c>
      <c r="C42" s="418"/>
      <c r="D42" s="418"/>
      <c r="E42" s="418"/>
      <c r="F42" s="418"/>
      <c r="G42" s="1065"/>
    </row>
    <row r="43" spans="1:7" ht="17.25" customHeight="1" thickBot="1" x14ac:dyDescent="0.25">
      <c r="A43" s="124"/>
      <c r="B43" s="316" t="s">
        <v>182</v>
      </c>
      <c r="C43" s="550">
        <f>SUM(C24+C27+C31)</f>
        <v>16094131</v>
      </c>
      <c r="D43" s="550">
        <f>SUM(D24+D27+D31)</f>
        <v>16094131</v>
      </c>
      <c r="E43" s="550">
        <f>SUM(E24+E27+E31)</f>
        <v>16095911</v>
      </c>
      <c r="F43" s="550">
        <f>SUM(F24+F27+F31)</f>
        <v>16171911</v>
      </c>
      <c r="G43" s="884">
        <f t="shared" si="0"/>
        <v>1.0047216960879071</v>
      </c>
    </row>
    <row r="44" spans="1:7" ht="12" customHeight="1" x14ac:dyDescent="0.2">
      <c r="A44" s="107"/>
      <c r="B44" s="161"/>
      <c r="C44" s="549"/>
      <c r="D44" s="549"/>
      <c r="E44" s="549"/>
      <c r="F44" s="549"/>
      <c r="G44" s="883"/>
    </row>
    <row r="45" spans="1:7" ht="12" customHeight="1" x14ac:dyDescent="0.2">
      <c r="A45" s="101">
        <v>1090</v>
      </c>
      <c r="B45" s="175" t="s">
        <v>183</v>
      </c>
      <c r="C45" s="340">
        <f>SUM(C46:C54)</f>
        <v>1920939</v>
      </c>
      <c r="D45" s="340">
        <f>SUM(D46:D54)</f>
        <v>1920939</v>
      </c>
      <c r="E45" s="340">
        <f>SUM(E46:E54)</f>
        <v>1920939</v>
      </c>
      <c r="F45" s="340">
        <f>SUM(F46:F54)</f>
        <v>1920939</v>
      </c>
      <c r="G45" s="196">
        <f t="shared" si="0"/>
        <v>1</v>
      </c>
    </row>
    <row r="46" spans="1:7" ht="12" customHeight="1" x14ac:dyDescent="0.2">
      <c r="A46" s="107">
        <v>1091</v>
      </c>
      <c r="B46" s="148" t="s">
        <v>1106</v>
      </c>
      <c r="C46" s="356"/>
      <c r="D46" s="356"/>
      <c r="E46" s="356"/>
      <c r="F46" s="356"/>
      <c r="G46" s="196"/>
    </row>
    <row r="47" spans="1:7" ht="12" customHeight="1" x14ac:dyDescent="0.2">
      <c r="A47" s="107">
        <v>1092</v>
      </c>
      <c r="B47" s="104" t="s">
        <v>135</v>
      </c>
      <c r="C47" s="339">
        <v>1157439</v>
      </c>
      <c r="D47" s="339">
        <v>1157439</v>
      </c>
      <c r="E47" s="339">
        <v>1157439</v>
      </c>
      <c r="F47" s="339">
        <v>1157439</v>
      </c>
      <c r="G47" s="880">
        <f t="shared" si="0"/>
        <v>1</v>
      </c>
    </row>
    <row r="48" spans="1:7" ht="12" customHeight="1" x14ac:dyDescent="0.2">
      <c r="A48" s="107">
        <v>1093</v>
      </c>
      <c r="B48" s="104" t="s">
        <v>394</v>
      </c>
      <c r="C48" s="339">
        <v>8000</v>
      </c>
      <c r="D48" s="339">
        <v>8000</v>
      </c>
      <c r="E48" s="339">
        <v>8000</v>
      </c>
      <c r="F48" s="339">
        <v>8000</v>
      </c>
      <c r="G48" s="880">
        <f t="shared" si="0"/>
        <v>1</v>
      </c>
    </row>
    <row r="49" spans="1:7" ht="12" customHeight="1" x14ac:dyDescent="0.2">
      <c r="A49" s="107">
        <v>1094</v>
      </c>
      <c r="B49" s="104" t="s">
        <v>395</v>
      </c>
      <c r="C49" s="339">
        <v>30000</v>
      </c>
      <c r="D49" s="339">
        <v>30000</v>
      </c>
      <c r="E49" s="339">
        <v>30000</v>
      </c>
      <c r="F49" s="339">
        <v>30000</v>
      </c>
      <c r="G49" s="880">
        <f t="shared" si="0"/>
        <v>1</v>
      </c>
    </row>
    <row r="50" spans="1:7" ht="12" customHeight="1" x14ac:dyDescent="0.2">
      <c r="A50" s="107">
        <v>1095</v>
      </c>
      <c r="B50" s="108" t="s">
        <v>275</v>
      </c>
      <c r="C50" s="339">
        <v>350000</v>
      </c>
      <c r="D50" s="339">
        <v>350000</v>
      </c>
      <c r="E50" s="339">
        <v>350000</v>
      </c>
      <c r="F50" s="339">
        <v>350000</v>
      </c>
      <c r="G50" s="880">
        <f t="shared" si="0"/>
        <v>1</v>
      </c>
    </row>
    <row r="51" spans="1:7" ht="12" customHeight="1" x14ac:dyDescent="0.2">
      <c r="A51" s="107">
        <v>1096</v>
      </c>
      <c r="B51" s="108" t="s">
        <v>259</v>
      </c>
      <c r="C51" s="339">
        <v>350000</v>
      </c>
      <c r="D51" s="339">
        <v>350000</v>
      </c>
      <c r="E51" s="339">
        <v>350000</v>
      </c>
      <c r="F51" s="339">
        <v>350000</v>
      </c>
      <c r="G51" s="880">
        <f t="shared" si="0"/>
        <v>1</v>
      </c>
    </row>
    <row r="52" spans="1:7" ht="12" customHeight="1" x14ac:dyDescent="0.2">
      <c r="A52" s="107">
        <v>1097</v>
      </c>
      <c r="B52" s="108" t="s">
        <v>0</v>
      </c>
      <c r="C52" s="339"/>
      <c r="D52" s="339"/>
      <c r="E52" s="339"/>
      <c r="F52" s="339"/>
      <c r="G52" s="880"/>
    </row>
    <row r="53" spans="1:7" ht="12" customHeight="1" x14ac:dyDescent="0.2">
      <c r="A53" s="107">
        <v>1098</v>
      </c>
      <c r="B53" s="108" t="s">
        <v>4</v>
      </c>
      <c r="C53" s="339">
        <v>500</v>
      </c>
      <c r="D53" s="339">
        <v>500</v>
      </c>
      <c r="E53" s="339">
        <v>500</v>
      </c>
      <c r="F53" s="339">
        <v>500</v>
      </c>
      <c r="G53" s="880">
        <f t="shared" si="0"/>
        <v>1</v>
      </c>
    </row>
    <row r="54" spans="1:7" ht="12" customHeight="1" x14ac:dyDescent="0.2">
      <c r="A54" s="107">
        <v>1099</v>
      </c>
      <c r="B54" s="108" t="s">
        <v>1021</v>
      </c>
      <c r="C54" s="339">
        <v>25000</v>
      </c>
      <c r="D54" s="339">
        <v>25000</v>
      </c>
      <c r="E54" s="339">
        <v>25000</v>
      </c>
      <c r="F54" s="339">
        <v>25000</v>
      </c>
      <c r="G54" s="880">
        <f t="shared" si="0"/>
        <v>1</v>
      </c>
    </row>
    <row r="55" spans="1:7" ht="12" customHeight="1" x14ac:dyDescent="0.2">
      <c r="A55" s="101">
        <v>1100</v>
      </c>
      <c r="B55" s="175" t="s">
        <v>184</v>
      </c>
      <c r="C55" s="340">
        <f t="shared" ref="C55:D55" si="5">SUM(C56:C58)</f>
        <v>178900</v>
      </c>
      <c r="D55" s="340">
        <f t="shared" si="5"/>
        <v>178900</v>
      </c>
      <c r="E55" s="340">
        <f t="shared" ref="E55:F55" si="6">SUM(E56:E58)</f>
        <v>178900</v>
      </c>
      <c r="F55" s="340">
        <f t="shared" si="6"/>
        <v>178900</v>
      </c>
      <c r="G55" s="196">
        <f t="shared" si="0"/>
        <v>1</v>
      </c>
    </row>
    <row r="56" spans="1:7" ht="12" customHeight="1" x14ac:dyDescent="0.2">
      <c r="A56" s="107">
        <v>1101</v>
      </c>
      <c r="B56" s="108" t="s">
        <v>1</v>
      </c>
      <c r="C56" s="339">
        <v>10000</v>
      </c>
      <c r="D56" s="339">
        <v>10000</v>
      </c>
      <c r="E56" s="339">
        <v>10000</v>
      </c>
      <c r="F56" s="339">
        <v>10000</v>
      </c>
      <c r="G56" s="880">
        <f t="shared" si="0"/>
        <v>1</v>
      </c>
    </row>
    <row r="57" spans="1:7" ht="12" customHeight="1" x14ac:dyDescent="0.2">
      <c r="A57" s="107">
        <v>1102</v>
      </c>
      <c r="B57" s="104" t="s">
        <v>185</v>
      </c>
      <c r="C57" s="339">
        <v>100000</v>
      </c>
      <c r="D57" s="339">
        <v>100000</v>
      </c>
      <c r="E57" s="339">
        <v>100000</v>
      </c>
      <c r="F57" s="339">
        <v>100000</v>
      </c>
      <c r="G57" s="880">
        <f t="shared" si="0"/>
        <v>1</v>
      </c>
    </row>
    <row r="58" spans="1:7" ht="12" customHeight="1" x14ac:dyDescent="0.2">
      <c r="A58" s="107">
        <v>1103</v>
      </c>
      <c r="B58" s="104" t="s">
        <v>186</v>
      </c>
      <c r="C58" s="339">
        <v>68900</v>
      </c>
      <c r="D58" s="339">
        <v>68900</v>
      </c>
      <c r="E58" s="339">
        <v>68900</v>
      </c>
      <c r="F58" s="339">
        <v>68900</v>
      </c>
      <c r="G58" s="880">
        <f t="shared" si="0"/>
        <v>1</v>
      </c>
    </row>
    <row r="59" spans="1:7" ht="12" customHeight="1" x14ac:dyDescent="0.2">
      <c r="A59" s="101">
        <v>1105</v>
      </c>
      <c r="B59" s="109" t="s">
        <v>297</v>
      </c>
      <c r="C59" s="340"/>
      <c r="D59" s="340"/>
      <c r="E59" s="340"/>
      <c r="F59" s="340"/>
      <c r="G59" s="880"/>
    </row>
    <row r="60" spans="1:7" ht="12" customHeight="1" x14ac:dyDescent="0.2">
      <c r="A60" s="101">
        <v>1110</v>
      </c>
      <c r="B60" s="109" t="s">
        <v>187</v>
      </c>
      <c r="C60" s="339"/>
      <c r="D60" s="339"/>
      <c r="E60" s="339"/>
      <c r="F60" s="339"/>
      <c r="G60" s="880"/>
    </row>
    <row r="61" spans="1:7" ht="12" customHeight="1" x14ac:dyDescent="0.2">
      <c r="A61" s="101">
        <v>1120</v>
      </c>
      <c r="B61" s="109" t="s">
        <v>188</v>
      </c>
      <c r="C61" s="340">
        <f t="shared" ref="C61:D61" si="7">SUM(C62:C64)</f>
        <v>566956</v>
      </c>
      <c r="D61" s="340">
        <f t="shared" si="7"/>
        <v>566956</v>
      </c>
      <c r="E61" s="340">
        <f t="shared" ref="E61:F61" si="8">SUM(E62:E64)</f>
        <v>566956</v>
      </c>
      <c r="F61" s="340">
        <f t="shared" si="8"/>
        <v>566956</v>
      </c>
      <c r="G61" s="196">
        <f t="shared" si="0"/>
        <v>1</v>
      </c>
    </row>
    <row r="62" spans="1:7" ht="12" customHeight="1" x14ac:dyDescent="0.2">
      <c r="A62" s="107">
        <v>1121</v>
      </c>
      <c r="B62" s="96" t="s">
        <v>255</v>
      </c>
      <c r="C62" s="339">
        <v>19845</v>
      </c>
      <c r="D62" s="339">
        <v>19845</v>
      </c>
      <c r="E62" s="339">
        <v>19845</v>
      </c>
      <c r="F62" s="339">
        <v>19845</v>
      </c>
      <c r="G62" s="880">
        <f t="shared" si="0"/>
        <v>1</v>
      </c>
    </row>
    <row r="63" spans="1:7" ht="12" customHeight="1" x14ac:dyDescent="0.2">
      <c r="A63" s="107">
        <v>1122</v>
      </c>
      <c r="B63" s="96" t="s">
        <v>353</v>
      </c>
      <c r="C63" s="339">
        <v>216000</v>
      </c>
      <c r="D63" s="339">
        <v>216000</v>
      </c>
      <c r="E63" s="339">
        <v>216000</v>
      </c>
      <c r="F63" s="339">
        <v>216000</v>
      </c>
      <c r="G63" s="880">
        <f t="shared" si="0"/>
        <v>1</v>
      </c>
    </row>
    <row r="64" spans="1:7" ht="12" customHeight="1" x14ac:dyDescent="0.2">
      <c r="A64" s="107">
        <v>1123</v>
      </c>
      <c r="B64" s="103" t="s">
        <v>266</v>
      </c>
      <c r="C64" s="356">
        <v>331111</v>
      </c>
      <c r="D64" s="356">
        <v>331111</v>
      </c>
      <c r="E64" s="356">
        <v>331111</v>
      </c>
      <c r="F64" s="356">
        <v>331111</v>
      </c>
      <c r="G64" s="880">
        <f t="shared" si="0"/>
        <v>1</v>
      </c>
    </row>
    <row r="65" spans="1:7" ht="12" customHeight="1" x14ac:dyDescent="0.2">
      <c r="A65" s="101">
        <v>1130</v>
      </c>
      <c r="B65" s="100" t="s">
        <v>189</v>
      </c>
      <c r="C65" s="340"/>
      <c r="D65" s="340"/>
      <c r="E65" s="340"/>
      <c r="F65" s="340"/>
      <c r="G65" s="880"/>
    </row>
    <row r="66" spans="1:7" ht="12" customHeight="1" x14ac:dyDescent="0.2">
      <c r="A66" s="101">
        <v>1140</v>
      </c>
      <c r="B66" s="102" t="s">
        <v>373</v>
      </c>
      <c r="C66" s="340">
        <v>250000</v>
      </c>
      <c r="D66" s="340">
        <f>D67</f>
        <v>271332</v>
      </c>
      <c r="E66" s="340">
        <f>E67</f>
        <v>271332</v>
      </c>
      <c r="F66" s="340">
        <f>F67</f>
        <v>271332</v>
      </c>
      <c r="G66" s="196">
        <f t="shared" si="0"/>
        <v>1</v>
      </c>
    </row>
    <row r="67" spans="1:7" ht="12" customHeight="1" x14ac:dyDescent="0.2">
      <c r="A67" s="107">
        <v>1141</v>
      </c>
      <c r="B67" s="104" t="s">
        <v>74</v>
      </c>
      <c r="C67" s="339">
        <v>250000</v>
      </c>
      <c r="D67" s="339">
        <f>250000+21332</f>
        <v>271332</v>
      </c>
      <c r="E67" s="339">
        <f>250000+21332</f>
        <v>271332</v>
      </c>
      <c r="F67" s="339">
        <f>250000+21332</f>
        <v>271332</v>
      </c>
      <c r="G67" s="880">
        <f t="shared" si="0"/>
        <v>1</v>
      </c>
    </row>
    <row r="68" spans="1:7" ht="12" customHeight="1" x14ac:dyDescent="0.2">
      <c r="A68" s="99">
        <v>1150</v>
      </c>
      <c r="B68" s="109" t="s">
        <v>190</v>
      </c>
      <c r="C68" s="340">
        <v>10000</v>
      </c>
      <c r="D68" s="340">
        <v>10000</v>
      </c>
      <c r="E68" s="340">
        <v>10000</v>
      </c>
      <c r="F68" s="340">
        <v>10000</v>
      </c>
      <c r="G68" s="196">
        <f t="shared" si="0"/>
        <v>1</v>
      </c>
    </row>
    <row r="69" spans="1:7" ht="12" customHeight="1" thickBot="1" x14ac:dyDescent="0.25">
      <c r="A69" s="123">
        <v>1151</v>
      </c>
      <c r="B69" s="317" t="s">
        <v>352</v>
      </c>
      <c r="C69" s="341">
        <v>28816</v>
      </c>
      <c r="D69" s="341">
        <v>28816</v>
      </c>
      <c r="E69" s="341">
        <v>28816</v>
      </c>
      <c r="F69" s="341">
        <v>28816</v>
      </c>
      <c r="G69" s="1066">
        <f t="shared" si="0"/>
        <v>1</v>
      </c>
    </row>
    <row r="70" spans="1:7" ht="18.75" customHeight="1" thickBot="1" x14ac:dyDescent="0.25">
      <c r="A70" s="124"/>
      <c r="B70" s="183" t="s">
        <v>295</v>
      </c>
      <c r="C70" s="550">
        <f>SUM(C66+C68+C65+C61+C60+C55+C45+C59+C69)</f>
        <v>2955611</v>
      </c>
      <c r="D70" s="550">
        <f>SUM(D66+D68+D65+D61+D60+D55+D45+D59+D69)</f>
        <v>2976943</v>
      </c>
      <c r="E70" s="550">
        <f>SUM(E66+E68+E65+E61+E60+E55+E45+E59+E69)</f>
        <v>2976943</v>
      </c>
      <c r="F70" s="550">
        <f>SUM(F66+F68+F65+F61+F60+F55+F45+F59+F69)</f>
        <v>2976943</v>
      </c>
      <c r="G70" s="884">
        <f t="shared" si="0"/>
        <v>1</v>
      </c>
    </row>
    <row r="71" spans="1:7" ht="12" customHeight="1" x14ac:dyDescent="0.25">
      <c r="A71" s="119"/>
      <c r="B71" s="176"/>
      <c r="C71" s="549"/>
      <c r="D71" s="549"/>
      <c r="E71" s="549"/>
      <c r="F71" s="549"/>
      <c r="G71" s="883"/>
    </row>
    <row r="72" spans="1:7" ht="15" customHeight="1" x14ac:dyDescent="0.2">
      <c r="A72" s="106">
        <v>1160</v>
      </c>
      <c r="B72" s="104" t="s">
        <v>191</v>
      </c>
      <c r="C72" s="339"/>
      <c r="D72" s="339"/>
      <c r="E72" s="339"/>
      <c r="F72" s="339"/>
      <c r="G72" s="196"/>
    </row>
    <row r="73" spans="1:7" ht="15" customHeight="1" x14ac:dyDescent="0.2">
      <c r="A73" s="106">
        <v>1161</v>
      </c>
      <c r="B73" s="104" t="s">
        <v>444</v>
      </c>
      <c r="C73" s="339"/>
      <c r="D73" s="339"/>
      <c r="E73" s="339"/>
      <c r="F73" s="339"/>
      <c r="G73" s="196"/>
    </row>
    <row r="74" spans="1:7" ht="15" customHeight="1" x14ac:dyDescent="0.2">
      <c r="A74" s="106">
        <v>1162</v>
      </c>
      <c r="B74" s="104" t="s">
        <v>1257</v>
      </c>
      <c r="C74" s="339"/>
      <c r="D74" s="339"/>
      <c r="E74" s="339">
        <v>17820</v>
      </c>
      <c r="F74" s="339">
        <v>17820</v>
      </c>
      <c r="G74" s="196">
        <f t="shared" si="0"/>
        <v>1</v>
      </c>
    </row>
    <row r="75" spans="1:7" ht="15" customHeight="1" x14ac:dyDescent="0.2">
      <c r="A75" s="106">
        <v>1163</v>
      </c>
      <c r="B75" s="104" t="s">
        <v>1080</v>
      </c>
      <c r="C75" s="339"/>
      <c r="D75" s="339"/>
      <c r="E75" s="339"/>
      <c r="F75" s="339"/>
      <c r="G75" s="196"/>
    </row>
    <row r="76" spans="1:7" ht="15" customHeight="1" x14ac:dyDescent="0.2">
      <c r="A76" s="106">
        <v>1164</v>
      </c>
      <c r="B76" s="104" t="s">
        <v>1115</v>
      </c>
      <c r="C76" s="339">
        <v>0</v>
      </c>
      <c r="D76" s="339">
        <v>0</v>
      </c>
      <c r="E76" s="339">
        <v>0</v>
      </c>
      <c r="F76" s="339">
        <v>0</v>
      </c>
      <c r="G76" s="196"/>
    </row>
    <row r="77" spans="1:7" ht="15" customHeight="1" x14ac:dyDescent="0.2">
      <c r="A77" s="332">
        <v>1165</v>
      </c>
      <c r="B77" s="110" t="s">
        <v>1016</v>
      </c>
      <c r="C77" s="799">
        <v>0</v>
      </c>
      <c r="D77" s="799">
        <v>0</v>
      </c>
      <c r="E77" s="799">
        <v>0</v>
      </c>
      <c r="F77" s="799">
        <v>0</v>
      </c>
      <c r="G77" s="196"/>
    </row>
    <row r="78" spans="1:7" ht="15" customHeight="1" thickBot="1" x14ac:dyDescent="0.25">
      <c r="A78" s="111">
        <v>1169</v>
      </c>
      <c r="B78" s="112" t="s">
        <v>1123</v>
      </c>
      <c r="C78" s="537"/>
      <c r="D78" s="537"/>
      <c r="E78" s="537">
        <v>22306</v>
      </c>
      <c r="F78" s="537">
        <v>22306</v>
      </c>
      <c r="G78" s="1066">
        <f t="shared" ref="G78:G137" si="9">SUM(F78/E78)</f>
        <v>1</v>
      </c>
    </row>
    <row r="79" spans="1:7" ht="18" customHeight="1" thickBot="1" x14ac:dyDescent="0.3">
      <c r="A79" s="124"/>
      <c r="B79" s="174" t="s">
        <v>192</v>
      </c>
      <c r="C79" s="341">
        <f>SUM(C72:C78)</f>
        <v>0</v>
      </c>
      <c r="D79" s="341">
        <f>SUM(D72:D78)</f>
        <v>0</v>
      </c>
      <c r="E79" s="341">
        <f>SUM(E72:E78)</f>
        <v>40126</v>
      </c>
      <c r="F79" s="341">
        <f>SUM(F72:F78)</f>
        <v>40126</v>
      </c>
      <c r="G79" s="884">
        <f t="shared" si="9"/>
        <v>1</v>
      </c>
    </row>
    <row r="80" spans="1:7" ht="12" customHeight="1" thickBot="1" x14ac:dyDescent="0.3">
      <c r="A80" s="124"/>
      <c r="B80" s="138"/>
      <c r="C80" s="551"/>
      <c r="D80" s="551"/>
      <c r="E80" s="551"/>
      <c r="F80" s="551"/>
      <c r="G80" s="884"/>
    </row>
    <row r="81" spans="1:7" ht="18.75" customHeight="1" thickBot="1" x14ac:dyDescent="0.3">
      <c r="A81" s="124"/>
      <c r="B81" s="177" t="s">
        <v>49</v>
      </c>
      <c r="C81" s="611">
        <f>SUM(C70+C43+C22+C79)</f>
        <v>22594375</v>
      </c>
      <c r="D81" s="611">
        <f>SUM(D70+D43+D22+D79)</f>
        <v>23351846</v>
      </c>
      <c r="E81" s="611">
        <f>SUM(E70+E43+E22+E79)</f>
        <v>23506636</v>
      </c>
      <c r="F81" s="611">
        <f>SUM(F70+F43+F22+F79)</f>
        <v>23627716</v>
      </c>
      <c r="G81" s="884">
        <f t="shared" si="9"/>
        <v>1.0051508859030276</v>
      </c>
    </row>
    <row r="82" spans="1:7" ht="12" customHeight="1" x14ac:dyDescent="0.25">
      <c r="A82" s="107"/>
      <c r="B82" s="163"/>
      <c r="C82" s="549"/>
      <c r="D82" s="549"/>
      <c r="E82" s="549"/>
      <c r="F82" s="549"/>
      <c r="G82" s="883"/>
    </row>
    <row r="83" spans="1:7" ht="12" customHeight="1" x14ac:dyDescent="0.2">
      <c r="A83" s="99">
        <v>1165</v>
      </c>
      <c r="B83" s="109" t="s">
        <v>193</v>
      </c>
      <c r="C83" s="340"/>
      <c r="D83" s="340"/>
      <c r="E83" s="340"/>
      <c r="F83" s="340"/>
      <c r="G83" s="196"/>
    </row>
    <row r="84" spans="1:7" ht="12" customHeight="1" x14ac:dyDescent="0.2">
      <c r="A84" s="99">
        <v>1166</v>
      </c>
      <c r="B84" s="109" t="s">
        <v>1018</v>
      </c>
      <c r="C84" s="340">
        <v>0</v>
      </c>
      <c r="D84" s="340">
        <v>0</v>
      </c>
      <c r="E84" s="340">
        <v>0</v>
      </c>
      <c r="F84" s="340">
        <v>0</v>
      </c>
      <c r="G84" s="196"/>
    </row>
    <row r="85" spans="1:7" ht="12" customHeight="1" x14ac:dyDescent="0.2">
      <c r="A85" s="99">
        <v>1170</v>
      </c>
      <c r="B85" s="98" t="s">
        <v>194</v>
      </c>
      <c r="C85" s="340"/>
      <c r="D85" s="340"/>
      <c r="E85" s="340"/>
      <c r="F85" s="340"/>
      <c r="G85" s="196"/>
    </row>
    <row r="86" spans="1:7" ht="12" customHeight="1" x14ac:dyDescent="0.2">
      <c r="A86" s="99">
        <v>1180</v>
      </c>
      <c r="B86" s="115" t="s">
        <v>334</v>
      </c>
      <c r="C86" s="340">
        <f t="shared" ref="C86:D86" si="10">SUM(C87:C88)</f>
        <v>0</v>
      </c>
      <c r="D86" s="340">
        <f t="shared" si="10"/>
        <v>0</v>
      </c>
      <c r="E86" s="340">
        <f>SUM(E87:E88)</f>
        <v>0</v>
      </c>
      <c r="F86" s="340">
        <f>SUM(F87:F89)</f>
        <v>6638</v>
      </c>
      <c r="G86" s="196"/>
    </row>
    <row r="87" spans="1:7" ht="12" customHeight="1" x14ac:dyDescent="0.2">
      <c r="A87" s="106">
        <v>1182</v>
      </c>
      <c r="B87" s="104" t="s">
        <v>396</v>
      </c>
      <c r="C87" s="339"/>
      <c r="D87" s="339"/>
      <c r="E87" s="339"/>
      <c r="F87" s="339"/>
      <c r="G87" s="196"/>
    </row>
    <row r="88" spans="1:7" ht="12" customHeight="1" x14ac:dyDescent="0.2">
      <c r="A88" s="106">
        <v>1183</v>
      </c>
      <c r="B88" s="104" t="s">
        <v>419</v>
      </c>
      <c r="C88" s="339"/>
      <c r="D88" s="339"/>
      <c r="E88" s="339"/>
      <c r="F88" s="339"/>
      <c r="G88" s="196"/>
    </row>
    <row r="89" spans="1:7" ht="12" customHeight="1" x14ac:dyDescent="0.2">
      <c r="A89" s="106">
        <v>1186</v>
      </c>
      <c r="B89" s="104" t="s">
        <v>1365</v>
      </c>
      <c r="C89" s="354"/>
      <c r="D89" s="354"/>
      <c r="E89" s="354"/>
      <c r="F89" s="354">
        <v>6638</v>
      </c>
      <c r="G89" s="1123"/>
    </row>
    <row r="90" spans="1:7" ht="12" customHeight="1" x14ac:dyDescent="0.2">
      <c r="A90" s="118">
        <v>1187</v>
      </c>
      <c r="B90" s="109" t="s">
        <v>1351</v>
      </c>
      <c r="C90" s="555"/>
      <c r="D90" s="555"/>
      <c r="E90" s="555">
        <v>7987</v>
      </c>
      <c r="F90" s="555">
        <v>7987</v>
      </c>
      <c r="G90" s="1123">
        <f t="shared" si="9"/>
        <v>1</v>
      </c>
    </row>
    <row r="91" spans="1:7" ht="12" customHeight="1" thickBot="1" x14ac:dyDescent="0.25">
      <c r="A91" s="123">
        <v>1185</v>
      </c>
      <c r="B91" s="197" t="s">
        <v>376</v>
      </c>
      <c r="C91" s="552"/>
      <c r="D91" s="552"/>
      <c r="E91" s="552"/>
      <c r="F91" s="552"/>
      <c r="G91" s="1066"/>
    </row>
    <row r="92" spans="1:7" ht="15" customHeight="1" thickBot="1" x14ac:dyDescent="0.3">
      <c r="A92" s="114"/>
      <c r="B92" s="138" t="s">
        <v>354</v>
      </c>
      <c r="C92" s="341">
        <f>SUM(C85+C86+C83+C8+C737+C84)</f>
        <v>0</v>
      </c>
      <c r="D92" s="341">
        <f>SUM(D85+D86+D83+D8+D737+D84)</f>
        <v>0</v>
      </c>
      <c r="E92" s="341">
        <f>SUM(E85+E86+E83+E8+E737+E84)+E90+E91</f>
        <v>7987</v>
      </c>
      <c r="F92" s="341">
        <f>SUM(F85+F86+F83+F8+F737+F84)+F90+F91</f>
        <v>14625</v>
      </c>
      <c r="G92" s="884">
        <f t="shared" si="9"/>
        <v>1.8311005383748591</v>
      </c>
    </row>
    <row r="93" spans="1:7" ht="12" customHeight="1" x14ac:dyDescent="0.2">
      <c r="A93" s="101"/>
      <c r="B93" s="108"/>
      <c r="C93" s="549"/>
      <c r="D93" s="549"/>
      <c r="E93" s="549"/>
      <c r="F93" s="549"/>
      <c r="G93" s="883"/>
    </row>
    <row r="94" spans="1:7" ht="12" customHeight="1" x14ac:dyDescent="0.2">
      <c r="A94" s="99">
        <v>1190</v>
      </c>
      <c r="B94" s="102" t="s">
        <v>197</v>
      </c>
      <c r="C94" s="340">
        <f t="shared" ref="C94:D94" si="11">SUM(C95+C96+C97)</f>
        <v>180000</v>
      </c>
      <c r="D94" s="340">
        <f t="shared" si="11"/>
        <v>180000</v>
      </c>
      <c r="E94" s="340">
        <f t="shared" ref="E94:F94" si="12">SUM(E95+E96+E97)</f>
        <v>180000</v>
      </c>
      <c r="F94" s="340">
        <f t="shared" si="12"/>
        <v>335000</v>
      </c>
      <c r="G94" s="196">
        <f t="shared" si="9"/>
        <v>1.8611111111111112</v>
      </c>
    </row>
    <row r="95" spans="1:7" ht="12" customHeight="1" x14ac:dyDescent="0.2">
      <c r="A95" s="106">
        <v>1191</v>
      </c>
      <c r="B95" s="96" t="s">
        <v>400</v>
      </c>
      <c r="C95" s="339"/>
      <c r="D95" s="339"/>
      <c r="E95" s="339"/>
      <c r="F95" s="339"/>
      <c r="G95" s="196"/>
    </row>
    <row r="96" spans="1:7" ht="12" customHeight="1" x14ac:dyDescent="0.2">
      <c r="A96" s="106">
        <v>1194</v>
      </c>
      <c r="B96" s="96" t="s">
        <v>148</v>
      </c>
      <c r="C96" s="339"/>
      <c r="D96" s="339"/>
      <c r="E96" s="339"/>
      <c r="F96" s="339"/>
      <c r="G96" s="196"/>
    </row>
    <row r="97" spans="1:7" ht="12" customHeight="1" thickBot="1" x14ac:dyDescent="0.25">
      <c r="A97" s="106">
        <v>1195</v>
      </c>
      <c r="B97" s="96" t="s">
        <v>240</v>
      </c>
      <c r="C97" s="354">
        <v>180000</v>
      </c>
      <c r="D97" s="354">
        <v>180000</v>
      </c>
      <c r="E97" s="354">
        <v>180000</v>
      </c>
      <c r="F97" s="354">
        <f>180000+155000</f>
        <v>335000</v>
      </c>
      <c r="G97" s="1065">
        <f t="shared" si="9"/>
        <v>1.8611111111111112</v>
      </c>
    </row>
    <row r="98" spans="1:7" ht="15.75" customHeight="1" thickBot="1" x14ac:dyDescent="0.25">
      <c r="A98" s="114"/>
      <c r="B98" s="183" t="s">
        <v>198</v>
      </c>
      <c r="C98" s="553">
        <f t="shared" ref="C98:D98" si="13">SUM(C94)</f>
        <v>180000</v>
      </c>
      <c r="D98" s="553">
        <f t="shared" si="13"/>
        <v>180000</v>
      </c>
      <c r="E98" s="553">
        <f t="shared" ref="E98:F98" si="14">SUM(E94)</f>
        <v>180000</v>
      </c>
      <c r="F98" s="553">
        <f t="shared" si="14"/>
        <v>335000</v>
      </c>
      <c r="G98" s="884">
        <f t="shared" si="9"/>
        <v>1.8611111111111112</v>
      </c>
    </row>
    <row r="99" spans="1:7" ht="12" customHeight="1" x14ac:dyDescent="0.2">
      <c r="A99" s="99">
        <v>1200</v>
      </c>
      <c r="B99" s="109" t="s">
        <v>377</v>
      </c>
      <c r="C99" s="554">
        <v>15000</v>
      </c>
      <c r="D99" s="554">
        <v>15000</v>
      </c>
      <c r="E99" s="554">
        <v>15000</v>
      </c>
      <c r="F99" s="554">
        <v>15000</v>
      </c>
      <c r="G99" s="883">
        <f t="shared" si="9"/>
        <v>1</v>
      </c>
    </row>
    <row r="100" spans="1:7" ht="12" customHeight="1" x14ac:dyDescent="0.2">
      <c r="A100" s="106">
        <v>1201</v>
      </c>
      <c r="B100" s="96" t="s">
        <v>270</v>
      </c>
      <c r="C100" s="549"/>
      <c r="D100" s="549"/>
      <c r="E100" s="549"/>
      <c r="F100" s="549"/>
      <c r="G100" s="196"/>
    </row>
    <row r="101" spans="1:7" ht="12" customHeight="1" x14ac:dyDescent="0.2">
      <c r="A101" s="106">
        <v>1202</v>
      </c>
      <c r="B101" s="96" t="s">
        <v>271</v>
      </c>
      <c r="C101" s="339">
        <v>15000</v>
      </c>
      <c r="D101" s="339">
        <v>15000</v>
      </c>
      <c r="E101" s="339">
        <v>15000</v>
      </c>
      <c r="F101" s="339">
        <v>15000</v>
      </c>
      <c r="G101" s="880">
        <f t="shared" si="9"/>
        <v>1</v>
      </c>
    </row>
    <row r="102" spans="1:7" ht="12" customHeight="1" x14ac:dyDescent="0.2">
      <c r="A102" s="99">
        <v>1209</v>
      </c>
      <c r="B102" s="109" t="s">
        <v>1204</v>
      </c>
      <c r="C102" s="340">
        <v>400000</v>
      </c>
      <c r="D102" s="340">
        <v>400000</v>
      </c>
      <c r="E102" s="340">
        <v>400000</v>
      </c>
      <c r="F102" s="340">
        <v>400000</v>
      </c>
      <c r="G102" s="196">
        <f t="shared" si="9"/>
        <v>1</v>
      </c>
    </row>
    <row r="103" spans="1:7" ht="12" customHeight="1" x14ac:dyDescent="0.2">
      <c r="A103" s="99">
        <v>1210</v>
      </c>
      <c r="B103" s="109" t="s">
        <v>200</v>
      </c>
      <c r="C103" s="356"/>
      <c r="D103" s="356">
        <v>100000</v>
      </c>
      <c r="E103" s="356">
        <v>100000</v>
      </c>
      <c r="F103" s="356">
        <v>100000</v>
      </c>
      <c r="G103" s="880">
        <f t="shared" si="9"/>
        <v>1</v>
      </c>
    </row>
    <row r="104" spans="1:7" ht="12" customHeight="1" thickBot="1" x14ac:dyDescent="0.25">
      <c r="A104" s="99">
        <v>1211</v>
      </c>
      <c r="B104" s="109" t="s">
        <v>313</v>
      </c>
      <c r="C104" s="555"/>
      <c r="D104" s="555"/>
      <c r="E104" s="555"/>
      <c r="F104" s="555"/>
      <c r="G104" s="1066"/>
    </row>
    <row r="105" spans="1:7" ht="15.75" customHeight="1" thickBot="1" x14ac:dyDescent="0.3">
      <c r="A105" s="114"/>
      <c r="B105" s="138" t="s">
        <v>201</v>
      </c>
      <c r="C105" s="553">
        <f>SUM(C99+C103+C104+C102)</f>
        <v>415000</v>
      </c>
      <c r="D105" s="553">
        <f>SUM(D99+D103+D104+D102)</f>
        <v>515000</v>
      </c>
      <c r="E105" s="553">
        <f>SUM(E99+E103+E104+E102)</f>
        <v>515000</v>
      </c>
      <c r="F105" s="553">
        <f>SUM(F99+F103+F104+F102)</f>
        <v>515000</v>
      </c>
      <c r="G105" s="883">
        <f t="shared" si="9"/>
        <v>1</v>
      </c>
    </row>
    <row r="106" spans="1:7" ht="12" customHeight="1" thickBot="1" x14ac:dyDescent="0.25">
      <c r="A106" s="114"/>
      <c r="B106" s="113"/>
      <c r="C106" s="418"/>
      <c r="D106" s="1121"/>
      <c r="E106" s="551"/>
      <c r="F106" s="551"/>
      <c r="G106" s="551"/>
    </row>
    <row r="107" spans="1:7" ht="24" customHeight="1" thickBot="1" x14ac:dyDescent="0.25">
      <c r="A107" s="114"/>
      <c r="B107" s="180" t="s">
        <v>50</v>
      </c>
      <c r="C107" s="556">
        <f>SUM(C92+C98+C105)</f>
        <v>595000</v>
      </c>
      <c r="D107" s="556">
        <f>SUM(D92+D98+D105)</f>
        <v>695000</v>
      </c>
      <c r="E107" s="556">
        <f>SUM(E92+E98+E105)</f>
        <v>702987</v>
      </c>
      <c r="F107" s="556">
        <f>SUM(F92+F98+F105)</f>
        <v>864625</v>
      </c>
      <c r="G107" s="196">
        <f t="shared" si="9"/>
        <v>1.2299302832058061</v>
      </c>
    </row>
    <row r="108" spans="1:7" ht="12.75" customHeight="1" x14ac:dyDescent="0.25">
      <c r="A108" s="121"/>
      <c r="B108" s="178"/>
      <c r="C108" s="549"/>
      <c r="D108" s="549"/>
      <c r="E108" s="549"/>
      <c r="F108" s="549"/>
      <c r="G108" s="196"/>
    </row>
    <row r="109" spans="1:7" ht="12" customHeight="1" x14ac:dyDescent="0.2">
      <c r="A109" s="106">
        <v>1215</v>
      </c>
      <c r="B109" s="104" t="s">
        <v>357</v>
      </c>
      <c r="C109" s="339">
        <v>131554</v>
      </c>
      <c r="D109" s="339">
        <f>131554+3720263</f>
        <v>3851817</v>
      </c>
      <c r="E109" s="339">
        <f>131554+3720263</f>
        <v>3851817</v>
      </c>
      <c r="F109" s="339">
        <f>131554+3720263</f>
        <v>3851817</v>
      </c>
      <c r="G109" s="880">
        <f t="shared" si="9"/>
        <v>1</v>
      </c>
    </row>
    <row r="110" spans="1:7" ht="12" customHeight="1" x14ac:dyDescent="0.2">
      <c r="A110" s="332">
        <v>1216</v>
      </c>
      <c r="B110" s="116" t="s">
        <v>343</v>
      </c>
      <c r="C110" s="418"/>
      <c r="D110" s="418"/>
      <c r="E110" s="418"/>
      <c r="F110" s="418"/>
      <c r="G110" s="880"/>
    </row>
    <row r="111" spans="1:7" ht="12" customHeight="1" thickBot="1" x14ac:dyDescent="0.25">
      <c r="A111" s="111">
        <v>1218</v>
      </c>
      <c r="B111" s="112" t="s">
        <v>446</v>
      </c>
      <c r="C111" s="419">
        <v>0</v>
      </c>
      <c r="D111" s="419">
        <v>294647</v>
      </c>
      <c r="E111" s="419">
        <f>294647+603417</f>
        <v>898064</v>
      </c>
      <c r="F111" s="419">
        <f>898064+155802</f>
        <v>1053866</v>
      </c>
      <c r="G111" s="1065">
        <f t="shared" si="9"/>
        <v>1.173486522118691</v>
      </c>
    </row>
    <row r="112" spans="1:7" ht="21.75" customHeight="1" thickBot="1" x14ac:dyDescent="0.3">
      <c r="A112" s="123"/>
      <c r="B112" s="174" t="s">
        <v>30</v>
      </c>
      <c r="C112" s="341">
        <f>SUM(C109:C111)</f>
        <v>131554</v>
      </c>
      <c r="D112" s="341">
        <f>SUM(D109:D111)</f>
        <v>4146464</v>
      </c>
      <c r="E112" s="341">
        <f>SUM(E109:E111)</f>
        <v>4749881</v>
      </c>
      <c r="F112" s="341">
        <f>SUM(F109:F111)</f>
        <v>4905683</v>
      </c>
      <c r="G112" s="884">
        <f t="shared" si="9"/>
        <v>1.032801242810083</v>
      </c>
    </row>
    <row r="113" spans="1:7" ht="12" customHeight="1" x14ac:dyDescent="0.2">
      <c r="A113" s="121"/>
      <c r="B113" s="144"/>
      <c r="C113" s="549"/>
      <c r="D113" s="549"/>
      <c r="E113" s="549"/>
      <c r="F113" s="549"/>
      <c r="G113" s="883"/>
    </row>
    <row r="114" spans="1:7" ht="12" customHeight="1" thickBot="1" x14ac:dyDescent="0.25">
      <c r="A114" s="106">
        <v>1221</v>
      </c>
      <c r="B114" s="112" t="s">
        <v>357</v>
      </c>
      <c r="C114" s="111">
        <v>5413446</v>
      </c>
      <c r="D114" s="111">
        <f>5413446+1779107</f>
        <v>7192553</v>
      </c>
      <c r="E114" s="111">
        <f>5413446+1779107</f>
        <v>7192553</v>
      </c>
      <c r="F114" s="111">
        <f>5413446+1779107</f>
        <v>7192553</v>
      </c>
      <c r="G114" s="1065">
        <f t="shared" si="9"/>
        <v>1</v>
      </c>
    </row>
    <row r="115" spans="1:7" ht="18" customHeight="1" thickBot="1" x14ac:dyDescent="0.25">
      <c r="A115" s="114"/>
      <c r="B115" s="804" t="s">
        <v>202</v>
      </c>
      <c r="C115" s="123">
        <f>SUM(C114)</f>
        <v>5413446</v>
      </c>
      <c r="D115" s="123">
        <f>SUM(D114)</f>
        <v>7192553</v>
      </c>
      <c r="E115" s="123">
        <f>SUM(E114)</f>
        <v>7192553</v>
      </c>
      <c r="F115" s="123">
        <f>SUM(F114)</f>
        <v>7192553</v>
      </c>
      <c r="G115" s="884">
        <f t="shared" si="9"/>
        <v>1</v>
      </c>
    </row>
    <row r="116" spans="1:7" ht="12" customHeight="1" thickBot="1" x14ac:dyDescent="0.25">
      <c r="A116" s="114"/>
      <c r="B116" s="130"/>
      <c r="C116" s="805"/>
      <c r="D116" s="805"/>
      <c r="E116" s="805"/>
      <c r="F116" s="805"/>
      <c r="G116" s="884"/>
    </row>
    <row r="117" spans="1:7" ht="16.5" customHeight="1" thickBot="1" x14ac:dyDescent="0.25">
      <c r="A117" s="114"/>
      <c r="B117" s="179" t="s">
        <v>293</v>
      </c>
      <c r="C117" s="806">
        <f>SUM(C115+C107+C81+C112)</f>
        <v>28734375</v>
      </c>
      <c r="D117" s="806">
        <f>SUM(D115+D107+D81+D112)</f>
        <v>35385863</v>
      </c>
      <c r="E117" s="1120">
        <f>SUM(E115+E107+E81+E112)</f>
        <v>36152057</v>
      </c>
      <c r="F117" s="1120">
        <f>SUM(F115+F107+F81+F112)</f>
        <v>36590577</v>
      </c>
      <c r="G117" s="1067">
        <f t="shared" si="9"/>
        <v>1.0121298768698002</v>
      </c>
    </row>
    <row r="118" spans="1:7" ht="12" customHeight="1" x14ac:dyDescent="0.2">
      <c r="A118" s="121"/>
      <c r="B118" s="130"/>
      <c r="C118" s="103"/>
      <c r="D118" s="103"/>
      <c r="E118" s="103"/>
      <c r="F118" s="103"/>
      <c r="G118" s="883"/>
    </row>
    <row r="119" spans="1:7" ht="15.75" customHeight="1" x14ac:dyDescent="0.25">
      <c r="A119" s="99"/>
      <c r="B119" s="807" t="s">
        <v>256</v>
      </c>
      <c r="C119" s="96"/>
      <c r="D119" s="96"/>
      <c r="E119" s="96"/>
      <c r="F119" s="96"/>
      <c r="G119" s="196"/>
    </row>
    <row r="120" spans="1:7" ht="12" customHeight="1" x14ac:dyDescent="0.2">
      <c r="A120" s="99"/>
      <c r="B120" s="181"/>
      <c r="C120" s="559"/>
      <c r="D120" s="559"/>
      <c r="E120" s="559"/>
      <c r="F120" s="559"/>
      <c r="G120" s="196"/>
    </row>
    <row r="121" spans="1:7" ht="12" customHeight="1" x14ac:dyDescent="0.2">
      <c r="A121" s="106">
        <v>1230</v>
      </c>
      <c r="B121" s="104" t="s">
        <v>173</v>
      </c>
      <c r="C121" s="558"/>
      <c r="D121" s="558"/>
      <c r="E121" s="558"/>
      <c r="F121" s="558"/>
      <c r="G121" s="196"/>
    </row>
    <row r="122" spans="1:7" ht="12" customHeight="1" thickBot="1" x14ac:dyDescent="0.25">
      <c r="A122" s="111">
        <v>1231</v>
      </c>
      <c r="B122" s="112" t="s">
        <v>347</v>
      </c>
      <c r="C122" s="419"/>
      <c r="D122" s="419">
        <v>28792</v>
      </c>
      <c r="E122" s="419">
        <v>28792</v>
      </c>
      <c r="F122" s="419">
        <f>28792+9711</f>
        <v>38503</v>
      </c>
      <c r="G122" s="1065">
        <f t="shared" si="9"/>
        <v>1.3372811892192276</v>
      </c>
    </row>
    <row r="123" spans="1:7" ht="12" customHeight="1" thickBot="1" x14ac:dyDescent="0.25">
      <c r="A123" s="114"/>
      <c r="B123" s="113" t="s">
        <v>355</v>
      </c>
      <c r="C123" s="553">
        <f>SUM(C122)</f>
        <v>0</v>
      </c>
      <c r="D123" s="553">
        <f>SUM(D122)</f>
        <v>28792</v>
      </c>
      <c r="E123" s="553">
        <f>SUM(E122)</f>
        <v>28792</v>
      </c>
      <c r="F123" s="553">
        <f>SUM(F122)</f>
        <v>38503</v>
      </c>
      <c r="G123" s="884">
        <f t="shared" si="9"/>
        <v>1.3372811892192276</v>
      </c>
    </row>
    <row r="124" spans="1:7" ht="12" customHeight="1" x14ac:dyDescent="0.2">
      <c r="A124" s="99"/>
      <c r="B124" s="310" t="s">
        <v>149</v>
      </c>
      <c r="C124" s="554"/>
      <c r="D124" s="554"/>
      <c r="E124" s="554"/>
      <c r="F124" s="554"/>
      <c r="G124" s="883"/>
    </row>
    <row r="125" spans="1:7" ht="12" customHeight="1" x14ac:dyDescent="0.2">
      <c r="A125" s="106">
        <v>1205</v>
      </c>
      <c r="B125" s="148" t="s">
        <v>9</v>
      </c>
      <c r="C125" s="356">
        <v>10000</v>
      </c>
      <c r="D125" s="356">
        <v>10000</v>
      </c>
      <c r="E125" s="356">
        <v>10000</v>
      </c>
      <c r="F125" s="356">
        <v>10000</v>
      </c>
      <c r="G125" s="880">
        <f t="shared" si="9"/>
        <v>1</v>
      </c>
    </row>
    <row r="126" spans="1:7" ht="14.25" customHeight="1" thickBot="1" x14ac:dyDescent="0.25">
      <c r="A126" s="122">
        <v>1206</v>
      </c>
      <c r="B126" s="195" t="s">
        <v>422</v>
      </c>
      <c r="C126" s="355">
        <v>30000</v>
      </c>
      <c r="D126" s="355">
        <v>30000</v>
      </c>
      <c r="E126" s="355">
        <v>30000</v>
      </c>
      <c r="F126" s="355">
        <v>30000</v>
      </c>
      <c r="G126" s="1065">
        <f t="shared" si="9"/>
        <v>1</v>
      </c>
    </row>
    <row r="127" spans="1:7" ht="17.25" customHeight="1" thickBot="1" x14ac:dyDescent="0.3">
      <c r="A127" s="122"/>
      <c r="B127" s="311" t="s">
        <v>182</v>
      </c>
      <c r="C127" s="560">
        <f>SUM(C125:C126)</f>
        <v>40000</v>
      </c>
      <c r="D127" s="560">
        <f>SUM(D125:D126)</f>
        <v>40000</v>
      </c>
      <c r="E127" s="560">
        <f>SUM(E125:E126)</f>
        <v>40000</v>
      </c>
      <c r="F127" s="560">
        <f>SUM(F125:F126)</f>
        <v>40000</v>
      </c>
      <c r="G127" s="884">
        <f t="shared" si="9"/>
        <v>1</v>
      </c>
    </row>
    <row r="128" spans="1:7" ht="12" customHeight="1" x14ac:dyDescent="0.2">
      <c r="A128" s="101">
        <v>1240</v>
      </c>
      <c r="B128" s="175" t="s">
        <v>183</v>
      </c>
      <c r="C128" s="554">
        <f t="shared" ref="C128:D128" si="15">C129+C130</f>
        <v>7000</v>
      </c>
      <c r="D128" s="554">
        <f t="shared" si="15"/>
        <v>7000</v>
      </c>
      <c r="E128" s="554">
        <f t="shared" ref="E128:F128" si="16">E129+E130</f>
        <v>7000</v>
      </c>
      <c r="F128" s="554">
        <f t="shared" si="16"/>
        <v>7000</v>
      </c>
      <c r="G128" s="883">
        <f t="shared" si="9"/>
        <v>1</v>
      </c>
    </row>
    <row r="129" spans="1:7" ht="12" customHeight="1" x14ac:dyDescent="0.2">
      <c r="A129" s="106">
        <v>1241</v>
      </c>
      <c r="B129" s="104" t="s">
        <v>72</v>
      </c>
      <c r="C129" s="549">
        <v>7000</v>
      </c>
      <c r="D129" s="549">
        <v>7000</v>
      </c>
      <c r="E129" s="549">
        <v>7000</v>
      </c>
      <c r="F129" s="549">
        <v>7000</v>
      </c>
      <c r="G129" s="880">
        <f t="shared" si="9"/>
        <v>1</v>
      </c>
    </row>
    <row r="130" spans="1:7" ht="12" customHeight="1" x14ac:dyDescent="0.2">
      <c r="A130" s="106">
        <v>1242</v>
      </c>
      <c r="B130" s="104" t="s">
        <v>73</v>
      </c>
      <c r="C130" s="339"/>
      <c r="D130" s="339"/>
      <c r="E130" s="339"/>
      <c r="F130" s="339"/>
      <c r="G130" s="880"/>
    </row>
    <row r="131" spans="1:7" ht="12" customHeight="1" x14ac:dyDescent="0.2">
      <c r="A131" s="106">
        <v>1250</v>
      </c>
      <c r="B131" s="148" t="s">
        <v>184</v>
      </c>
      <c r="C131" s="339">
        <v>20000</v>
      </c>
      <c r="D131" s="339">
        <v>20000</v>
      </c>
      <c r="E131" s="339">
        <v>20000</v>
      </c>
      <c r="F131" s="339">
        <v>20000</v>
      </c>
      <c r="G131" s="880">
        <f t="shared" si="9"/>
        <v>1</v>
      </c>
    </row>
    <row r="132" spans="1:7" ht="12" customHeight="1" x14ac:dyDescent="0.2">
      <c r="A132" s="106">
        <v>1255</v>
      </c>
      <c r="B132" s="104" t="s">
        <v>187</v>
      </c>
      <c r="C132" s="339"/>
      <c r="D132" s="339"/>
      <c r="E132" s="339"/>
      <c r="F132" s="339"/>
      <c r="G132" s="880"/>
    </row>
    <row r="133" spans="1:7" ht="12" customHeight="1" x14ac:dyDescent="0.2">
      <c r="A133" s="106">
        <v>1260</v>
      </c>
      <c r="B133" s="104" t="s">
        <v>188</v>
      </c>
      <c r="C133" s="339">
        <v>7290</v>
      </c>
      <c r="D133" s="339">
        <v>7290</v>
      </c>
      <c r="E133" s="339">
        <v>7290</v>
      </c>
      <c r="F133" s="339">
        <v>7290</v>
      </c>
      <c r="G133" s="880">
        <f t="shared" si="9"/>
        <v>1</v>
      </c>
    </row>
    <row r="134" spans="1:7" ht="12" customHeight="1" x14ac:dyDescent="0.2">
      <c r="A134" s="106">
        <v>1261</v>
      </c>
      <c r="B134" s="108" t="s">
        <v>189</v>
      </c>
      <c r="C134" s="339"/>
      <c r="D134" s="339"/>
      <c r="E134" s="339"/>
      <c r="F134" s="339"/>
      <c r="G134" s="880"/>
    </row>
    <row r="135" spans="1:7" ht="12" customHeight="1" x14ac:dyDescent="0.2">
      <c r="A135" s="106">
        <v>1262</v>
      </c>
      <c r="B135" s="103" t="s">
        <v>373</v>
      </c>
      <c r="C135" s="339"/>
      <c r="D135" s="339"/>
      <c r="E135" s="339"/>
      <c r="F135" s="339"/>
      <c r="G135" s="880"/>
    </row>
    <row r="136" spans="1:7" ht="12" customHeight="1" thickBot="1" x14ac:dyDescent="0.25">
      <c r="A136" s="111">
        <v>1270</v>
      </c>
      <c r="B136" s="112" t="s">
        <v>190</v>
      </c>
      <c r="C136" s="419">
        <v>450</v>
      </c>
      <c r="D136" s="419">
        <v>450</v>
      </c>
      <c r="E136" s="419">
        <v>450</v>
      </c>
      <c r="F136" s="419">
        <v>450</v>
      </c>
      <c r="G136" s="1065">
        <f t="shared" si="9"/>
        <v>1</v>
      </c>
    </row>
    <row r="137" spans="1:7" ht="16.5" customHeight="1" thickBot="1" x14ac:dyDescent="0.3">
      <c r="A137" s="123"/>
      <c r="B137" s="138" t="s">
        <v>295</v>
      </c>
      <c r="C137" s="561">
        <f t="shared" ref="C137:D137" si="17">SUM(C128+C131+C133+C135+C132+C136)</f>
        <v>34740</v>
      </c>
      <c r="D137" s="561">
        <f t="shared" si="17"/>
        <v>34740</v>
      </c>
      <c r="E137" s="561">
        <f t="shared" ref="E137:F137" si="18">SUM(E128+E131+E133+E135+E132+E136)</f>
        <v>34740</v>
      </c>
      <c r="F137" s="561">
        <f t="shared" si="18"/>
        <v>34740</v>
      </c>
      <c r="G137" s="884">
        <f t="shared" si="9"/>
        <v>1</v>
      </c>
    </row>
    <row r="138" spans="1:7" ht="12" customHeight="1" x14ac:dyDescent="0.2">
      <c r="A138" s="121"/>
      <c r="B138" s="102"/>
      <c r="C138" s="557"/>
      <c r="D138" s="557"/>
      <c r="E138" s="557"/>
      <c r="F138" s="557"/>
      <c r="G138" s="883"/>
    </row>
    <row r="139" spans="1:7" ht="12" customHeight="1" thickBot="1" x14ac:dyDescent="0.25">
      <c r="A139" s="122">
        <v>1280</v>
      </c>
      <c r="B139" s="128" t="s">
        <v>191</v>
      </c>
      <c r="C139" s="562"/>
      <c r="D139" s="562"/>
      <c r="E139" s="562"/>
      <c r="F139" s="562"/>
      <c r="G139" s="1066"/>
    </row>
    <row r="140" spans="1:7" ht="15.75" customHeight="1" thickBot="1" x14ac:dyDescent="0.3">
      <c r="A140" s="114"/>
      <c r="B140" s="174" t="s">
        <v>192</v>
      </c>
      <c r="C140" s="563"/>
      <c r="D140" s="563"/>
      <c r="E140" s="563"/>
      <c r="F140" s="563"/>
      <c r="G140" s="884"/>
    </row>
    <row r="141" spans="1:7" ht="15.75" customHeight="1" thickBot="1" x14ac:dyDescent="0.3">
      <c r="A141" s="114"/>
      <c r="B141" s="163"/>
      <c r="C141" s="563"/>
      <c r="D141" s="563"/>
      <c r="E141" s="563"/>
      <c r="F141" s="563"/>
      <c r="G141" s="884"/>
    </row>
    <row r="142" spans="1:7" ht="15.75" customHeight="1" thickBot="1" x14ac:dyDescent="0.3">
      <c r="A142" s="114"/>
      <c r="B142" s="177" t="s">
        <v>49</v>
      </c>
      <c r="C142" s="564">
        <f>SUM(C137+C140+C123+C127)</f>
        <v>74740</v>
      </c>
      <c r="D142" s="564">
        <f>SUM(D137+D140+D123+D127)</f>
        <v>103532</v>
      </c>
      <c r="E142" s="564">
        <f>SUM(E137+E140+E123+E127)</f>
        <v>103532</v>
      </c>
      <c r="F142" s="564">
        <f>SUM(F137+F140+F123+F127)</f>
        <v>113243</v>
      </c>
      <c r="G142" s="884">
        <f t="shared" ref="G142:G199" si="19">SUM(F142/E142)</f>
        <v>1.0937970868910096</v>
      </c>
    </row>
    <row r="143" spans="1:7" ht="13.5" customHeight="1" x14ac:dyDescent="0.25">
      <c r="A143" s="101"/>
      <c r="B143" s="163"/>
      <c r="C143" s="557"/>
      <c r="D143" s="557"/>
      <c r="E143" s="557"/>
      <c r="F143" s="557"/>
      <c r="G143" s="883"/>
    </row>
    <row r="144" spans="1:7" ht="12" customHeight="1" x14ac:dyDescent="0.2">
      <c r="A144" s="106">
        <v>1285</v>
      </c>
      <c r="B144" s="104" t="s">
        <v>193</v>
      </c>
      <c r="C144" s="558"/>
      <c r="D144" s="558"/>
      <c r="E144" s="558"/>
      <c r="F144" s="558"/>
      <c r="G144" s="196"/>
    </row>
    <row r="145" spans="1:7" ht="12" customHeight="1" thickBot="1" x14ac:dyDescent="0.25">
      <c r="A145" s="106">
        <v>1286</v>
      </c>
      <c r="B145" s="104" t="s">
        <v>376</v>
      </c>
      <c r="C145" s="562"/>
      <c r="D145" s="562"/>
      <c r="E145" s="562"/>
      <c r="F145" s="562"/>
      <c r="G145" s="1066"/>
    </row>
    <row r="146" spans="1:7" ht="16.5" customHeight="1" thickBot="1" x14ac:dyDescent="0.3">
      <c r="A146" s="114"/>
      <c r="B146" s="138" t="s">
        <v>354</v>
      </c>
      <c r="C146" s="563"/>
      <c r="D146" s="563"/>
      <c r="E146" s="563"/>
      <c r="F146" s="563"/>
      <c r="G146" s="884"/>
    </row>
    <row r="147" spans="1:7" ht="12.75" customHeight="1" x14ac:dyDescent="0.25">
      <c r="A147" s="121"/>
      <c r="B147" s="176"/>
      <c r="C147" s="557"/>
      <c r="D147" s="557"/>
      <c r="E147" s="557"/>
      <c r="F147" s="557"/>
      <c r="G147" s="883"/>
    </row>
    <row r="148" spans="1:7" ht="12.75" customHeight="1" thickBot="1" x14ac:dyDescent="0.25">
      <c r="A148" s="111">
        <v>1290</v>
      </c>
      <c r="B148" s="112" t="s">
        <v>203</v>
      </c>
      <c r="C148" s="354"/>
      <c r="D148" s="354"/>
      <c r="E148" s="354"/>
      <c r="F148" s="354"/>
      <c r="G148" s="1066"/>
    </row>
    <row r="149" spans="1:7" ht="16.5" customHeight="1" thickBot="1" x14ac:dyDescent="0.3">
      <c r="A149" s="123"/>
      <c r="B149" s="174" t="s">
        <v>198</v>
      </c>
      <c r="C149" s="553">
        <f>C148</f>
        <v>0</v>
      </c>
      <c r="D149" s="553">
        <f>D148</f>
        <v>0</v>
      </c>
      <c r="E149" s="553">
        <f>E148</f>
        <v>0</v>
      </c>
      <c r="F149" s="553">
        <f>F148</f>
        <v>0</v>
      </c>
      <c r="G149" s="884"/>
    </row>
    <row r="150" spans="1:7" ht="9" customHeight="1" x14ac:dyDescent="0.25">
      <c r="A150" s="121"/>
      <c r="B150" s="176"/>
      <c r="C150" s="557"/>
      <c r="D150" s="557"/>
      <c r="E150" s="557"/>
      <c r="F150" s="557"/>
      <c r="G150" s="883"/>
    </row>
    <row r="151" spans="1:7" ht="12.95" customHeight="1" x14ac:dyDescent="0.2">
      <c r="A151" s="99"/>
      <c r="B151" s="109" t="s">
        <v>356</v>
      </c>
      <c r="C151" s="558"/>
      <c r="D151" s="558"/>
      <c r="E151" s="558"/>
      <c r="F151" s="558"/>
      <c r="G151" s="196"/>
    </row>
    <row r="152" spans="1:7" ht="13.5" customHeight="1" thickBot="1" x14ac:dyDescent="0.25">
      <c r="A152" s="111">
        <v>1291</v>
      </c>
      <c r="B152" s="329" t="s">
        <v>47</v>
      </c>
      <c r="C152" s="354">
        <v>4000</v>
      </c>
      <c r="D152" s="354">
        <v>4000</v>
      </c>
      <c r="E152" s="354">
        <v>4000</v>
      </c>
      <c r="F152" s="354">
        <v>4000</v>
      </c>
      <c r="G152" s="1065">
        <f t="shared" si="19"/>
        <v>1</v>
      </c>
    </row>
    <row r="153" spans="1:7" ht="16.5" customHeight="1" thickBot="1" x14ac:dyDescent="0.3">
      <c r="A153" s="114"/>
      <c r="B153" s="138" t="s">
        <v>201</v>
      </c>
      <c r="C153" s="565">
        <f t="shared" ref="C153:D153" si="20">SUM(C152)</f>
        <v>4000</v>
      </c>
      <c r="D153" s="565">
        <f t="shared" si="20"/>
        <v>4000</v>
      </c>
      <c r="E153" s="565">
        <f t="shared" ref="E153:F153" si="21">SUM(E152)</f>
        <v>4000</v>
      </c>
      <c r="F153" s="565">
        <f t="shared" si="21"/>
        <v>4000</v>
      </c>
      <c r="G153" s="884">
        <f t="shared" si="19"/>
        <v>1</v>
      </c>
    </row>
    <row r="154" spans="1:7" ht="12.75" customHeight="1" x14ac:dyDescent="0.25">
      <c r="A154" s="121"/>
      <c r="B154" s="176"/>
      <c r="C154" s="549"/>
      <c r="D154" s="549"/>
      <c r="E154" s="549"/>
      <c r="F154" s="549"/>
      <c r="G154" s="883"/>
    </row>
    <row r="155" spans="1:7" ht="12.75" customHeight="1" x14ac:dyDescent="0.2">
      <c r="A155" s="106">
        <v>1292</v>
      </c>
      <c r="B155" s="104" t="s">
        <v>357</v>
      </c>
      <c r="C155" s="339">
        <v>0</v>
      </c>
      <c r="D155" s="339">
        <v>290529</v>
      </c>
      <c r="E155" s="339">
        <v>290529</v>
      </c>
      <c r="F155" s="339">
        <v>290529</v>
      </c>
      <c r="G155" s="880">
        <f t="shared" si="19"/>
        <v>1</v>
      </c>
    </row>
    <row r="156" spans="1:7" ht="12.75" customHeight="1" thickBot="1" x14ac:dyDescent="0.25">
      <c r="A156" s="106">
        <v>1293</v>
      </c>
      <c r="B156" s="104" t="s">
        <v>385</v>
      </c>
      <c r="C156" s="354">
        <v>3470458</v>
      </c>
      <c r="D156" s="354">
        <f>3470458</f>
        <v>3470458</v>
      </c>
      <c r="E156" s="354">
        <f>3470458</f>
        <v>3470458</v>
      </c>
      <c r="F156" s="354">
        <f>3470458</f>
        <v>3470458</v>
      </c>
      <c r="G156" s="1065">
        <f t="shared" si="19"/>
        <v>1</v>
      </c>
    </row>
    <row r="157" spans="1:7" ht="17.25" customHeight="1" thickBot="1" x14ac:dyDescent="0.3">
      <c r="A157" s="114"/>
      <c r="B157" s="138" t="s">
        <v>30</v>
      </c>
      <c r="C157" s="565">
        <f>SUM(C155:C156)</f>
        <v>3470458</v>
      </c>
      <c r="D157" s="565">
        <f>SUM(D155:D156)</f>
        <v>3760987</v>
      </c>
      <c r="E157" s="565">
        <f>SUM(E155:E156)</f>
        <v>3760987</v>
      </c>
      <c r="F157" s="565">
        <f>SUM(F155:F156)</f>
        <v>3760987</v>
      </c>
      <c r="G157" s="884">
        <f t="shared" si="19"/>
        <v>1</v>
      </c>
    </row>
    <row r="158" spans="1:7" ht="12" customHeight="1" x14ac:dyDescent="0.2">
      <c r="A158" s="121"/>
      <c r="B158" s="153"/>
      <c r="C158" s="549"/>
      <c r="D158" s="549"/>
      <c r="E158" s="549"/>
      <c r="F158" s="549"/>
      <c r="G158" s="883"/>
    </row>
    <row r="159" spans="1:7" ht="12" customHeight="1" thickBot="1" x14ac:dyDescent="0.25">
      <c r="A159" s="106">
        <v>1294</v>
      </c>
      <c r="B159" s="104" t="s">
        <v>358</v>
      </c>
      <c r="C159" s="354">
        <v>0</v>
      </c>
      <c r="D159" s="354">
        <v>110638</v>
      </c>
      <c r="E159" s="354">
        <v>110638</v>
      </c>
      <c r="F159" s="354">
        <v>110638</v>
      </c>
      <c r="G159" s="1065">
        <f t="shared" si="19"/>
        <v>1</v>
      </c>
    </row>
    <row r="160" spans="1:7" ht="17.25" customHeight="1" thickBot="1" x14ac:dyDescent="0.25">
      <c r="A160" s="114"/>
      <c r="B160" s="183" t="s">
        <v>202</v>
      </c>
      <c r="C160" s="553">
        <f>C159</f>
        <v>0</v>
      </c>
      <c r="D160" s="553">
        <f>D159</f>
        <v>110638</v>
      </c>
      <c r="E160" s="553">
        <f>E159</f>
        <v>110638</v>
      </c>
      <c r="F160" s="553">
        <f>F159</f>
        <v>110638</v>
      </c>
      <c r="G160" s="884">
        <f t="shared" si="19"/>
        <v>1</v>
      </c>
    </row>
    <row r="161" spans="1:7" ht="12" customHeight="1" thickBot="1" x14ac:dyDescent="0.25">
      <c r="A161" s="114"/>
      <c r="B161" s="105"/>
      <c r="C161" s="566"/>
      <c r="D161" s="566"/>
      <c r="E161" s="566"/>
      <c r="F161" s="566"/>
      <c r="G161" s="884"/>
    </row>
    <row r="162" spans="1:7" ht="18" customHeight="1" thickBot="1" x14ac:dyDescent="0.25">
      <c r="A162" s="114"/>
      <c r="B162" s="179" t="s">
        <v>294</v>
      </c>
      <c r="C162" s="806">
        <f>SUM(C160+C157+C142+C149+C153)</f>
        <v>3549198</v>
      </c>
      <c r="D162" s="806">
        <f>SUM(D160+D157+D142+D149+D153)</f>
        <v>3979157</v>
      </c>
      <c r="E162" s="806">
        <f>SUM(E160+E157+E142+E149+E153)</f>
        <v>3979157</v>
      </c>
      <c r="F162" s="806">
        <f>SUM(F160+F157+F142+F149+F153)</f>
        <v>3988868</v>
      </c>
      <c r="G162" s="884">
        <f t="shared" si="19"/>
        <v>1.0024404666616573</v>
      </c>
    </row>
    <row r="163" spans="1:7" ht="18" customHeight="1" x14ac:dyDescent="0.2">
      <c r="A163" s="118"/>
      <c r="B163" s="612"/>
      <c r="C163" s="613"/>
      <c r="D163" s="613"/>
      <c r="E163" s="613"/>
      <c r="F163" s="613"/>
      <c r="G163" s="883"/>
    </row>
    <row r="164" spans="1:7" s="89" customFormat="1" ht="15" customHeight="1" x14ac:dyDescent="0.2">
      <c r="A164" s="99"/>
      <c r="B164" s="182" t="s">
        <v>1082</v>
      </c>
      <c r="C164" s="340"/>
      <c r="D164" s="340"/>
      <c r="E164" s="340"/>
      <c r="F164" s="340"/>
      <c r="G164" s="196"/>
    </row>
    <row r="165" spans="1:7" s="89" customFormat="1" ht="12.75" customHeight="1" x14ac:dyDescent="0.2">
      <c r="A165" s="99"/>
      <c r="B165" s="184"/>
      <c r="C165" s="340"/>
      <c r="D165" s="340"/>
      <c r="E165" s="340"/>
      <c r="F165" s="340"/>
      <c r="G165" s="196"/>
    </row>
    <row r="166" spans="1:7" s="89" customFormat="1" x14ac:dyDescent="0.2">
      <c r="A166" s="106">
        <v>1400</v>
      </c>
      <c r="B166" s="104" t="s">
        <v>173</v>
      </c>
      <c r="C166" s="558"/>
      <c r="D166" s="558"/>
      <c r="E166" s="558"/>
      <c r="F166" s="558"/>
      <c r="G166" s="196"/>
    </row>
    <row r="167" spans="1:7" s="89" customFormat="1" ht="12.75" thickBot="1" x14ac:dyDescent="0.25">
      <c r="A167" s="111">
        <v>1401</v>
      </c>
      <c r="B167" s="112" t="s">
        <v>347</v>
      </c>
      <c r="C167" s="419">
        <f>'2.mell'!C696</f>
        <v>0</v>
      </c>
      <c r="D167" s="419">
        <f>'2.mell'!D696</f>
        <v>2002693</v>
      </c>
      <c r="E167" s="419">
        <f>'2.mell'!E696</f>
        <v>2003993</v>
      </c>
      <c r="F167" s="419">
        <f>'2.mell'!F696</f>
        <v>2007193</v>
      </c>
      <c r="G167" s="1066">
        <f t="shared" si="19"/>
        <v>1.0015968119649121</v>
      </c>
    </row>
    <row r="168" spans="1:7" s="89" customFormat="1" ht="12.75" thickBot="1" x14ac:dyDescent="0.25">
      <c r="A168" s="114"/>
      <c r="B168" s="113" t="s">
        <v>355</v>
      </c>
      <c r="C168" s="341">
        <f t="shared" ref="C168:D168" si="22">SUM(C167)</f>
        <v>0</v>
      </c>
      <c r="D168" s="341">
        <f t="shared" si="22"/>
        <v>2002693</v>
      </c>
      <c r="E168" s="341">
        <f t="shared" ref="E168:F168" si="23">SUM(E167)</f>
        <v>2003993</v>
      </c>
      <c r="F168" s="341">
        <f t="shared" si="23"/>
        <v>2007193</v>
      </c>
      <c r="G168" s="884">
        <f t="shared" si="19"/>
        <v>1.0015968119649121</v>
      </c>
    </row>
    <row r="169" spans="1:7" s="89" customFormat="1" x14ac:dyDescent="0.2">
      <c r="A169" s="119">
        <v>1409</v>
      </c>
      <c r="B169" s="110" t="s">
        <v>342</v>
      </c>
      <c r="C169" s="554">
        <f>'2.mell'!C698</f>
        <v>0</v>
      </c>
      <c r="D169" s="554">
        <f>'2.mell'!D698</f>
        <v>0</v>
      </c>
      <c r="E169" s="554">
        <f>'2.mell'!E698</f>
        <v>0</v>
      </c>
      <c r="F169" s="554">
        <f>'2.mell'!F698</f>
        <v>21</v>
      </c>
      <c r="G169" s="883"/>
    </row>
    <row r="170" spans="1:7" s="89" customFormat="1" x14ac:dyDescent="0.2">
      <c r="A170" s="101">
        <v>1410</v>
      </c>
      <c r="B170" s="175" t="s">
        <v>183</v>
      </c>
      <c r="C170" s="554">
        <f t="shared" ref="C170:D170" si="24">SUM(C171:C172)</f>
        <v>102976</v>
      </c>
      <c r="D170" s="554">
        <f t="shared" si="24"/>
        <v>239244</v>
      </c>
      <c r="E170" s="554">
        <f t="shared" ref="E170:F170" si="25">SUM(E171:E172)</f>
        <v>255470</v>
      </c>
      <c r="F170" s="554">
        <f t="shared" si="25"/>
        <v>270688</v>
      </c>
      <c r="G170" s="196">
        <f t="shared" si="19"/>
        <v>1.0595686381962657</v>
      </c>
    </row>
    <row r="171" spans="1:7" s="89" customFormat="1" x14ac:dyDescent="0.2">
      <c r="A171" s="106">
        <v>1411</v>
      </c>
      <c r="B171" s="104" t="s">
        <v>72</v>
      </c>
      <c r="C171" s="549">
        <f>SUM('2.mell'!C700)</f>
        <v>48676</v>
      </c>
      <c r="D171" s="549">
        <f>SUM('2.mell'!D700)</f>
        <v>151475</v>
      </c>
      <c r="E171" s="549">
        <f>SUM('2.mell'!E700)</f>
        <v>167701</v>
      </c>
      <c r="F171" s="549">
        <f>SUM('2.mell'!F700)</f>
        <v>182919</v>
      </c>
      <c r="G171" s="880">
        <f t="shared" si="19"/>
        <v>1.0907448375382376</v>
      </c>
    </row>
    <row r="172" spans="1:7" s="89" customFormat="1" x14ac:dyDescent="0.2">
      <c r="A172" s="106">
        <v>1412</v>
      </c>
      <c r="B172" s="104" t="s">
        <v>73</v>
      </c>
      <c r="C172" s="339">
        <f>SUM('2.mell'!C701)</f>
        <v>54300</v>
      </c>
      <c r="D172" s="339">
        <f>SUM('2.mell'!D701)</f>
        <v>87769</v>
      </c>
      <c r="E172" s="339">
        <f>SUM('2.mell'!E701)</f>
        <v>87769</v>
      </c>
      <c r="F172" s="339">
        <f>SUM('2.mell'!F701)</f>
        <v>87769</v>
      </c>
      <c r="G172" s="880">
        <f t="shared" si="19"/>
        <v>1</v>
      </c>
    </row>
    <row r="173" spans="1:7" s="89" customFormat="1" x14ac:dyDescent="0.2">
      <c r="A173" s="106">
        <v>1420</v>
      </c>
      <c r="B173" s="148" t="s">
        <v>184</v>
      </c>
      <c r="C173" s="339">
        <f>SUM('2.mell'!C702)</f>
        <v>3836</v>
      </c>
      <c r="D173" s="339">
        <f>SUM('2.mell'!D702)</f>
        <v>26836</v>
      </c>
      <c r="E173" s="339">
        <f>SUM('2.mell'!E702)</f>
        <v>26836</v>
      </c>
      <c r="F173" s="339">
        <f>SUM('2.mell'!F702)</f>
        <v>32285</v>
      </c>
      <c r="G173" s="880">
        <f t="shared" si="19"/>
        <v>1.2030481442837979</v>
      </c>
    </row>
    <row r="174" spans="1:7" s="89" customFormat="1" x14ac:dyDescent="0.2">
      <c r="A174" s="106">
        <v>1421</v>
      </c>
      <c r="B174" s="104" t="s">
        <v>187</v>
      </c>
      <c r="C174" s="339">
        <f>SUM('2.mell'!C703)</f>
        <v>193454</v>
      </c>
      <c r="D174" s="339">
        <f>SUM('2.mell'!D703)</f>
        <v>193454</v>
      </c>
      <c r="E174" s="339">
        <f>SUM('2.mell'!E703)</f>
        <v>193454</v>
      </c>
      <c r="F174" s="339">
        <f>SUM('2.mell'!F703)</f>
        <v>195253</v>
      </c>
      <c r="G174" s="880">
        <f t="shared" si="19"/>
        <v>1.0092993683252867</v>
      </c>
    </row>
    <row r="175" spans="1:7" s="89" customFormat="1" x14ac:dyDescent="0.2">
      <c r="A175" s="106">
        <v>1422</v>
      </c>
      <c r="B175" s="104" t="s">
        <v>188</v>
      </c>
      <c r="C175" s="339">
        <f>SUM('2.mell'!C704)</f>
        <v>78211</v>
      </c>
      <c r="D175" s="339">
        <f>SUM('2.mell'!D704)</f>
        <v>91666</v>
      </c>
      <c r="E175" s="339">
        <f>SUM('2.mell'!E704)</f>
        <v>96047</v>
      </c>
      <c r="F175" s="339">
        <f>SUM('2.mell'!F704)</f>
        <v>100598</v>
      </c>
      <c r="G175" s="880">
        <f t="shared" si="19"/>
        <v>1.0473830520474352</v>
      </c>
    </row>
    <row r="176" spans="1:7" s="89" customFormat="1" x14ac:dyDescent="0.2">
      <c r="A176" s="106">
        <v>1423</v>
      </c>
      <c r="B176" s="108" t="s">
        <v>189</v>
      </c>
      <c r="C176" s="339">
        <f>SUM('2.mell'!C705)</f>
        <v>14000</v>
      </c>
      <c r="D176" s="339">
        <f>SUM('2.mell'!D705)</f>
        <v>14000</v>
      </c>
      <c r="E176" s="339">
        <f>SUM('2.mell'!E705)</f>
        <v>14000</v>
      </c>
      <c r="F176" s="339">
        <f>SUM('2.mell'!F705)</f>
        <v>21944</v>
      </c>
      <c r="G176" s="880">
        <f t="shared" si="19"/>
        <v>1.5674285714285714</v>
      </c>
    </row>
    <row r="177" spans="1:7" s="89" customFormat="1" x14ac:dyDescent="0.2">
      <c r="A177" s="106">
        <v>1424</v>
      </c>
      <c r="B177" s="103" t="s">
        <v>373</v>
      </c>
      <c r="C177" s="339">
        <f>'2.mell'!C706</f>
        <v>0</v>
      </c>
      <c r="D177" s="339">
        <f>'2.mell'!D706</f>
        <v>200</v>
      </c>
      <c r="E177" s="339">
        <f>'2.mell'!E706</f>
        <v>200</v>
      </c>
      <c r="F177" s="339">
        <f>'2.mell'!F706</f>
        <v>200</v>
      </c>
      <c r="G177" s="880">
        <f t="shared" si="19"/>
        <v>1</v>
      </c>
    </row>
    <row r="178" spans="1:7" s="89" customFormat="1" ht="12.75" thickBot="1" x14ac:dyDescent="0.25">
      <c r="A178" s="111">
        <v>1425</v>
      </c>
      <c r="B178" s="112" t="s">
        <v>190</v>
      </c>
      <c r="C178" s="354">
        <f>'2.mell'!C707</f>
        <v>16000</v>
      </c>
      <c r="D178" s="354">
        <f>'2.mell'!D707</f>
        <v>17000</v>
      </c>
      <c r="E178" s="354">
        <f>'2.mell'!E707</f>
        <v>19510</v>
      </c>
      <c r="F178" s="354">
        <f>'2.mell'!F707</f>
        <v>37811</v>
      </c>
      <c r="G178" s="1065">
        <f t="shared" si="19"/>
        <v>1.9380317785750898</v>
      </c>
    </row>
    <row r="179" spans="1:7" s="89" customFormat="1" ht="15.75" thickBot="1" x14ac:dyDescent="0.3">
      <c r="A179" s="123"/>
      <c r="B179" s="138" t="s">
        <v>295</v>
      </c>
      <c r="C179" s="553">
        <f>SUM(C170+C173+C175+C174+C178+C176+C169+C177)</f>
        <v>408477</v>
      </c>
      <c r="D179" s="553">
        <f>SUM(D170+D173+D175+D174+D178+D176+D169+D177)</f>
        <v>582400</v>
      </c>
      <c r="E179" s="553">
        <f>SUM(E170+E173+E175+E174+E178+E176+E169+E177)</f>
        <v>605517</v>
      </c>
      <c r="F179" s="553">
        <f>SUM(F170+F173+F175+F174+F178+F176+F169+F177)</f>
        <v>658800</v>
      </c>
      <c r="G179" s="884">
        <f t="shared" si="19"/>
        <v>1.0879958779026848</v>
      </c>
    </row>
    <row r="180" spans="1:7" s="89" customFormat="1" x14ac:dyDescent="0.2">
      <c r="A180" s="121"/>
      <c r="B180" s="102"/>
      <c r="C180" s="557"/>
      <c r="D180" s="557"/>
      <c r="E180" s="557"/>
      <c r="F180" s="557"/>
      <c r="G180" s="883"/>
    </row>
    <row r="181" spans="1:7" s="89" customFormat="1" ht="12.75" thickBot="1" x14ac:dyDescent="0.25">
      <c r="A181" s="122">
        <v>1430</v>
      </c>
      <c r="B181" s="128" t="s">
        <v>191</v>
      </c>
      <c r="C181" s="419">
        <f>'2.mell'!C709</f>
        <v>0</v>
      </c>
      <c r="D181" s="419">
        <f>'2.mell'!D709</f>
        <v>0</v>
      </c>
      <c r="E181" s="419">
        <f>'2.mell'!E709</f>
        <v>6619</v>
      </c>
      <c r="F181" s="419">
        <f>'2.mell'!F709</f>
        <v>6619</v>
      </c>
      <c r="G181" s="1066">
        <f t="shared" si="19"/>
        <v>1</v>
      </c>
    </row>
    <row r="182" spans="1:7" s="89" customFormat="1" ht="15.75" thickBot="1" x14ac:dyDescent="0.3">
      <c r="A182" s="114"/>
      <c r="B182" s="174" t="s">
        <v>192</v>
      </c>
      <c r="C182" s="553">
        <f>C181</f>
        <v>0</v>
      </c>
      <c r="D182" s="553">
        <f>D181</f>
        <v>0</v>
      </c>
      <c r="E182" s="553">
        <f>E181</f>
        <v>6619</v>
      </c>
      <c r="F182" s="553">
        <f>F181</f>
        <v>6619</v>
      </c>
      <c r="G182" s="884">
        <f t="shared" si="19"/>
        <v>1</v>
      </c>
    </row>
    <row r="183" spans="1:7" s="89" customFormat="1" ht="12" customHeight="1" thickBot="1" x14ac:dyDescent="0.3">
      <c r="A183" s="114"/>
      <c r="B183" s="163"/>
      <c r="C183" s="563"/>
      <c r="D183" s="563"/>
      <c r="E183" s="563"/>
      <c r="F183" s="563"/>
      <c r="G183" s="884"/>
    </row>
    <row r="184" spans="1:7" s="89" customFormat="1" ht="16.5" thickBot="1" x14ac:dyDescent="0.3">
      <c r="A184" s="114"/>
      <c r="B184" s="177" t="s">
        <v>49</v>
      </c>
      <c r="C184" s="567">
        <f>SUM(C179+C182+C168)</f>
        <v>408477</v>
      </c>
      <c r="D184" s="567">
        <f>SUM(D179+D182+D168)</f>
        <v>2585093</v>
      </c>
      <c r="E184" s="567">
        <f>SUM(E179+E182+E168)</f>
        <v>2616129</v>
      </c>
      <c r="F184" s="567">
        <f>SUM(F179+F182+F168)</f>
        <v>2672612</v>
      </c>
      <c r="G184" s="884">
        <f t="shared" si="19"/>
        <v>1.0215902961971677</v>
      </c>
    </row>
    <row r="185" spans="1:7" s="89" customFormat="1" ht="10.5" customHeight="1" x14ac:dyDescent="0.25">
      <c r="A185" s="101"/>
      <c r="B185" s="326"/>
      <c r="C185" s="557"/>
      <c r="D185" s="557"/>
      <c r="E185" s="557"/>
      <c r="F185" s="557"/>
      <c r="G185" s="883"/>
    </row>
    <row r="186" spans="1:7" s="89" customFormat="1" x14ac:dyDescent="0.2">
      <c r="A186" s="106">
        <v>1435</v>
      </c>
      <c r="B186" s="104" t="s">
        <v>193</v>
      </c>
      <c r="C186" s="558"/>
      <c r="D186" s="558"/>
      <c r="E186" s="558"/>
      <c r="F186" s="558"/>
      <c r="G186" s="196"/>
    </row>
    <row r="187" spans="1:7" s="89" customFormat="1" ht="12.75" thickBot="1" x14ac:dyDescent="0.25">
      <c r="A187" s="106">
        <v>1436</v>
      </c>
      <c r="B187" s="104" t="s">
        <v>359</v>
      </c>
      <c r="C187" s="354">
        <f>'2.mell'!C711</f>
        <v>0</v>
      </c>
      <c r="D187" s="354">
        <f>'2.mell'!D711</f>
        <v>0</v>
      </c>
      <c r="E187" s="354">
        <f>'2.mell'!E711</f>
        <v>0</v>
      </c>
      <c r="F187" s="354">
        <f>'2.mell'!F711</f>
        <v>0</v>
      </c>
      <c r="G187" s="1066"/>
    </row>
    <row r="188" spans="1:7" s="89" customFormat="1" ht="15.75" thickBot="1" x14ac:dyDescent="0.3">
      <c r="A188" s="114"/>
      <c r="B188" s="138" t="s">
        <v>354</v>
      </c>
      <c r="C188" s="553">
        <f t="shared" ref="C188:D188" si="26">SUM(C187)</f>
        <v>0</v>
      </c>
      <c r="D188" s="553">
        <f t="shared" si="26"/>
        <v>0</v>
      </c>
      <c r="E188" s="553">
        <f t="shared" ref="E188:F188" si="27">SUM(E187)</f>
        <v>0</v>
      </c>
      <c r="F188" s="553">
        <f t="shared" si="27"/>
        <v>0</v>
      </c>
      <c r="G188" s="884"/>
    </row>
    <row r="189" spans="1:7" s="89" customFormat="1" ht="9.9499999999999993" customHeight="1" x14ac:dyDescent="0.25">
      <c r="A189" s="121"/>
      <c r="B189" s="176"/>
      <c r="C189" s="557"/>
      <c r="D189" s="557"/>
      <c r="E189" s="557"/>
      <c r="F189" s="557"/>
      <c r="G189" s="883"/>
    </row>
    <row r="190" spans="1:7" s="89" customFormat="1" ht="12.75" thickBot="1" x14ac:dyDescent="0.25">
      <c r="A190" s="111">
        <v>1440</v>
      </c>
      <c r="B190" s="112" t="s">
        <v>203</v>
      </c>
      <c r="C190" s="419">
        <f>SUM('2.mell'!C713)</f>
        <v>0</v>
      </c>
      <c r="D190" s="419">
        <f>SUM('2.mell'!D713)</f>
        <v>0</v>
      </c>
      <c r="E190" s="419">
        <f>SUM('2.mell'!E713)</f>
        <v>0</v>
      </c>
      <c r="F190" s="419">
        <f>SUM('2.mell'!F713)</f>
        <v>750</v>
      </c>
      <c r="G190" s="1066"/>
    </row>
    <row r="191" spans="1:7" s="89" customFormat="1" ht="15.75" thickBot="1" x14ac:dyDescent="0.3">
      <c r="A191" s="123"/>
      <c r="B191" s="174" t="s">
        <v>198</v>
      </c>
      <c r="C191" s="553">
        <f t="shared" ref="C191:D191" si="28">SUM(C190)</f>
        <v>0</v>
      </c>
      <c r="D191" s="553">
        <f t="shared" si="28"/>
        <v>0</v>
      </c>
      <c r="E191" s="553">
        <f t="shared" ref="E191:F191" si="29">SUM(E190)</f>
        <v>0</v>
      </c>
      <c r="F191" s="553">
        <f t="shared" si="29"/>
        <v>750</v>
      </c>
      <c r="G191" s="884"/>
    </row>
    <row r="192" spans="1:7" s="89" customFormat="1" ht="15" x14ac:dyDescent="0.25">
      <c r="A192" s="121"/>
      <c r="B192" s="176"/>
      <c r="C192" s="557"/>
      <c r="D192" s="557"/>
      <c r="E192" s="557"/>
      <c r="F192" s="557"/>
      <c r="G192" s="883"/>
    </row>
    <row r="193" spans="1:7" s="89" customFormat="1" ht="12.75" thickBot="1" x14ac:dyDescent="0.25">
      <c r="A193" s="165">
        <v>1445</v>
      </c>
      <c r="B193" s="116" t="s">
        <v>200</v>
      </c>
      <c r="C193" s="354">
        <f>'2.mell'!C712</f>
        <v>0</v>
      </c>
      <c r="D193" s="354">
        <f>'2.mell'!D712</f>
        <v>0</v>
      </c>
      <c r="E193" s="354">
        <f>'2.mell'!E712</f>
        <v>0</v>
      </c>
      <c r="F193" s="354">
        <f>'2.mell'!F712</f>
        <v>0</v>
      </c>
      <c r="G193" s="1066"/>
    </row>
    <row r="194" spans="1:7" s="89" customFormat="1" ht="15.75" thickBot="1" x14ac:dyDescent="0.3">
      <c r="A194" s="114"/>
      <c r="B194" s="138" t="s">
        <v>201</v>
      </c>
      <c r="C194" s="553">
        <f t="shared" ref="C194:D194" si="30">SUM(C193)</f>
        <v>0</v>
      </c>
      <c r="D194" s="553">
        <f t="shared" si="30"/>
        <v>0</v>
      </c>
      <c r="E194" s="553">
        <f t="shared" ref="E194:F194" si="31">SUM(E193)</f>
        <v>0</v>
      </c>
      <c r="F194" s="553">
        <f t="shared" si="31"/>
        <v>0</v>
      </c>
      <c r="G194" s="884"/>
    </row>
    <row r="195" spans="1:7" s="89" customFormat="1" ht="15" x14ac:dyDescent="0.25">
      <c r="A195" s="121"/>
      <c r="B195" s="176"/>
      <c r="C195" s="549"/>
      <c r="D195" s="549"/>
      <c r="E195" s="549"/>
      <c r="F195" s="549"/>
      <c r="G195" s="883"/>
    </row>
    <row r="196" spans="1:7" s="89" customFormat="1" ht="12.75" x14ac:dyDescent="0.2">
      <c r="A196" s="107">
        <v>1459</v>
      </c>
      <c r="B196" s="545" t="s">
        <v>371</v>
      </c>
      <c r="C196" s="549">
        <v>0</v>
      </c>
      <c r="D196" s="549">
        <v>0</v>
      </c>
      <c r="E196" s="549">
        <v>0</v>
      </c>
      <c r="F196" s="549">
        <v>0</v>
      </c>
      <c r="G196" s="196"/>
    </row>
    <row r="197" spans="1:7" s="89" customFormat="1" x14ac:dyDescent="0.2">
      <c r="A197" s="106">
        <v>1450</v>
      </c>
      <c r="B197" s="104" t="s">
        <v>357</v>
      </c>
      <c r="C197" s="339">
        <v>0</v>
      </c>
      <c r="D197" s="339">
        <f>'2.mell'!D715</f>
        <v>43658</v>
      </c>
      <c r="E197" s="339">
        <f>'2.mell'!E715</f>
        <v>43658</v>
      </c>
      <c r="F197" s="339">
        <f>'2.mell'!F715</f>
        <v>43658</v>
      </c>
      <c r="G197" s="880">
        <f t="shared" si="19"/>
        <v>1</v>
      </c>
    </row>
    <row r="198" spans="1:7" s="89" customFormat="1" ht="12.75" thickBot="1" x14ac:dyDescent="0.25">
      <c r="A198" s="122">
        <v>1451</v>
      </c>
      <c r="B198" s="110" t="s">
        <v>385</v>
      </c>
      <c r="C198" s="418">
        <f>SUM('2.mell'!C717+'2.mell'!C718)</f>
        <v>7620541</v>
      </c>
      <c r="D198" s="418">
        <f>SUM('2.mell'!D717+'2.mell'!D718)</f>
        <v>8916026</v>
      </c>
      <c r="E198" s="418">
        <f>SUM('2.mell'!E717+'2.mell'!E718)</f>
        <v>9005663</v>
      </c>
      <c r="F198" s="418">
        <f>SUM('2.mell'!F717+'2.mell'!F718)</f>
        <v>9145308</v>
      </c>
      <c r="G198" s="1065">
        <f t="shared" si="19"/>
        <v>1.0155063541684826</v>
      </c>
    </row>
    <row r="199" spans="1:7" s="89" customFormat="1" ht="15.75" thickBot="1" x14ac:dyDescent="0.3">
      <c r="A199" s="114"/>
      <c r="B199" s="138" t="s">
        <v>30</v>
      </c>
      <c r="C199" s="553">
        <f>SUM(C196:C198)</f>
        <v>7620541</v>
      </c>
      <c r="D199" s="553">
        <f>SUM(D196:D198)</f>
        <v>8959684</v>
      </c>
      <c r="E199" s="553">
        <f>SUM(E196:E198)</f>
        <v>9049321</v>
      </c>
      <c r="F199" s="553">
        <f>SUM(F196:F198)</f>
        <v>9188966</v>
      </c>
      <c r="G199" s="884">
        <f t="shared" si="19"/>
        <v>1.0154315445324571</v>
      </c>
    </row>
    <row r="200" spans="1:7" s="126" customFormat="1" ht="13.5" customHeight="1" x14ac:dyDescent="0.2">
      <c r="A200" s="121"/>
      <c r="B200" s="153"/>
      <c r="C200" s="549"/>
      <c r="D200" s="549"/>
      <c r="E200" s="549"/>
      <c r="F200" s="549"/>
      <c r="G200" s="883"/>
    </row>
    <row r="201" spans="1:7" s="126" customFormat="1" ht="13.5" thickBot="1" x14ac:dyDescent="0.25">
      <c r="A201" s="106">
        <v>1455</v>
      </c>
      <c r="B201" s="104" t="s">
        <v>358</v>
      </c>
      <c r="C201" s="354">
        <v>0</v>
      </c>
      <c r="D201" s="354">
        <f>'2.mell'!D720</f>
        <v>0</v>
      </c>
      <c r="E201" s="354">
        <f>'2.mell'!E720</f>
        <v>0</v>
      </c>
      <c r="F201" s="354">
        <f>'2.mell'!F720</f>
        <v>0</v>
      </c>
      <c r="G201" s="1066"/>
    </row>
    <row r="202" spans="1:7" s="89" customFormat="1" ht="15.75" thickBot="1" x14ac:dyDescent="0.25">
      <c r="A202" s="114"/>
      <c r="B202" s="183" t="s">
        <v>202</v>
      </c>
      <c r="C202" s="553">
        <f t="shared" ref="C202:D202" si="32">SUM(C201)</f>
        <v>0</v>
      </c>
      <c r="D202" s="553">
        <f t="shared" si="32"/>
        <v>0</v>
      </c>
      <c r="E202" s="553">
        <f t="shared" ref="E202:F202" si="33">SUM(E201)</f>
        <v>0</v>
      </c>
      <c r="F202" s="553">
        <f t="shared" si="33"/>
        <v>0</v>
      </c>
      <c r="G202" s="884"/>
    </row>
    <row r="203" spans="1:7" s="89" customFormat="1" ht="12.75" thickBot="1" x14ac:dyDescent="0.25">
      <c r="A203" s="114"/>
      <c r="B203" s="105"/>
      <c r="C203" s="551"/>
      <c r="D203" s="551"/>
      <c r="E203" s="551"/>
      <c r="F203" s="551"/>
      <c r="G203" s="884"/>
    </row>
    <row r="204" spans="1:7" s="89" customFormat="1" ht="16.5" thickBot="1" x14ac:dyDescent="0.25">
      <c r="A204" s="114"/>
      <c r="B204" s="179" t="s">
        <v>1083</v>
      </c>
      <c r="C204" s="780">
        <f>SUM(C202+C199+C184+C194+C188+C191)</f>
        <v>8029018</v>
      </c>
      <c r="D204" s="780">
        <f>SUM(D202+D199+D184+D194+D188+D191)</f>
        <v>11544777</v>
      </c>
      <c r="E204" s="780">
        <f>SUM(E202+E199+E184+E194+E188+E191)</f>
        <v>11665450</v>
      </c>
      <c r="F204" s="780">
        <f>SUM(F202+F199+F184+F194+F188+F191)</f>
        <v>11862328</v>
      </c>
      <c r="G204" s="884">
        <f t="shared" ref="G204:G253" si="34">SUM(F204/E204)</f>
        <v>1.0168770171746482</v>
      </c>
    </row>
    <row r="205" spans="1:7" s="126" customFormat="1" ht="12.75" x14ac:dyDescent="0.2">
      <c r="A205" s="125"/>
      <c r="B205" s="135"/>
      <c r="C205" s="568"/>
      <c r="D205" s="568"/>
      <c r="E205" s="568"/>
      <c r="F205" s="568"/>
      <c r="G205" s="883"/>
    </row>
    <row r="206" spans="1:7" s="126" customFormat="1" ht="17.25" customHeight="1" x14ac:dyDescent="0.2">
      <c r="A206" s="127"/>
      <c r="B206" s="182" t="s">
        <v>1084</v>
      </c>
      <c r="C206" s="569"/>
      <c r="D206" s="569"/>
      <c r="E206" s="569"/>
      <c r="F206" s="569"/>
      <c r="G206" s="196"/>
    </row>
    <row r="207" spans="1:7" s="126" customFormat="1" ht="12.75" x14ac:dyDescent="0.2">
      <c r="A207" s="127"/>
      <c r="B207" s="93"/>
      <c r="C207" s="569"/>
      <c r="D207" s="569"/>
      <c r="E207" s="569"/>
      <c r="F207" s="569"/>
      <c r="G207" s="196"/>
    </row>
    <row r="208" spans="1:7" s="126" customFormat="1" ht="12.75" x14ac:dyDescent="0.2">
      <c r="A208" s="106">
        <v>1500</v>
      </c>
      <c r="B208" s="104" t="s">
        <v>169</v>
      </c>
      <c r="C208" s="356">
        <f>SUM(C10)</f>
        <v>3544633</v>
      </c>
      <c r="D208" s="356">
        <f>SUM(D10)</f>
        <v>4270289</v>
      </c>
      <c r="E208" s="356">
        <f>SUM(E10)</f>
        <v>4379771</v>
      </c>
      <c r="F208" s="356">
        <f>SUM(F10)</f>
        <v>4424851</v>
      </c>
      <c r="G208" s="880">
        <f t="shared" si="34"/>
        <v>1.010292775581189</v>
      </c>
    </row>
    <row r="209" spans="1:7" s="126" customFormat="1" ht="12.75" x14ac:dyDescent="0.2">
      <c r="A209" s="106">
        <v>1501</v>
      </c>
      <c r="B209" s="104" t="s">
        <v>173</v>
      </c>
      <c r="C209" s="356">
        <f t="shared" ref="C209:D209" si="35">SUM(C17)</f>
        <v>0</v>
      </c>
      <c r="D209" s="356">
        <f t="shared" si="35"/>
        <v>0</v>
      </c>
      <c r="E209" s="356">
        <f t="shared" ref="E209:F209" si="36">SUM(E17)</f>
        <v>0</v>
      </c>
      <c r="F209" s="356">
        <f t="shared" si="36"/>
        <v>0</v>
      </c>
      <c r="G209" s="880"/>
    </row>
    <row r="210" spans="1:7" s="126" customFormat="1" ht="12.75" x14ac:dyDescent="0.2">
      <c r="A210" s="106">
        <v>1502</v>
      </c>
      <c r="B210" s="104" t="s">
        <v>1018</v>
      </c>
      <c r="C210" s="356">
        <f t="shared" ref="C210:D210" si="37">SUM(C18)</f>
        <v>0</v>
      </c>
      <c r="D210" s="356">
        <f t="shared" si="37"/>
        <v>0</v>
      </c>
      <c r="E210" s="356">
        <f t="shared" ref="E210:F210" si="38">SUM(E18)</f>
        <v>0</v>
      </c>
      <c r="F210" s="356">
        <f t="shared" si="38"/>
        <v>0</v>
      </c>
      <c r="G210" s="880"/>
    </row>
    <row r="211" spans="1:7" s="126" customFormat="1" ht="12.75" x14ac:dyDescent="0.2">
      <c r="A211" s="106">
        <v>1503</v>
      </c>
      <c r="B211" s="104" t="s">
        <v>347</v>
      </c>
      <c r="C211" s="356">
        <f>SUM(C167+C19+C122)</f>
        <v>0</v>
      </c>
      <c r="D211" s="356">
        <f>SUM(D167+D19+D122)</f>
        <v>2041968</v>
      </c>
      <c r="E211" s="356">
        <f>SUM(E167+E19+E122)</f>
        <v>2045920</v>
      </c>
      <c r="F211" s="356">
        <f>SUM(F167+F19+F122)</f>
        <v>2058831</v>
      </c>
      <c r="G211" s="880">
        <f t="shared" si="34"/>
        <v>1.0063106084304372</v>
      </c>
    </row>
    <row r="212" spans="1:7" s="126" customFormat="1" ht="12.75" x14ac:dyDescent="0.2">
      <c r="A212" s="106">
        <v>1504</v>
      </c>
      <c r="B212" s="104" t="s">
        <v>465</v>
      </c>
      <c r="C212" s="356">
        <f t="shared" ref="C212:D212" si="39">SUM(C20)</f>
        <v>0</v>
      </c>
      <c r="D212" s="356">
        <f t="shared" si="39"/>
        <v>0</v>
      </c>
      <c r="E212" s="356">
        <f t="shared" ref="E212:F212" si="40">SUM(E20)</f>
        <v>0</v>
      </c>
      <c r="F212" s="356">
        <f t="shared" si="40"/>
        <v>0</v>
      </c>
      <c r="G212" s="880"/>
    </row>
    <row r="213" spans="1:7" s="126" customFormat="1" ht="13.5" thickBot="1" x14ac:dyDescent="0.25">
      <c r="A213" s="122">
        <v>1506</v>
      </c>
      <c r="B213" s="128" t="s">
        <v>1017</v>
      </c>
      <c r="C213" s="538">
        <f t="shared" ref="C213:D213" si="41">SUM(C21)</f>
        <v>0</v>
      </c>
      <c r="D213" s="538">
        <f t="shared" si="41"/>
        <v>0</v>
      </c>
      <c r="E213" s="538">
        <f t="shared" ref="E213:F213" si="42">SUM(E21)</f>
        <v>750</v>
      </c>
      <c r="F213" s="538">
        <f t="shared" si="42"/>
        <v>750</v>
      </c>
      <c r="G213" s="1065">
        <f t="shared" si="34"/>
        <v>1</v>
      </c>
    </row>
    <row r="214" spans="1:7" s="126" customFormat="1" ht="13.5" thickBot="1" x14ac:dyDescent="0.25">
      <c r="A214" s="114"/>
      <c r="B214" s="117" t="s">
        <v>348</v>
      </c>
      <c r="C214" s="811">
        <f>SUM(C208:C213)</f>
        <v>3544633</v>
      </c>
      <c r="D214" s="811">
        <f>SUM(D208:D213)</f>
        <v>6312257</v>
      </c>
      <c r="E214" s="811">
        <f>SUM(E208:E213)</f>
        <v>6426441</v>
      </c>
      <c r="F214" s="811">
        <f>SUM(F208:F213)</f>
        <v>6484432</v>
      </c>
      <c r="G214" s="884">
        <f t="shared" si="34"/>
        <v>1.0090238127137556</v>
      </c>
    </row>
    <row r="215" spans="1:7" s="126" customFormat="1" ht="12.75" x14ac:dyDescent="0.2">
      <c r="A215" s="107">
        <v>1510</v>
      </c>
      <c r="B215" s="108" t="s">
        <v>175</v>
      </c>
      <c r="C215" s="107">
        <f>SUM(C24)</f>
        <v>5377421</v>
      </c>
      <c r="D215" s="107">
        <f>SUM(D24)</f>
        <v>5377421</v>
      </c>
      <c r="E215" s="107">
        <f>SUM(E24)</f>
        <v>5377421</v>
      </c>
      <c r="F215" s="107">
        <f>SUM(F24)</f>
        <v>5377421</v>
      </c>
      <c r="G215" s="1068">
        <f t="shared" si="34"/>
        <v>1</v>
      </c>
    </row>
    <row r="216" spans="1:7" s="126" customFormat="1" ht="12.75" x14ac:dyDescent="0.2">
      <c r="A216" s="106">
        <v>1511</v>
      </c>
      <c r="B216" s="108" t="s">
        <v>176</v>
      </c>
      <c r="C216" s="106">
        <f>SUM(C27)</f>
        <v>9857538</v>
      </c>
      <c r="D216" s="106">
        <f>SUM(D27)</f>
        <v>9857538</v>
      </c>
      <c r="E216" s="106">
        <f>SUM(E27)</f>
        <v>9857538</v>
      </c>
      <c r="F216" s="106">
        <f>SUM(F27)</f>
        <v>9933538</v>
      </c>
      <c r="G216" s="880">
        <f t="shared" si="34"/>
        <v>1.0077098358636811</v>
      </c>
    </row>
    <row r="217" spans="1:7" s="126" customFormat="1" ht="13.5" thickBot="1" x14ac:dyDescent="0.25">
      <c r="A217" s="111">
        <v>1514</v>
      </c>
      <c r="B217" s="112" t="s">
        <v>149</v>
      </c>
      <c r="C217" s="111">
        <f>SUM(C31+C127)</f>
        <v>899172</v>
      </c>
      <c r="D217" s="111">
        <f>SUM(D31+D127)</f>
        <v>899172</v>
      </c>
      <c r="E217" s="165">
        <f>SUM(E31+E127)</f>
        <v>900952</v>
      </c>
      <c r="F217" s="165">
        <f>SUM(F31+F127)</f>
        <v>900952</v>
      </c>
      <c r="G217" s="880">
        <f t="shared" si="34"/>
        <v>1</v>
      </c>
    </row>
    <row r="218" spans="1:7" s="126" customFormat="1" ht="13.5" thickBot="1" x14ac:dyDescent="0.25">
      <c r="A218" s="114"/>
      <c r="B218" s="185" t="s">
        <v>182</v>
      </c>
      <c r="C218" s="812">
        <f t="shared" ref="C218:D218" si="43">SUM(C215:C217)</f>
        <v>16134131</v>
      </c>
      <c r="D218" s="812">
        <f t="shared" si="43"/>
        <v>16134131</v>
      </c>
      <c r="E218" s="812">
        <f t="shared" ref="E218:F218" si="44">SUM(E215:E217)</f>
        <v>16135911</v>
      </c>
      <c r="F218" s="812">
        <f t="shared" si="44"/>
        <v>16211911</v>
      </c>
      <c r="G218" s="1066">
        <f t="shared" si="34"/>
        <v>1.0047099912735018</v>
      </c>
    </row>
    <row r="219" spans="1:7" s="126" customFormat="1" ht="12.75" x14ac:dyDescent="0.2">
      <c r="A219" s="107">
        <v>1519</v>
      </c>
      <c r="B219" s="161" t="s">
        <v>342</v>
      </c>
      <c r="C219" s="107">
        <f>'2.mell'!C589</f>
        <v>0</v>
      </c>
      <c r="D219" s="107">
        <f>'2.mell'!D589</f>
        <v>0</v>
      </c>
      <c r="E219" s="107">
        <f>'2.mell'!E589</f>
        <v>0</v>
      </c>
      <c r="F219" s="107">
        <f>'2.mell'!F589</f>
        <v>21</v>
      </c>
      <c r="G219" s="883"/>
    </row>
    <row r="220" spans="1:7" s="126" customFormat="1" ht="12.75" x14ac:dyDescent="0.2">
      <c r="A220" s="107">
        <v>1520</v>
      </c>
      <c r="B220" s="161" t="s">
        <v>183</v>
      </c>
      <c r="C220" s="107">
        <f>SUM(C45+C128+C170)</f>
        <v>2030915</v>
      </c>
      <c r="D220" s="107">
        <f>SUM(D45+D128+D170)</f>
        <v>2167183</v>
      </c>
      <c r="E220" s="107">
        <f>SUM(E45+E128+E170)</f>
        <v>2183409</v>
      </c>
      <c r="F220" s="107">
        <f>SUM(F45+F128+F170)</f>
        <v>2198627</v>
      </c>
      <c r="G220" s="880">
        <f t="shared" si="34"/>
        <v>1.0069698347858784</v>
      </c>
    </row>
    <row r="221" spans="1:7" s="126" customFormat="1" ht="12.75" x14ac:dyDescent="0.2">
      <c r="A221" s="106">
        <v>1521</v>
      </c>
      <c r="B221" s="148" t="s">
        <v>184</v>
      </c>
      <c r="C221" s="106">
        <f>SUM(C55+C131+C173)</f>
        <v>202736</v>
      </c>
      <c r="D221" s="106">
        <f>SUM(D55+D131+D173)</f>
        <v>225736</v>
      </c>
      <c r="E221" s="106">
        <f>SUM(E55+E131+E173)</f>
        <v>225736</v>
      </c>
      <c r="F221" s="106">
        <f>SUM(F55+F131+F173)</f>
        <v>231185</v>
      </c>
      <c r="G221" s="880">
        <f t="shared" si="34"/>
        <v>1.0241388170251975</v>
      </c>
    </row>
    <row r="222" spans="1:7" s="126" customFormat="1" ht="12.75" x14ac:dyDescent="0.2">
      <c r="A222" s="106">
        <v>1522</v>
      </c>
      <c r="B222" s="104" t="s">
        <v>297</v>
      </c>
      <c r="C222" s="106">
        <f>SUM(C59)</f>
        <v>0</v>
      </c>
      <c r="D222" s="106">
        <f>SUM(D59)</f>
        <v>0</v>
      </c>
      <c r="E222" s="106">
        <f>SUM(E59)</f>
        <v>0</v>
      </c>
      <c r="F222" s="106">
        <f>SUM(F59)</f>
        <v>0</v>
      </c>
      <c r="G222" s="880"/>
    </row>
    <row r="223" spans="1:7" s="126" customFormat="1" ht="12.75" x14ac:dyDescent="0.2">
      <c r="A223" s="106">
        <v>1523</v>
      </c>
      <c r="B223" s="104" t="s">
        <v>187</v>
      </c>
      <c r="C223" s="106">
        <f>SUM(C132+C174+C60)</f>
        <v>193454</v>
      </c>
      <c r="D223" s="106">
        <f>SUM(D132+D174+D60)</f>
        <v>193454</v>
      </c>
      <c r="E223" s="106">
        <f>SUM(E132+E174+E60)</f>
        <v>193454</v>
      </c>
      <c r="F223" s="106">
        <f>SUM(F132+F174+F60)</f>
        <v>195253</v>
      </c>
      <c r="G223" s="880">
        <f t="shared" si="34"/>
        <v>1.0092993683252867</v>
      </c>
    </row>
    <row r="224" spans="1:7" s="126" customFormat="1" ht="12.75" x14ac:dyDescent="0.2">
      <c r="A224" s="106">
        <v>1524</v>
      </c>
      <c r="B224" s="104" t="s">
        <v>188</v>
      </c>
      <c r="C224" s="106">
        <f>SUM(C61+C133+C175)</f>
        <v>652457</v>
      </c>
      <c r="D224" s="106">
        <f>SUM(D61+D133+D175)</f>
        <v>665912</v>
      </c>
      <c r="E224" s="106">
        <f>SUM(E61+E133+E175)</f>
        <v>670293</v>
      </c>
      <c r="F224" s="106">
        <f>SUM(F61+F133+F175)</f>
        <v>674844</v>
      </c>
      <c r="G224" s="880">
        <f t="shared" si="34"/>
        <v>1.0067895681440804</v>
      </c>
    </row>
    <row r="225" spans="1:7" s="126" customFormat="1" ht="12.75" x14ac:dyDescent="0.2">
      <c r="A225" s="106">
        <v>1525</v>
      </c>
      <c r="B225" s="108" t="s">
        <v>189</v>
      </c>
      <c r="C225" s="106">
        <f t="shared" ref="C225:D225" si="45">SUM(C65+C134+C176)</f>
        <v>14000</v>
      </c>
      <c r="D225" s="106">
        <f t="shared" si="45"/>
        <v>14000</v>
      </c>
      <c r="E225" s="106">
        <f t="shared" ref="E225:F225" si="46">SUM(E65+E134+E176)</f>
        <v>14000</v>
      </c>
      <c r="F225" s="106">
        <f t="shared" si="46"/>
        <v>21944</v>
      </c>
      <c r="G225" s="880">
        <f t="shared" si="34"/>
        <v>1.5674285714285714</v>
      </c>
    </row>
    <row r="226" spans="1:7" s="126" customFormat="1" ht="12.75" x14ac:dyDescent="0.2">
      <c r="A226" s="106">
        <v>1526</v>
      </c>
      <c r="B226" s="103" t="s">
        <v>373</v>
      </c>
      <c r="C226" s="106">
        <f t="shared" ref="C226:D226" si="47">SUM(C66+C135+C177)</f>
        <v>250000</v>
      </c>
      <c r="D226" s="106">
        <f t="shared" si="47"/>
        <v>271532</v>
      </c>
      <c r="E226" s="106">
        <f t="shared" ref="E226:F226" si="48">SUM(E66+E135+E177)</f>
        <v>271532</v>
      </c>
      <c r="F226" s="106">
        <f t="shared" si="48"/>
        <v>271532</v>
      </c>
      <c r="G226" s="880">
        <f t="shared" si="34"/>
        <v>1</v>
      </c>
    </row>
    <row r="227" spans="1:7" s="126" customFormat="1" ht="13.5" thickBot="1" x14ac:dyDescent="0.25">
      <c r="A227" s="111">
        <v>1528</v>
      </c>
      <c r="B227" s="112" t="s">
        <v>190</v>
      </c>
      <c r="C227" s="111">
        <f>SUM(C68+C136+C178+C69)</f>
        <v>55266</v>
      </c>
      <c r="D227" s="111">
        <f>SUM(D68+D136+D178+D69)</f>
        <v>56266</v>
      </c>
      <c r="E227" s="111">
        <f>SUM(E68+E136+E178+E69)</f>
        <v>58776</v>
      </c>
      <c r="F227" s="111">
        <f>SUM(F68+F136+F178+F69)</f>
        <v>77077</v>
      </c>
      <c r="G227" s="1065">
        <f t="shared" si="34"/>
        <v>1.3113685858173405</v>
      </c>
    </row>
    <row r="228" spans="1:7" s="126" customFormat="1" ht="13.5" thickBot="1" x14ac:dyDescent="0.25">
      <c r="A228" s="114"/>
      <c r="B228" s="117" t="s">
        <v>295</v>
      </c>
      <c r="C228" s="812">
        <f t="shared" ref="C228:D228" si="49">SUM(C219:C227)</f>
        <v>3398828</v>
      </c>
      <c r="D228" s="812">
        <f t="shared" si="49"/>
        <v>3594083</v>
      </c>
      <c r="E228" s="812">
        <f t="shared" ref="E228:F228" si="50">SUM(E219:E227)</f>
        <v>3617200</v>
      </c>
      <c r="F228" s="812">
        <f t="shared" si="50"/>
        <v>3670483</v>
      </c>
      <c r="G228" s="884">
        <f t="shared" si="34"/>
        <v>1.0147304544951896</v>
      </c>
    </row>
    <row r="229" spans="1:7" s="126" customFormat="1" ht="13.5" thickBot="1" x14ac:dyDescent="0.25">
      <c r="A229" s="124">
        <v>1530</v>
      </c>
      <c r="B229" s="190" t="s">
        <v>191</v>
      </c>
      <c r="C229" s="124">
        <f>SUM(C79+C139+C182)</f>
        <v>0</v>
      </c>
      <c r="D229" s="124">
        <f>SUM(D79+D139+D182)</f>
        <v>0</v>
      </c>
      <c r="E229" s="124">
        <f>SUM(E79+E139+E182)</f>
        <v>46745</v>
      </c>
      <c r="F229" s="124">
        <f>SUM(F79+F139+F182)</f>
        <v>46745</v>
      </c>
      <c r="G229" s="884">
        <f t="shared" si="34"/>
        <v>1</v>
      </c>
    </row>
    <row r="230" spans="1:7" s="126" customFormat="1" ht="13.5" thickBot="1" x14ac:dyDescent="0.25">
      <c r="A230" s="192"/>
      <c r="B230" s="188" t="s">
        <v>192</v>
      </c>
      <c r="C230" s="813">
        <f t="shared" ref="C230:D230" si="51">SUM(C229)</f>
        <v>0</v>
      </c>
      <c r="D230" s="813">
        <f t="shared" si="51"/>
        <v>0</v>
      </c>
      <c r="E230" s="813">
        <f t="shared" ref="E230:F230" si="52">SUM(E229)</f>
        <v>46745</v>
      </c>
      <c r="F230" s="813">
        <f t="shared" si="52"/>
        <v>46745</v>
      </c>
      <c r="G230" s="1070">
        <f t="shared" si="34"/>
        <v>1</v>
      </c>
    </row>
    <row r="231" spans="1:7" s="126" customFormat="1" ht="17.25" thickTop="1" thickBot="1" x14ac:dyDescent="0.3">
      <c r="A231" s="193"/>
      <c r="B231" s="187" t="s">
        <v>49</v>
      </c>
      <c r="C231" s="813">
        <f>SUM(C214+C218+C228+C230)</f>
        <v>23077592</v>
      </c>
      <c r="D231" s="813">
        <f>SUM(D214+D218+D228+D230)</f>
        <v>26040471</v>
      </c>
      <c r="E231" s="813">
        <f>SUM(E214+E218+E228+E230)</f>
        <v>26226297</v>
      </c>
      <c r="F231" s="813">
        <f>SUM(F214+F218+F228+F230)</f>
        <v>26413571</v>
      </c>
      <c r="G231" s="1071">
        <f t="shared" si="34"/>
        <v>1.0071406954630309</v>
      </c>
    </row>
    <row r="232" spans="1:7" s="126" customFormat="1" ht="13.5" thickTop="1" x14ac:dyDescent="0.2">
      <c r="A232" s="107">
        <v>1540</v>
      </c>
      <c r="B232" s="108" t="s">
        <v>193</v>
      </c>
      <c r="C232" s="107">
        <f t="shared" ref="C232:D232" si="53">SUM(C83)</f>
        <v>0</v>
      </c>
      <c r="D232" s="107">
        <f t="shared" si="53"/>
        <v>0</v>
      </c>
      <c r="E232" s="107">
        <f t="shared" ref="E232:F232" si="54">SUM(E83)</f>
        <v>0</v>
      </c>
      <c r="F232" s="107">
        <f t="shared" si="54"/>
        <v>0</v>
      </c>
      <c r="G232" s="883"/>
    </row>
    <row r="233" spans="1:7" s="126" customFormat="1" ht="12.75" x14ac:dyDescent="0.2">
      <c r="A233" s="107">
        <v>1541</v>
      </c>
      <c r="B233" s="104" t="s">
        <v>1018</v>
      </c>
      <c r="C233" s="107">
        <f t="shared" ref="C233:D233" si="55">SUM(C84)</f>
        <v>0</v>
      </c>
      <c r="D233" s="107">
        <f t="shared" si="55"/>
        <v>0</v>
      </c>
      <c r="E233" s="107">
        <f t="shared" ref="E233:F233" si="56">SUM(E84)</f>
        <v>0</v>
      </c>
      <c r="F233" s="107">
        <f t="shared" si="56"/>
        <v>0</v>
      </c>
      <c r="G233" s="196"/>
    </row>
    <row r="234" spans="1:7" s="126" customFormat="1" ht="12.75" x14ac:dyDescent="0.2">
      <c r="A234" s="106">
        <v>1542</v>
      </c>
      <c r="B234" s="104" t="s">
        <v>360</v>
      </c>
      <c r="C234" s="106">
        <f t="shared" ref="C234:D234" si="57">SUM(C85)</f>
        <v>0</v>
      </c>
      <c r="D234" s="106">
        <f t="shared" si="57"/>
        <v>0</v>
      </c>
      <c r="E234" s="106">
        <f t="shared" ref="E234:F234" si="58">SUM(E85)</f>
        <v>0</v>
      </c>
      <c r="F234" s="106">
        <f t="shared" si="58"/>
        <v>0</v>
      </c>
      <c r="G234" s="196"/>
    </row>
    <row r="235" spans="1:7" s="126" customFormat="1" ht="12.75" x14ac:dyDescent="0.2">
      <c r="A235" s="106">
        <v>1542</v>
      </c>
      <c r="B235" s="104" t="s">
        <v>361</v>
      </c>
      <c r="C235" s="106">
        <f t="shared" ref="C235:D235" si="59">SUM(C86)</f>
        <v>0</v>
      </c>
      <c r="D235" s="106">
        <f t="shared" si="59"/>
        <v>0</v>
      </c>
      <c r="E235" s="106">
        <f t="shared" ref="E235:F235" si="60">SUM(E86)</f>
        <v>0</v>
      </c>
      <c r="F235" s="106">
        <f t="shared" si="60"/>
        <v>6638</v>
      </c>
      <c r="G235" s="196"/>
    </row>
    <row r="236" spans="1:7" s="126" customFormat="1" ht="13.5" thickBot="1" x14ac:dyDescent="0.25">
      <c r="A236" s="111">
        <v>1544</v>
      </c>
      <c r="B236" s="112" t="s">
        <v>359</v>
      </c>
      <c r="C236" s="111">
        <f>SUM(C91+C187)</f>
        <v>0</v>
      </c>
      <c r="D236" s="111">
        <f>SUM(D91+D187)</f>
        <v>0</v>
      </c>
      <c r="E236" s="111">
        <f>SUM(E90+E91+E187)</f>
        <v>7987</v>
      </c>
      <c r="F236" s="111">
        <f>SUM(F90+F91+F187)</f>
        <v>7987</v>
      </c>
      <c r="G236" s="1066">
        <f t="shared" si="34"/>
        <v>1</v>
      </c>
    </row>
    <row r="237" spans="1:7" s="126" customFormat="1" ht="13.5" thickBot="1" x14ac:dyDescent="0.25">
      <c r="A237" s="123"/>
      <c r="B237" s="293" t="s">
        <v>354</v>
      </c>
      <c r="C237" s="812">
        <f t="shared" ref="C237:D237" si="61">SUM(C232:C236)</f>
        <v>0</v>
      </c>
      <c r="D237" s="812">
        <f t="shared" si="61"/>
        <v>0</v>
      </c>
      <c r="E237" s="812">
        <f t="shared" ref="E237:F237" si="62">SUM(E232:E236)</f>
        <v>7987</v>
      </c>
      <c r="F237" s="812">
        <f t="shared" si="62"/>
        <v>14625</v>
      </c>
      <c r="G237" s="884">
        <f t="shared" si="34"/>
        <v>1.8311005383748591</v>
      </c>
    </row>
    <row r="238" spans="1:7" s="126" customFormat="1" ht="12.75" x14ac:dyDescent="0.2">
      <c r="A238" s="107">
        <v>1550</v>
      </c>
      <c r="B238" s="108" t="s">
        <v>197</v>
      </c>
      <c r="C238" s="107">
        <f>SUM(C94)</f>
        <v>180000</v>
      </c>
      <c r="D238" s="107">
        <f>SUM(D94)</f>
        <v>180000</v>
      </c>
      <c r="E238" s="107">
        <f>SUM(E94)</f>
        <v>180000</v>
      </c>
      <c r="F238" s="107">
        <f>SUM(F94)</f>
        <v>335000</v>
      </c>
      <c r="G238" s="1068">
        <f t="shared" si="34"/>
        <v>1.8611111111111112</v>
      </c>
    </row>
    <row r="239" spans="1:7" s="126" customFormat="1" ht="13.5" thickBot="1" x14ac:dyDescent="0.25">
      <c r="A239" s="106">
        <v>1551</v>
      </c>
      <c r="B239" s="104" t="s">
        <v>203</v>
      </c>
      <c r="C239" s="165">
        <f>C148+C190</f>
        <v>0</v>
      </c>
      <c r="D239" s="165">
        <f>D148+D190</f>
        <v>0</v>
      </c>
      <c r="E239" s="165">
        <f>E148+E190</f>
        <v>0</v>
      </c>
      <c r="F239" s="165">
        <f>F148+F190</f>
        <v>750</v>
      </c>
      <c r="G239" s="1066"/>
    </row>
    <row r="240" spans="1:7" s="126" customFormat="1" ht="13.5" thickBot="1" x14ac:dyDescent="0.25">
      <c r="A240" s="114"/>
      <c r="B240" s="117" t="s">
        <v>198</v>
      </c>
      <c r="C240" s="811">
        <f t="shared" ref="C240:D240" si="63">SUM(C238:C239)</f>
        <v>180000</v>
      </c>
      <c r="D240" s="811">
        <f t="shared" si="63"/>
        <v>180000</v>
      </c>
      <c r="E240" s="811">
        <f t="shared" ref="E240:F240" si="64">SUM(E238:E239)</f>
        <v>180000</v>
      </c>
      <c r="F240" s="811">
        <f t="shared" si="64"/>
        <v>335750</v>
      </c>
      <c r="G240" s="884">
        <f t="shared" si="34"/>
        <v>1.8652777777777778</v>
      </c>
    </row>
    <row r="241" spans="1:7" s="126" customFormat="1" ht="12.75" x14ac:dyDescent="0.2">
      <c r="A241" s="107">
        <v>1560</v>
      </c>
      <c r="B241" s="120" t="s">
        <v>362</v>
      </c>
      <c r="C241" s="107">
        <f>SUM(C99+C152)</f>
        <v>19000</v>
      </c>
      <c r="D241" s="107">
        <f>SUM(D99+D152)</f>
        <v>19000</v>
      </c>
      <c r="E241" s="107">
        <f>SUM(E99+E152)</f>
        <v>19000</v>
      </c>
      <c r="F241" s="107">
        <f>SUM(F99+F152)</f>
        <v>19000</v>
      </c>
      <c r="G241" s="1068">
        <f t="shared" si="34"/>
        <v>1</v>
      </c>
    </row>
    <row r="242" spans="1:7" s="126" customFormat="1" ht="12.75" x14ac:dyDescent="0.2">
      <c r="A242" s="165">
        <v>1561</v>
      </c>
      <c r="B242" s="110" t="s">
        <v>200</v>
      </c>
      <c r="C242" s="165">
        <f>C103+C194+C102</f>
        <v>400000</v>
      </c>
      <c r="D242" s="165">
        <f>D103+D194+D102</f>
        <v>500000</v>
      </c>
      <c r="E242" s="165">
        <f>E103+E194+E102</f>
        <v>500000</v>
      </c>
      <c r="F242" s="165">
        <f>F103+F194+F102</f>
        <v>500000</v>
      </c>
      <c r="G242" s="880">
        <f t="shared" si="34"/>
        <v>1</v>
      </c>
    </row>
    <row r="243" spans="1:7" s="126" customFormat="1" ht="13.5" thickBot="1" x14ac:dyDescent="0.25">
      <c r="A243" s="111">
        <v>1562</v>
      </c>
      <c r="B243" s="112" t="s">
        <v>313</v>
      </c>
      <c r="C243" s="111">
        <f>C104</f>
        <v>0</v>
      </c>
      <c r="D243" s="111">
        <f>D104</f>
        <v>0</v>
      </c>
      <c r="E243" s="111">
        <f>E104</f>
        <v>0</v>
      </c>
      <c r="F243" s="111">
        <f>F104</f>
        <v>0</v>
      </c>
      <c r="G243" s="1065"/>
    </row>
    <row r="244" spans="1:7" s="126" customFormat="1" ht="13.5" thickBot="1" x14ac:dyDescent="0.25">
      <c r="A244" s="194"/>
      <c r="B244" s="186" t="s">
        <v>201</v>
      </c>
      <c r="C244" s="813">
        <f t="shared" ref="C244:D244" si="65">SUM(C241:C243)</f>
        <v>419000</v>
      </c>
      <c r="D244" s="813">
        <f t="shared" si="65"/>
        <v>519000</v>
      </c>
      <c r="E244" s="813">
        <f t="shared" ref="E244:F244" si="66">SUM(E241:E243)</f>
        <v>519000</v>
      </c>
      <c r="F244" s="813">
        <f t="shared" si="66"/>
        <v>519000</v>
      </c>
      <c r="G244" s="1135">
        <f t="shared" si="34"/>
        <v>1</v>
      </c>
    </row>
    <row r="245" spans="1:7" s="126" customFormat="1" ht="17.25" thickTop="1" thickBot="1" x14ac:dyDescent="0.25">
      <c r="A245" s="193"/>
      <c r="B245" s="189" t="s">
        <v>50</v>
      </c>
      <c r="C245" s="814">
        <f t="shared" ref="C245:D245" si="67">SUM(C237+C240+C244)</f>
        <v>599000</v>
      </c>
      <c r="D245" s="814">
        <f t="shared" si="67"/>
        <v>699000</v>
      </c>
      <c r="E245" s="814">
        <f t="shared" ref="E245:F245" si="68">SUM(E237+E240+E244)</f>
        <v>706987</v>
      </c>
      <c r="F245" s="814">
        <f t="shared" si="68"/>
        <v>869375</v>
      </c>
      <c r="G245" s="1071">
        <f t="shared" si="34"/>
        <v>1.2296902206122602</v>
      </c>
    </row>
    <row r="246" spans="1:7" s="126" customFormat="1" ht="13.5" thickTop="1" x14ac:dyDescent="0.2">
      <c r="A246" s="107">
        <v>1570</v>
      </c>
      <c r="B246" s="108" t="s">
        <v>357</v>
      </c>
      <c r="C246" s="815">
        <f>SUM(C155+C109+C197)</f>
        <v>131554</v>
      </c>
      <c r="D246" s="815">
        <f>SUM(D155+D109+D197)</f>
        <v>4186004</v>
      </c>
      <c r="E246" s="815">
        <f>SUM(E155+E109+E197)</f>
        <v>4186004</v>
      </c>
      <c r="F246" s="815">
        <f>SUM(F155+F109+F197)</f>
        <v>4186004</v>
      </c>
      <c r="G246" s="1068">
        <f t="shared" si="34"/>
        <v>1</v>
      </c>
    </row>
    <row r="247" spans="1:7" s="126" customFormat="1" ht="12.75" x14ac:dyDescent="0.2">
      <c r="A247" s="106">
        <v>1571</v>
      </c>
      <c r="B247" s="104" t="s">
        <v>385</v>
      </c>
      <c r="C247" s="106">
        <f>SUM(C198+C156)</f>
        <v>11090999</v>
      </c>
      <c r="D247" s="106">
        <f>SUM(D198+D156)</f>
        <v>12386484</v>
      </c>
      <c r="E247" s="106">
        <f>SUM(E198+E156)</f>
        <v>12476121</v>
      </c>
      <c r="F247" s="106">
        <f>SUM(F198+F156)</f>
        <v>12615766</v>
      </c>
      <c r="G247" s="880">
        <f t="shared" si="34"/>
        <v>1.0111929821777137</v>
      </c>
    </row>
    <row r="248" spans="1:7" s="126" customFormat="1" ht="12.75" x14ac:dyDescent="0.2">
      <c r="A248" s="106">
        <v>1572</v>
      </c>
      <c r="B248" s="104" t="s">
        <v>446</v>
      </c>
      <c r="C248" s="106">
        <f>SUM(C111)</f>
        <v>0</v>
      </c>
      <c r="D248" s="106">
        <f>SUM(D111)</f>
        <v>294647</v>
      </c>
      <c r="E248" s="106">
        <f>SUM(E111)</f>
        <v>898064</v>
      </c>
      <c r="F248" s="106">
        <f>SUM(F111)</f>
        <v>1053866</v>
      </c>
      <c r="G248" s="880">
        <f t="shared" si="34"/>
        <v>1.173486522118691</v>
      </c>
    </row>
    <row r="249" spans="1:7" s="126" customFormat="1" ht="13.5" thickBot="1" x14ac:dyDescent="0.25">
      <c r="A249" s="122">
        <v>1573</v>
      </c>
      <c r="B249" s="110" t="s">
        <v>370</v>
      </c>
      <c r="C249" s="122">
        <f>SUM(C196)</f>
        <v>0</v>
      </c>
      <c r="D249" s="122">
        <f>SUM(D196)</f>
        <v>0</v>
      </c>
      <c r="E249" s="332">
        <f>SUM(E196)</f>
        <v>0</v>
      </c>
      <c r="F249" s="332">
        <f>SUM(F196)</f>
        <v>0</v>
      </c>
      <c r="G249" s="882"/>
    </row>
    <row r="250" spans="1:7" s="126" customFormat="1" ht="15" thickBot="1" x14ac:dyDescent="0.25">
      <c r="A250" s="114"/>
      <c r="B250" s="191" t="s">
        <v>43</v>
      </c>
      <c r="C250" s="811">
        <f>SUM(C246:C249)</f>
        <v>11222553</v>
      </c>
      <c r="D250" s="811">
        <f>SUM(D246:D249)</f>
        <v>16867135</v>
      </c>
      <c r="E250" s="811">
        <f>SUM(E246:E249)</f>
        <v>17560189</v>
      </c>
      <c r="F250" s="811">
        <f>SUM(F246:F249)</f>
        <v>17855636</v>
      </c>
      <c r="G250" s="884">
        <f t="shared" si="34"/>
        <v>1.0168248189128259</v>
      </c>
    </row>
    <row r="251" spans="1:7" s="126" customFormat="1" ht="12" customHeight="1" thickBot="1" x14ac:dyDescent="0.25">
      <c r="A251" s="106">
        <v>1581</v>
      </c>
      <c r="B251" s="104" t="s">
        <v>357</v>
      </c>
      <c r="C251" s="816">
        <f>SUM(C114+C159+C202)</f>
        <v>5413446</v>
      </c>
      <c r="D251" s="816">
        <f>SUM(D114+D159+D202)</f>
        <v>7303191</v>
      </c>
      <c r="E251" s="816">
        <f>SUM(E114+E159+E202)</f>
        <v>7303191</v>
      </c>
      <c r="F251" s="816">
        <f>SUM(F114+F159+F202)</f>
        <v>7303191</v>
      </c>
      <c r="G251" s="1069">
        <f t="shared" si="34"/>
        <v>1</v>
      </c>
    </row>
    <row r="252" spans="1:7" s="126" customFormat="1" ht="13.5" thickBot="1" x14ac:dyDescent="0.25">
      <c r="A252" s="114"/>
      <c r="B252" s="137" t="s">
        <v>202</v>
      </c>
      <c r="C252" s="811">
        <f t="shared" ref="C252:D252" si="69">SUM(C251:C251)</f>
        <v>5413446</v>
      </c>
      <c r="D252" s="811">
        <f t="shared" si="69"/>
        <v>7303191</v>
      </c>
      <c r="E252" s="811">
        <f t="shared" ref="E252:F252" si="70">SUM(E251:E251)</f>
        <v>7303191</v>
      </c>
      <c r="F252" s="811">
        <f t="shared" si="70"/>
        <v>7303191</v>
      </c>
      <c r="G252" s="884">
        <f t="shared" si="34"/>
        <v>1</v>
      </c>
    </row>
    <row r="253" spans="1:7" s="126" customFormat="1" ht="18.75" customHeight="1" thickBot="1" x14ac:dyDescent="0.25">
      <c r="A253" s="114"/>
      <c r="B253" s="142" t="s">
        <v>1085</v>
      </c>
      <c r="C253" s="817">
        <f>SUM(C231+C245+C251+C246+C249+C248)</f>
        <v>29221592</v>
      </c>
      <c r="D253" s="817">
        <f>SUM(D231+D245+D251+D246+D249+D248)</f>
        <v>38523313</v>
      </c>
      <c r="E253" s="817">
        <f>SUM(E231+E245+E251+E246+E249+E248)</f>
        <v>39320543</v>
      </c>
      <c r="F253" s="817">
        <f>SUM(F231+F245+F251+F246+F249+F248)</f>
        <v>39826007</v>
      </c>
      <c r="G253" s="884">
        <f t="shared" si="34"/>
        <v>1.0128549598107026</v>
      </c>
    </row>
  </sheetData>
  <mergeCells count="9">
    <mergeCell ref="A2:G2"/>
    <mergeCell ref="A1:G1"/>
    <mergeCell ref="G5:G6"/>
    <mergeCell ref="B5:B6"/>
    <mergeCell ref="A5:A6"/>
    <mergeCell ref="C5:C6"/>
    <mergeCell ref="D5:D6"/>
    <mergeCell ref="E5:E6"/>
    <mergeCell ref="F5:F6"/>
  </mergeCells>
  <phoneticPr fontId="1" type="noConversion"/>
  <printOptions horizontalCentered="1"/>
  <pageMargins left="1.1811023622047245" right="0" top="0.39370078740157483" bottom="0.39370078740157483" header="0" footer="0"/>
  <pageSetup paperSize="9" scale="79" firstPageNumber="2" fitToWidth="0" orientation="landscape" useFirstPageNumber="1" horizontalDpi="300" verticalDpi="300" r:id="rId1"/>
  <headerFooter alignWithMargins="0">
    <oddFooter>&amp;C&amp;P. oldal</oddFooter>
  </headerFooter>
  <rowBreaks count="5" manualBreakCount="5">
    <brk id="51" max="16383" man="1"/>
    <brk id="101" max="16383" man="1"/>
    <brk id="149" max="6" man="1"/>
    <brk id="194" max="6" man="1"/>
    <brk id="231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54"/>
  <sheetViews>
    <sheetView topLeftCell="A118" workbookViewId="0">
      <selection activeCell="F77" sqref="F77"/>
    </sheetView>
  </sheetViews>
  <sheetFormatPr defaultColWidth="9.140625" defaultRowHeight="12" x14ac:dyDescent="0.2"/>
  <cols>
    <col min="1" max="1" width="8" style="16" customWidth="1"/>
    <col min="2" max="2" width="71.5703125" style="16" customWidth="1"/>
    <col min="3" max="6" width="13.5703125" style="16" customWidth="1"/>
    <col min="7" max="7" width="10.85546875" style="16" customWidth="1"/>
    <col min="8" max="8" width="9.85546875" style="16" bestFit="1" customWidth="1"/>
    <col min="9" max="9" width="11.140625" style="16" customWidth="1"/>
    <col min="10" max="16384" width="9.140625" style="16"/>
  </cols>
  <sheetData>
    <row r="1" spans="1:7" ht="12.75" x14ac:dyDescent="0.2">
      <c r="A1" s="1159" t="s">
        <v>230</v>
      </c>
      <c r="B1" s="1159"/>
      <c r="C1" s="1148"/>
      <c r="D1" s="1148"/>
      <c r="E1" s="1148"/>
      <c r="F1" s="1148"/>
      <c r="G1" s="1148"/>
    </row>
    <row r="2" spans="1:7" ht="12.75" x14ac:dyDescent="0.2">
      <c r="A2" s="1159" t="s">
        <v>1178</v>
      </c>
      <c r="B2" s="1159"/>
      <c r="C2" s="1148"/>
      <c r="D2" s="1148"/>
      <c r="E2" s="1148"/>
      <c r="F2" s="1148"/>
      <c r="G2" s="1148"/>
    </row>
    <row r="3" spans="1:7" ht="9" customHeight="1" x14ac:dyDescent="0.2">
      <c r="A3" s="72"/>
      <c r="B3" s="72"/>
    </row>
    <row r="4" spans="1:7" ht="12" customHeight="1" x14ac:dyDescent="0.2">
      <c r="A4" s="62"/>
      <c r="B4" s="61"/>
      <c r="C4" s="59"/>
      <c r="D4" s="59"/>
      <c r="E4" s="59"/>
      <c r="F4" s="59"/>
      <c r="G4" s="59" t="s">
        <v>146</v>
      </c>
    </row>
    <row r="5" spans="1:7" ht="12" customHeight="1" x14ac:dyDescent="0.2">
      <c r="A5" s="65"/>
      <c r="B5" s="17"/>
      <c r="C5" s="1140" t="s">
        <v>1252</v>
      </c>
      <c r="D5" s="1140" t="s">
        <v>1337</v>
      </c>
      <c r="E5" s="1140" t="s">
        <v>1355</v>
      </c>
      <c r="F5" s="1140" t="s">
        <v>1357</v>
      </c>
      <c r="G5" s="1156" t="s">
        <v>1358</v>
      </c>
    </row>
    <row r="6" spans="1:7" ht="12" customHeight="1" x14ac:dyDescent="0.2">
      <c r="A6" s="1" t="s">
        <v>152</v>
      </c>
      <c r="B6" s="1" t="s">
        <v>130</v>
      </c>
      <c r="C6" s="1160"/>
      <c r="D6" s="1160"/>
      <c r="E6" s="1160"/>
      <c r="F6" s="1162"/>
      <c r="G6" s="1157"/>
    </row>
    <row r="7" spans="1:7" ht="12.75" customHeight="1" thickBot="1" x14ac:dyDescent="0.25">
      <c r="A7" s="18"/>
      <c r="B7" s="18"/>
      <c r="C7" s="1161"/>
      <c r="D7" s="1161"/>
      <c r="E7" s="1161"/>
      <c r="F7" s="1163"/>
      <c r="G7" s="1158"/>
    </row>
    <row r="8" spans="1:7" ht="12" customHeight="1" x14ac:dyDescent="0.2">
      <c r="A8" s="2" t="s">
        <v>131</v>
      </c>
      <c r="B8" s="3" t="s">
        <v>132</v>
      </c>
      <c r="C8" s="13" t="s">
        <v>133</v>
      </c>
      <c r="D8" s="13" t="s">
        <v>454</v>
      </c>
      <c r="E8" s="13" t="s">
        <v>455</v>
      </c>
      <c r="F8" s="13" t="s">
        <v>469</v>
      </c>
      <c r="G8" s="13" t="s">
        <v>520</v>
      </c>
    </row>
    <row r="9" spans="1:7" ht="15" customHeight="1" x14ac:dyDescent="0.2">
      <c r="A9" s="2"/>
      <c r="B9" s="82" t="s">
        <v>231</v>
      </c>
      <c r="C9" s="6"/>
      <c r="D9" s="6"/>
      <c r="E9" s="6"/>
      <c r="F9" s="6"/>
      <c r="G9" s="5"/>
    </row>
    <row r="10" spans="1:7" x14ac:dyDescent="0.2">
      <c r="A10" s="2"/>
      <c r="B10" s="70"/>
      <c r="C10" s="6"/>
      <c r="D10" s="6"/>
      <c r="E10" s="6"/>
      <c r="F10" s="6"/>
      <c r="G10" s="5"/>
    </row>
    <row r="11" spans="1:7" x14ac:dyDescent="0.2">
      <c r="A11" s="4">
        <v>1710</v>
      </c>
      <c r="B11" s="4" t="s">
        <v>269</v>
      </c>
      <c r="C11" s="353">
        <f>SUM(C12:C19)</f>
        <v>3549198</v>
      </c>
      <c r="D11" s="353">
        <f>SUM(D12:D19)</f>
        <v>3979157</v>
      </c>
      <c r="E11" s="353">
        <f>SUM(E12:E19)</f>
        <v>3979157</v>
      </c>
      <c r="F11" s="353">
        <f>SUM(F12:F19)</f>
        <v>3988868</v>
      </c>
      <c r="G11" s="145">
        <f>SUM(F11/E11)</f>
        <v>1.0024404666616573</v>
      </c>
    </row>
    <row r="12" spans="1:7" x14ac:dyDescent="0.2">
      <c r="A12" s="6">
        <v>1711</v>
      </c>
      <c r="B12" s="6" t="s">
        <v>232</v>
      </c>
      <c r="C12" s="6">
        <f>SUM('3a.m.'!C52)</f>
        <v>2495119</v>
      </c>
      <c r="D12" s="6">
        <f>SUM('3a.m.'!D52)</f>
        <v>2621827</v>
      </c>
      <c r="E12" s="6">
        <f>SUM('3a.m.'!E52)</f>
        <v>2621827</v>
      </c>
      <c r="F12" s="6">
        <f>SUM('3a.m.'!F52)</f>
        <v>2627779</v>
      </c>
      <c r="G12" s="1053">
        <f t="shared" ref="G12:G75" si="0">SUM(F12/E12)</f>
        <v>1.002270172669669</v>
      </c>
    </row>
    <row r="13" spans="1:7" x14ac:dyDescent="0.2">
      <c r="A13" s="6">
        <v>1712</v>
      </c>
      <c r="B13" s="6" t="s">
        <v>85</v>
      </c>
      <c r="C13" s="6">
        <f>SUM('3a.m.'!C53)</f>
        <v>378079</v>
      </c>
      <c r="D13" s="6">
        <f>SUM('3a.m.'!D53)</f>
        <v>412169</v>
      </c>
      <c r="E13" s="6">
        <f>SUM('3a.m.'!E53)</f>
        <v>412169</v>
      </c>
      <c r="F13" s="6">
        <f>SUM('3a.m.'!F53)</f>
        <v>413914</v>
      </c>
      <c r="G13" s="1053">
        <f t="shared" si="0"/>
        <v>1.004233700254022</v>
      </c>
    </row>
    <row r="14" spans="1:7" x14ac:dyDescent="0.2">
      <c r="A14" s="6">
        <v>1713</v>
      </c>
      <c r="B14" s="6" t="s">
        <v>86</v>
      </c>
      <c r="C14" s="6">
        <f>SUM('3a.m.'!C54)</f>
        <v>637000</v>
      </c>
      <c r="D14" s="6">
        <f>SUM('3a.m.'!D54)</f>
        <v>795523</v>
      </c>
      <c r="E14" s="6">
        <f>SUM('3a.m.'!E54)</f>
        <v>795523</v>
      </c>
      <c r="F14" s="6">
        <f>SUM('3a.m.'!F54)</f>
        <v>797537</v>
      </c>
      <c r="G14" s="1053">
        <f t="shared" si="0"/>
        <v>1.0025316678461842</v>
      </c>
    </row>
    <row r="15" spans="1:7" x14ac:dyDescent="0.2">
      <c r="A15" s="6">
        <v>1714</v>
      </c>
      <c r="B15" s="6" t="s">
        <v>96</v>
      </c>
      <c r="C15" s="6">
        <f>SUM('3a.m.'!C55)</f>
        <v>0</v>
      </c>
      <c r="D15" s="6">
        <f>SUM('3a.m.'!D55)</f>
        <v>0</v>
      </c>
      <c r="E15" s="6">
        <f>SUM('3a.m.'!E55)</f>
        <v>0</v>
      </c>
      <c r="F15" s="6">
        <f>SUM('3a.m.'!F55)</f>
        <v>0</v>
      </c>
      <c r="G15" s="1053"/>
    </row>
    <row r="16" spans="1:7" x14ac:dyDescent="0.2">
      <c r="A16" s="6">
        <v>1715</v>
      </c>
      <c r="B16" s="5" t="s">
        <v>245</v>
      </c>
      <c r="C16" s="6">
        <f>'3a.m.'!C56</f>
        <v>0</v>
      </c>
      <c r="D16" s="6">
        <f>'3a.m.'!D56</f>
        <v>0</v>
      </c>
      <c r="E16" s="6">
        <f>'3a.m.'!E56</f>
        <v>0</v>
      </c>
      <c r="F16" s="6">
        <f>'3a.m.'!F56</f>
        <v>0</v>
      </c>
      <c r="G16" s="1053"/>
    </row>
    <row r="17" spans="1:7" x14ac:dyDescent="0.2">
      <c r="A17" s="6">
        <v>1716</v>
      </c>
      <c r="B17" s="34" t="s">
        <v>207</v>
      </c>
      <c r="C17" s="6">
        <f>SUM('3a.m.'!C60)</f>
        <v>35000</v>
      </c>
      <c r="D17" s="6">
        <f>SUM('3a.m.'!D60)</f>
        <v>143733</v>
      </c>
      <c r="E17" s="6">
        <f>SUM('3a.m.'!E60)</f>
        <v>143733</v>
      </c>
      <c r="F17" s="6">
        <f>SUM('3a.m.'!F60)</f>
        <v>143733</v>
      </c>
      <c r="G17" s="1053">
        <f t="shared" si="0"/>
        <v>1</v>
      </c>
    </row>
    <row r="18" spans="1:7" x14ac:dyDescent="0.2">
      <c r="A18" s="6">
        <v>1717</v>
      </c>
      <c r="B18" s="35" t="s">
        <v>208</v>
      </c>
      <c r="C18" s="6">
        <f>SUM('3a.m.'!C59)</f>
        <v>0</v>
      </c>
      <c r="D18" s="6">
        <f>SUM('3a.m.'!D59)</f>
        <v>1905</v>
      </c>
      <c r="E18" s="6">
        <f>SUM('3a.m.'!E59)</f>
        <v>1905</v>
      </c>
      <c r="F18" s="6">
        <f>SUM('3a.m.'!F59)</f>
        <v>1905</v>
      </c>
      <c r="G18" s="1053">
        <f t="shared" si="0"/>
        <v>1</v>
      </c>
    </row>
    <row r="19" spans="1:7" x14ac:dyDescent="0.2">
      <c r="A19" s="6">
        <v>1718</v>
      </c>
      <c r="B19" s="35" t="s">
        <v>364</v>
      </c>
      <c r="C19" s="6">
        <f>SUM('3a.m.'!C61)</f>
        <v>4000</v>
      </c>
      <c r="D19" s="6">
        <f>SUM('3a.m.'!D61)</f>
        <v>4000</v>
      </c>
      <c r="E19" s="6">
        <f>SUM('3a.m.'!E61)</f>
        <v>4000</v>
      </c>
      <c r="F19" s="6">
        <f>SUM('3a.m.'!F61)</f>
        <v>4000</v>
      </c>
      <c r="G19" s="1053">
        <f t="shared" si="0"/>
        <v>1</v>
      </c>
    </row>
    <row r="20" spans="1:7" x14ac:dyDescent="0.2">
      <c r="A20" s="6"/>
      <c r="B20" s="6"/>
      <c r="C20" s="6"/>
      <c r="D20" s="6"/>
      <c r="E20" s="6"/>
      <c r="F20" s="6"/>
      <c r="G20" s="145"/>
    </row>
    <row r="21" spans="1:7" ht="12.75" x14ac:dyDescent="0.2">
      <c r="A21" s="6"/>
      <c r="B21" s="83" t="s">
        <v>1081</v>
      </c>
      <c r="C21" s="6"/>
      <c r="D21" s="6"/>
      <c r="E21" s="6"/>
      <c r="F21" s="6"/>
      <c r="G21" s="145"/>
    </row>
    <row r="22" spans="1:7" ht="7.5" customHeight="1" x14ac:dyDescent="0.2">
      <c r="A22" s="2"/>
      <c r="B22" s="70"/>
      <c r="C22" s="6"/>
      <c r="D22" s="6"/>
      <c r="E22" s="6"/>
      <c r="F22" s="6"/>
      <c r="G22" s="145"/>
    </row>
    <row r="23" spans="1:7" x14ac:dyDescent="0.2">
      <c r="A23" s="7">
        <v>1750</v>
      </c>
      <c r="B23" s="7" t="s">
        <v>31</v>
      </c>
      <c r="C23" s="394">
        <f>SUM(C24:C32)</f>
        <v>6649808</v>
      </c>
      <c r="D23" s="394">
        <f>SUM(D24:D32)</f>
        <v>8793464</v>
      </c>
      <c r="E23" s="394">
        <f>SUM(E24:E32)</f>
        <v>8842137</v>
      </c>
      <c r="F23" s="394">
        <f>SUM(F24:F32)</f>
        <v>8853557</v>
      </c>
      <c r="G23" s="145">
        <f t="shared" si="0"/>
        <v>1.0012915429833309</v>
      </c>
    </row>
    <row r="24" spans="1:7" x14ac:dyDescent="0.2">
      <c r="A24" s="6">
        <v>1751</v>
      </c>
      <c r="B24" s="6" t="s">
        <v>232</v>
      </c>
      <c r="C24" s="6">
        <f>SUM('3c.m.'!C867)</f>
        <v>316609</v>
      </c>
      <c r="D24" s="6">
        <f>SUM('3c.m.'!D867)</f>
        <v>343507</v>
      </c>
      <c r="E24" s="6">
        <f>SUM('3c.m.'!E867)</f>
        <v>371313</v>
      </c>
      <c r="F24" s="6">
        <f>SUM('3c.m.'!F867)</f>
        <v>355096</v>
      </c>
      <c r="G24" s="1053">
        <f t="shared" si="0"/>
        <v>0.95632525658945422</v>
      </c>
    </row>
    <row r="25" spans="1:7" x14ac:dyDescent="0.2">
      <c r="A25" s="6">
        <v>1752</v>
      </c>
      <c r="B25" s="6" t="s">
        <v>85</v>
      </c>
      <c r="C25" s="6">
        <f>SUM('3c.m.'!C868)</f>
        <v>40163</v>
      </c>
      <c r="D25" s="6">
        <f>SUM('3c.m.'!D868)</f>
        <v>47035</v>
      </c>
      <c r="E25" s="6">
        <f>SUM('3c.m.'!E868)</f>
        <v>53512</v>
      </c>
      <c r="F25" s="6">
        <f>SUM('3c.m.'!F868)</f>
        <v>50371</v>
      </c>
      <c r="G25" s="1053">
        <f t="shared" si="0"/>
        <v>0.94130288533413065</v>
      </c>
    </row>
    <row r="26" spans="1:7" x14ac:dyDescent="0.2">
      <c r="A26" s="6">
        <v>1753</v>
      </c>
      <c r="B26" s="6" t="s">
        <v>86</v>
      </c>
      <c r="C26" s="6">
        <f>SUM('3c.m.'!C869)</f>
        <v>4871236</v>
      </c>
      <c r="D26" s="6">
        <f>SUM('3c.m.'!D869)</f>
        <v>5173450</v>
      </c>
      <c r="E26" s="6">
        <f>SUM('3c.m.'!E869)</f>
        <v>5212535</v>
      </c>
      <c r="F26" s="6">
        <f>SUM('3c.m.'!F869)</f>
        <v>5222776</v>
      </c>
      <c r="G26" s="1053">
        <f t="shared" si="0"/>
        <v>1.0019646870476648</v>
      </c>
    </row>
    <row r="27" spans="1:7" x14ac:dyDescent="0.2">
      <c r="A27" s="6">
        <v>1754</v>
      </c>
      <c r="B27" s="6" t="s">
        <v>96</v>
      </c>
      <c r="C27" s="6">
        <f>SUM('3c.m.'!C870)</f>
        <v>184000</v>
      </c>
      <c r="D27" s="6">
        <f>SUM('3c.m.'!D870)</f>
        <v>191513</v>
      </c>
      <c r="E27" s="6">
        <f>SUM('3c.m.'!E870)</f>
        <v>183013</v>
      </c>
      <c r="F27" s="6">
        <f>SUM('3c.m.'!F870)</f>
        <v>183013</v>
      </c>
      <c r="G27" s="1053">
        <f t="shared" si="0"/>
        <v>1</v>
      </c>
    </row>
    <row r="28" spans="1:7" x14ac:dyDescent="0.2">
      <c r="A28" s="6">
        <v>1755</v>
      </c>
      <c r="B28" s="6" t="s">
        <v>245</v>
      </c>
      <c r="C28" s="6">
        <f>SUM('3c.m.'!C871)</f>
        <v>55700</v>
      </c>
      <c r="D28" s="6">
        <f>SUM('3c.m.'!D871)</f>
        <v>94363</v>
      </c>
      <c r="E28" s="6">
        <f>SUM('3c.m.'!E871)</f>
        <v>80013</v>
      </c>
      <c r="F28" s="6">
        <f>SUM('3c.m.'!F871)</f>
        <v>104913</v>
      </c>
      <c r="G28" s="1053">
        <f t="shared" si="0"/>
        <v>1.31119943009261</v>
      </c>
    </row>
    <row r="29" spans="1:7" x14ac:dyDescent="0.2">
      <c r="A29" s="6">
        <v>1756</v>
      </c>
      <c r="B29" s="6" t="s">
        <v>207</v>
      </c>
      <c r="C29" s="6">
        <f>SUM('3c.m.'!C874)</f>
        <v>18000</v>
      </c>
      <c r="D29" s="6">
        <f>SUM('3c.m.'!D874)</f>
        <v>55271</v>
      </c>
      <c r="E29" s="6">
        <f>SUM('3c.m.'!E874)</f>
        <v>55371</v>
      </c>
      <c r="F29" s="6">
        <f>SUM('3c.m.'!F874)</f>
        <v>64720</v>
      </c>
      <c r="G29" s="1053">
        <f t="shared" si="0"/>
        <v>1.168842896100847</v>
      </c>
    </row>
    <row r="30" spans="1:7" x14ac:dyDescent="0.2">
      <c r="A30" s="5">
        <v>1757</v>
      </c>
      <c r="B30" s="5" t="s">
        <v>208</v>
      </c>
      <c r="C30" s="6">
        <f>SUM('3c.m.'!C875)</f>
        <v>0</v>
      </c>
      <c r="D30" s="6">
        <f>SUM('3c.m.'!D875)</f>
        <v>0</v>
      </c>
      <c r="E30" s="6">
        <f>SUM('3c.m.'!E875)</f>
        <v>0</v>
      </c>
      <c r="F30" s="6">
        <f>SUM('3c.m.'!F875)</f>
        <v>0</v>
      </c>
      <c r="G30" s="1053"/>
    </row>
    <row r="31" spans="1:7" x14ac:dyDescent="0.2">
      <c r="A31" s="6">
        <v>1758</v>
      </c>
      <c r="B31" s="6" t="s">
        <v>365</v>
      </c>
      <c r="C31" s="6">
        <f>SUM('3c.m.'!C876)</f>
        <v>1164100</v>
      </c>
      <c r="D31" s="6">
        <f>SUM('3c.m.'!D876)</f>
        <v>2888325</v>
      </c>
      <c r="E31" s="6">
        <f>SUM('3c.m.'!E876)</f>
        <v>2886380</v>
      </c>
      <c r="F31" s="6">
        <f>SUM('3c.m.'!F876)</f>
        <v>2872668</v>
      </c>
      <c r="G31" s="1053">
        <f t="shared" si="0"/>
        <v>0.99524941275923473</v>
      </c>
    </row>
    <row r="32" spans="1:7" x14ac:dyDescent="0.2">
      <c r="A32" s="6"/>
      <c r="B32" s="6"/>
      <c r="C32" s="6"/>
      <c r="D32" s="6"/>
      <c r="E32" s="6"/>
      <c r="F32" s="6"/>
      <c r="G32" s="145"/>
    </row>
    <row r="33" spans="1:7" x14ac:dyDescent="0.2">
      <c r="A33" s="4">
        <v>1760</v>
      </c>
      <c r="B33" s="4" t="s">
        <v>272</v>
      </c>
      <c r="C33" s="353">
        <f t="shared" ref="C33:D33" si="1">SUM(C34:C40)</f>
        <v>1470867</v>
      </c>
      <c r="D33" s="353">
        <f t="shared" si="1"/>
        <v>1992077</v>
      </c>
      <c r="E33" s="353">
        <f t="shared" ref="E33:F33" si="2">SUM(E34:E40)</f>
        <v>2009304</v>
      </c>
      <c r="F33" s="353">
        <f t="shared" si="2"/>
        <v>2041754</v>
      </c>
      <c r="G33" s="145">
        <f t="shared" si="0"/>
        <v>1.0161498708010337</v>
      </c>
    </row>
    <row r="34" spans="1:7" x14ac:dyDescent="0.2">
      <c r="A34" s="6">
        <v>1761</v>
      </c>
      <c r="B34" s="6" t="s">
        <v>232</v>
      </c>
      <c r="C34" s="5">
        <f>SUM('3d.m.'!C65)</f>
        <v>4513</v>
      </c>
      <c r="D34" s="5">
        <f>SUM('3d.m.'!D65)</f>
        <v>5189</v>
      </c>
      <c r="E34" s="5">
        <f>SUM('3d.m.'!E65)</f>
        <v>5189</v>
      </c>
      <c r="F34" s="5">
        <f>SUM('3d.m.'!F65)</f>
        <v>5186</v>
      </c>
      <c r="G34" s="1053">
        <f t="shared" si="0"/>
        <v>0.99942185392175753</v>
      </c>
    </row>
    <row r="35" spans="1:7" x14ac:dyDescent="0.2">
      <c r="A35" s="5">
        <v>1762</v>
      </c>
      <c r="B35" s="5" t="s">
        <v>85</v>
      </c>
      <c r="C35" s="5">
        <f>SUM('3d.m.'!C66)</f>
        <v>587</v>
      </c>
      <c r="D35" s="5">
        <f>SUM('3d.m.'!D66)</f>
        <v>740</v>
      </c>
      <c r="E35" s="5">
        <f>SUM('3d.m.'!E66)</f>
        <v>740</v>
      </c>
      <c r="F35" s="5">
        <f>SUM('3d.m.'!F66)</f>
        <v>740</v>
      </c>
      <c r="G35" s="1053">
        <f t="shared" si="0"/>
        <v>1</v>
      </c>
    </row>
    <row r="36" spans="1:7" x14ac:dyDescent="0.2">
      <c r="A36" s="6">
        <v>1763</v>
      </c>
      <c r="B36" s="6" t="s">
        <v>86</v>
      </c>
      <c r="C36" s="5">
        <f>SUM('3d.m.'!C67)</f>
        <v>12500</v>
      </c>
      <c r="D36" s="5">
        <f>SUM('3d.m.'!D67)</f>
        <v>14565</v>
      </c>
      <c r="E36" s="5">
        <f>SUM('3d.m.'!E67)</f>
        <v>14615</v>
      </c>
      <c r="F36" s="5">
        <f>SUM('3d.m.'!F67)</f>
        <v>14618</v>
      </c>
      <c r="G36" s="1053">
        <f t="shared" si="0"/>
        <v>1.0002052685596989</v>
      </c>
    </row>
    <row r="37" spans="1:7" x14ac:dyDescent="0.2">
      <c r="A37" s="6">
        <v>1764</v>
      </c>
      <c r="B37" s="6" t="s">
        <v>245</v>
      </c>
      <c r="C37" s="5">
        <f>SUM('3d.m.'!C68)</f>
        <v>1237474</v>
      </c>
      <c r="D37" s="5">
        <f>SUM('3d.m.'!D68)</f>
        <v>1554775</v>
      </c>
      <c r="E37" s="5">
        <f>SUM('3d.m.'!E68)</f>
        <v>1554225</v>
      </c>
      <c r="F37" s="5">
        <f>SUM('3d.m.'!F68)</f>
        <v>1584675</v>
      </c>
      <c r="G37" s="1053">
        <f t="shared" si="0"/>
        <v>1.0195917579501037</v>
      </c>
    </row>
    <row r="38" spans="1:7" x14ac:dyDescent="0.2">
      <c r="A38" s="6">
        <v>1765</v>
      </c>
      <c r="B38" s="6" t="s">
        <v>329</v>
      </c>
      <c r="C38" s="5">
        <f>SUM('3d.m.'!C71)</f>
        <v>8500</v>
      </c>
      <c r="D38" s="5">
        <f>SUM('3d.m.'!D71)</f>
        <v>8500</v>
      </c>
      <c r="E38" s="5">
        <f>SUM('3d.m.'!E71)</f>
        <v>8500</v>
      </c>
      <c r="F38" s="5">
        <f>SUM('3d.m.'!F71)</f>
        <v>8000</v>
      </c>
      <c r="G38" s="1053">
        <f t="shared" si="0"/>
        <v>0.94117647058823528</v>
      </c>
    </row>
    <row r="39" spans="1:7" x14ac:dyDescent="0.2">
      <c r="A39" s="6">
        <v>1766</v>
      </c>
      <c r="B39" s="6" t="s">
        <v>274</v>
      </c>
      <c r="C39" s="5">
        <f>SUM('3d.m.'!C72)</f>
        <v>207293</v>
      </c>
      <c r="D39" s="5">
        <f>SUM('3d.m.'!D72)</f>
        <v>408308</v>
      </c>
      <c r="E39" s="5">
        <f>SUM('3d.m.'!E72)</f>
        <v>426035</v>
      </c>
      <c r="F39" s="5">
        <f>SUM('3d.m.'!F72)</f>
        <v>428535</v>
      </c>
      <c r="G39" s="1053">
        <f t="shared" si="0"/>
        <v>1.0058680624831293</v>
      </c>
    </row>
    <row r="40" spans="1:7" x14ac:dyDescent="0.2">
      <c r="A40" s="6"/>
      <c r="B40" s="6"/>
      <c r="C40" s="5"/>
      <c r="D40" s="5"/>
      <c r="E40" s="5"/>
      <c r="F40" s="5"/>
      <c r="G40" s="1053"/>
    </row>
    <row r="41" spans="1:7" x14ac:dyDescent="0.2">
      <c r="A41" s="4">
        <v>1770</v>
      </c>
      <c r="B41" s="19" t="s">
        <v>264</v>
      </c>
      <c r="C41" s="353">
        <f t="shared" ref="C41:D41" si="3">SUM(C42:C48)</f>
        <v>4692488</v>
      </c>
      <c r="D41" s="353">
        <f t="shared" si="3"/>
        <v>6867653</v>
      </c>
      <c r="E41" s="353">
        <f t="shared" ref="E41:F41" si="4">SUM(E42:E48)</f>
        <v>6705195</v>
      </c>
      <c r="F41" s="353">
        <f t="shared" si="4"/>
        <v>6611289</v>
      </c>
      <c r="G41" s="145">
        <f t="shared" si="0"/>
        <v>0.98599503817562351</v>
      </c>
    </row>
    <row r="42" spans="1:7" x14ac:dyDescent="0.2">
      <c r="A42" s="55">
        <v>1771</v>
      </c>
      <c r="B42" s="6" t="s">
        <v>232</v>
      </c>
      <c r="C42" s="5">
        <f>'4.mell.'!C95</f>
        <v>0</v>
      </c>
      <c r="D42" s="5">
        <f>'4.mell.'!D95</f>
        <v>0</v>
      </c>
      <c r="E42" s="5">
        <f>'4.mell.'!E95</f>
        <v>0</v>
      </c>
      <c r="F42" s="5">
        <f>'4.mell.'!F95</f>
        <v>1050</v>
      </c>
      <c r="G42" s="145"/>
    </row>
    <row r="43" spans="1:7" x14ac:dyDescent="0.2">
      <c r="A43" s="55">
        <v>1772</v>
      </c>
      <c r="B43" s="6" t="s">
        <v>85</v>
      </c>
      <c r="C43" s="5">
        <f>'4.mell.'!C96</f>
        <v>0</v>
      </c>
      <c r="D43" s="5">
        <f>'4.mell.'!D96</f>
        <v>0</v>
      </c>
      <c r="E43" s="5">
        <f>'4.mell.'!E96</f>
        <v>0</v>
      </c>
      <c r="F43" s="5">
        <f>'4.mell.'!F96</f>
        <v>140</v>
      </c>
      <c r="G43" s="145"/>
    </row>
    <row r="44" spans="1:7" x14ac:dyDescent="0.2">
      <c r="A44" s="6">
        <v>1773</v>
      </c>
      <c r="B44" s="6" t="s">
        <v>86</v>
      </c>
      <c r="C44" s="5">
        <f>SUM('4.mell.'!C97)</f>
        <v>0</v>
      </c>
      <c r="D44" s="5">
        <f>SUM('4.mell.'!D97)</f>
        <v>17040</v>
      </c>
      <c r="E44" s="5">
        <f>SUM('4.mell.'!E97)</f>
        <v>76239</v>
      </c>
      <c r="F44" s="5">
        <f>SUM('4.mell.'!F97)</f>
        <v>88139</v>
      </c>
      <c r="G44" s="145">
        <f t="shared" si="0"/>
        <v>1.1560880913967917</v>
      </c>
    </row>
    <row r="45" spans="1:7" x14ac:dyDescent="0.2">
      <c r="A45" s="6">
        <v>1774</v>
      </c>
      <c r="B45" s="6" t="s">
        <v>226</v>
      </c>
      <c r="C45" s="5">
        <f>SUM('4.mell.'!I98)</f>
        <v>0</v>
      </c>
      <c r="D45" s="5">
        <f>SUM('4.mell.'!J98)</f>
        <v>0</v>
      </c>
      <c r="E45" s="5">
        <f>SUM('4.mell.'!K98)</f>
        <v>0</v>
      </c>
      <c r="F45" s="5">
        <f>SUM('4.mell.'!L98)</f>
        <v>0</v>
      </c>
      <c r="G45" s="1053"/>
    </row>
    <row r="46" spans="1:7" x14ac:dyDescent="0.2">
      <c r="A46" s="6">
        <v>1775</v>
      </c>
      <c r="B46" s="6" t="s">
        <v>207</v>
      </c>
      <c r="C46" s="5">
        <f>SUM('4.mell.'!C101)</f>
        <v>1535518</v>
      </c>
      <c r="D46" s="5">
        <f>SUM('4.mell.'!D101)</f>
        <v>1583036</v>
      </c>
      <c r="E46" s="5">
        <f>SUM('4.mell.'!E101)</f>
        <v>1521570</v>
      </c>
      <c r="F46" s="5">
        <f>SUM('4.mell.'!F101)</f>
        <v>1422114</v>
      </c>
      <c r="G46" s="1053">
        <f t="shared" si="0"/>
        <v>0.93463593525108934</v>
      </c>
    </row>
    <row r="47" spans="1:7" x14ac:dyDescent="0.2">
      <c r="A47" s="6">
        <v>1776</v>
      </c>
      <c r="B47" s="6" t="s">
        <v>208</v>
      </c>
      <c r="C47" s="58">
        <f>SUM('4.mell.'!C102)</f>
        <v>3129971</v>
      </c>
      <c r="D47" s="58">
        <f>SUM('4.mell.'!D102)</f>
        <v>5237578</v>
      </c>
      <c r="E47" s="58">
        <f>SUM('4.mell.'!E102)</f>
        <v>5077387</v>
      </c>
      <c r="F47" s="58">
        <f>SUM('4.mell.'!F102)</f>
        <v>5069847</v>
      </c>
      <c r="G47" s="1053">
        <f t="shared" si="0"/>
        <v>0.9985149841837937</v>
      </c>
    </row>
    <row r="48" spans="1:7" x14ac:dyDescent="0.2">
      <c r="A48" s="6">
        <v>1777</v>
      </c>
      <c r="B48" s="6" t="s">
        <v>274</v>
      </c>
      <c r="C48" s="58">
        <f>SUM('4.mell.'!C103)</f>
        <v>26999</v>
      </c>
      <c r="D48" s="58">
        <f>SUM('4.mell.'!D103)</f>
        <v>29999</v>
      </c>
      <c r="E48" s="58">
        <f>SUM('4.mell.'!E103)</f>
        <v>29999</v>
      </c>
      <c r="F48" s="58">
        <f>SUM('4.mell.'!F103)</f>
        <v>29999</v>
      </c>
      <c r="G48" s="1053">
        <f t="shared" si="0"/>
        <v>1</v>
      </c>
    </row>
    <row r="49" spans="1:7" x14ac:dyDescent="0.2">
      <c r="A49" s="6"/>
      <c r="B49" s="6"/>
      <c r="C49" s="6"/>
      <c r="D49" s="6"/>
      <c r="E49" s="6"/>
      <c r="F49" s="6"/>
      <c r="G49" s="145"/>
    </row>
    <row r="50" spans="1:7" x14ac:dyDescent="0.2">
      <c r="A50" s="4">
        <v>1780</v>
      </c>
      <c r="B50" s="4" t="s">
        <v>265</v>
      </c>
      <c r="C50" s="353">
        <f>SUM(C51:C57)</f>
        <v>2024108</v>
      </c>
      <c r="D50" s="353">
        <f>SUM(D51:D57)</f>
        <v>2160633</v>
      </c>
      <c r="E50" s="353">
        <f>SUM(E51:E57)</f>
        <v>2150781</v>
      </c>
      <c r="F50" s="353">
        <f>SUM(F51:F57)</f>
        <v>2227504</v>
      </c>
      <c r="G50" s="145">
        <f t="shared" si="0"/>
        <v>1.0356721581602217</v>
      </c>
    </row>
    <row r="51" spans="1:7" x14ac:dyDescent="0.2">
      <c r="A51" s="55">
        <v>1781</v>
      </c>
      <c r="B51" s="6" t="s">
        <v>232</v>
      </c>
      <c r="C51" s="58">
        <f>SUM('5.mell. '!N63)</f>
        <v>0</v>
      </c>
      <c r="D51" s="58">
        <f>SUM('5.mell. '!O63)</f>
        <v>0</v>
      </c>
      <c r="E51" s="58">
        <f>SUM('5.mell. '!P63)</f>
        <v>0</v>
      </c>
      <c r="F51" s="58">
        <f>SUM('5.mell. '!Q63)</f>
        <v>0</v>
      </c>
      <c r="G51" s="145"/>
    </row>
    <row r="52" spans="1:7" x14ac:dyDescent="0.2">
      <c r="A52" s="55">
        <v>1782</v>
      </c>
      <c r="B52" s="6" t="s">
        <v>85</v>
      </c>
      <c r="C52" s="58">
        <f>SUM('5.mell. '!N64)</f>
        <v>0</v>
      </c>
      <c r="D52" s="58">
        <f>SUM('5.mell. '!O64)</f>
        <v>0</v>
      </c>
      <c r="E52" s="58">
        <f>SUM('5.mell. '!P64)</f>
        <v>0</v>
      </c>
      <c r="F52" s="58">
        <f>SUM('5.mell. '!Q64)</f>
        <v>0</v>
      </c>
      <c r="G52" s="145"/>
    </row>
    <row r="53" spans="1:7" x14ac:dyDescent="0.2">
      <c r="A53" s="6">
        <v>1783</v>
      </c>
      <c r="B53" s="6" t="s">
        <v>86</v>
      </c>
      <c r="C53" s="5">
        <f>SUM('5.mell. '!C65)</f>
        <v>0</v>
      </c>
      <c r="D53" s="5">
        <f>SUM('5.mell. '!D65)</f>
        <v>10707</v>
      </c>
      <c r="E53" s="5">
        <f>SUM('5.mell. '!E65)</f>
        <v>29238</v>
      </c>
      <c r="F53" s="5">
        <f>SUM('5.mell. '!F65)</f>
        <v>29538</v>
      </c>
      <c r="G53" s="145">
        <f t="shared" si="0"/>
        <v>1.0102606197414323</v>
      </c>
    </row>
    <row r="54" spans="1:7" x14ac:dyDescent="0.2">
      <c r="A54" s="6">
        <v>1784</v>
      </c>
      <c r="B54" s="6" t="s">
        <v>226</v>
      </c>
      <c r="C54" s="5">
        <f>SUM('5.mell. '!N66)</f>
        <v>0</v>
      </c>
      <c r="D54" s="5">
        <f>SUM('5.mell. '!O66)</f>
        <v>0</v>
      </c>
      <c r="E54" s="5">
        <f>SUM('5.mell. '!P66)</f>
        <v>0</v>
      </c>
      <c r="F54" s="5">
        <f>SUM('5.mell. '!Q66)</f>
        <v>0</v>
      </c>
      <c r="G54" s="1053"/>
    </row>
    <row r="55" spans="1:7" x14ac:dyDescent="0.2">
      <c r="A55" s="6">
        <v>1785</v>
      </c>
      <c r="B55" s="6" t="s">
        <v>207</v>
      </c>
      <c r="C55" s="5">
        <f>SUM('5.mell. '!C70)</f>
        <v>2024108</v>
      </c>
      <c r="D55" s="5">
        <f>SUM('5.mell. '!D70)</f>
        <v>2149926</v>
      </c>
      <c r="E55" s="5">
        <f>SUM('5.mell. '!E70)</f>
        <v>2111543</v>
      </c>
      <c r="F55" s="5">
        <f>SUM('5.mell. '!F70)</f>
        <v>2167966</v>
      </c>
      <c r="G55" s="1053">
        <f t="shared" si="0"/>
        <v>1.0267212176119549</v>
      </c>
    </row>
    <row r="56" spans="1:7" x14ac:dyDescent="0.2">
      <c r="A56" s="6">
        <v>1786</v>
      </c>
      <c r="B56" s="6" t="s">
        <v>208</v>
      </c>
      <c r="C56" s="364"/>
      <c r="D56" s="364"/>
      <c r="E56" s="364"/>
      <c r="F56" s="364"/>
      <c r="G56" s="1053"/>
    </row>
    <row r="57" spans="1:7" x14ac:dyDescent="0.2">
      <c r="A57" s="5">
        <v>1787</v>
      </c>
      <c r="B57" s="6" t="s">
        <v>274</v>
      </c>
      <c r="C57" s="364"/>
      <c r="D57" s="364"/>
      <c r="E57" s="364">
        <f>'5.mell. '!E71</f>
        <v>10000</v>
      </c>
      <c r="F57" s="364">
        <f>'5.mell. '!F71</f>
        <v>30000</v>
      </c>
      <c r="G57" s="145">
        <f t="shared" si="0"/>
        <v>3</v>
      </c>
    </row>
    <row r="58" spans="1:7" x14ac:dyDescent="0.2">
      <c r="A58" s="5"/>
      <c r="B58" s="6"/>
      <c r="C58" s="358"/>
      <c r="D58" s="358"/>
      <c r="E58" s="358"/>
      <c r="F58" s="358"/>
      <c r="G58" s="145"/>
    </row>
    <row r="59" spans="1:7" ht="0.6" hidden="1" customHeight="1" x14ac:dyDescent="0.2">
      <c r="A59" s="56">
        <v>1790</v>
      </c>
      <c r="B59" s="109" t="s">
        <v>378</v>
      </c>
      <c r="C59" s="352"/>
      <c r="D59" s="352"/>
      <c r="E59" s="352"/>
      <c r="F59" s="352"/>
      <c r="G59" s="145"/>
    </row>
    <row r="60" spans="1:7" hidden="1" x14ac:dyDescent="0.2">
      <c r="A60" s="5">
        <v>1795</v>
      </c>
      <c r="B60" s="5" t="s">
        <v>318</v>
      </c>
      <c r="C60" s="359"/>
      <c r="D60" s="359"/>
      <c r="E60" s="359"/>
      <c r="F60" s="359"/>
      <c r="G60" s="145"/>
    </row>
    <row r="61" spans="1:7" x14ac:dyDescent="0.2">
      <c r="A61" s="5"/>
      <c r="B61" s="52"/>
      <c r="C61" s="358"/>
      <c r="D61" s="358"/>
      <c r="E61" s="358"/>
      <c r="F61" s="358"/>
      <c r="G61" s="145"/>
    </row>
    <row r="62" spans="1:7" s="20" customFormat="1" ht="14.1" customHeight="1" x14ac:dyDescent="0.2">
      <c r="A62" s="4">
        <v>1801</v>
      </c>
      <c r="B62" s="7" t="s">
        <v>451</v>
      </c>
      <c r="C62" s="353">
        <v>25000</v>
      </c>
      <c r="D62" s="353">
        <v>25000</v>
      </c>
      <c r="E62" s="353">
        <f>25000+13000</f>
        <v>38000</v>
      </c>
      <c r="F62" s="353">
        <f>38000+25000</f>
        <v>63000</v>
      </c>
      <c r="G62" s="145">
        <f t="shared" si="0"/>
        <v>1.6578947368421053</v>
      </c>
    </row>
    <row r="63" spans="1:7" s="20" customFormat="1" ht="11.45" customHeight="1" x14ac:dyDescent="0.2">
      <c r="A63" s="4"/>
      <c r="B63" s="7"/>
      <c r="C63" s="353"/>
      <c r="D63" s="353"/>
      <c r="E63" s="353"/>
      <c r="F63" s="353"/>
      <c r="G63" s="145"/>
    </row>
    <row r="64" spans="1:7" s="20" customFormat="1" ht="14.1" customHeight="1" x14ac:dyDescent="0.2">
      <c r="A64" s="4">
        <v>1802</v>
      </c>
      <c r="B64" s="7" t="s">
        <v>336</v>
      </c>
      <c r="C64" s="353">
        <f>7865+3790+8918</f>
        <v>20573</v>
      </c>
      <c r="D64" s="353">
        <f>7865+3790+8918</f>
        <v>20573</v>
      </c>
      <c r="E64" s="353">
        <f>20573+101</f>
        <v>20674</v>
      </c>
      <c r="F64" s="353">
        <f>20573+101</f>
        <v>20674</v>
      </c>
      <c r="G64" s="145">
        <f t="shared" si="0"/>
        <v>1</v>
      </c>
    </row>
    <row r="65" spans="1:7" s="20" customFormat="1" ht="14.1" customHeight="1" x14ac:dyDescent="0.2">
      <c r="A65" s="4"/>
      <c r="B65" s="7"/>
      <c r="C65" s="353"/>
      <c r="D65" s="353"/>
      <c r="E65" s="353"/>
      <c r="F65" s="353"/>
      <c r="G65" s="145"/>
    </row>
    <row r="66" spans="1:7" s="20" customFormat="1" ht="14.1" customHeight="1" x14ac:dyDescent="0.2">
      <c r="A66" s="4">
        <v>1803</v>
      </c>
      <c r="B66" s="7" t="s">
        <v>363</v>
      </c>
      <c r="C66" s="353">
        <v>2270550</v>
      </c>
      <c r="D66" s="353">
        <v>2270550</v>
      </c>
      <c r="E66" s="353">
        <v>2270550</v>
      </c>
      <c r="F66" s="353">
        <v>2270550</v>
      </c>
      <c r="G66" s="145">
        <f t="shared" si="0"/>
        <v>1</v>
      </c>
    </row>
    <row r="67" spans="1:7" s="20" customFormat="1" ht="11.1" customHeight="1" x14ac:dyDescent="0.2">
      <c r="A67" s="4"/>
      <c r="B67" s="7"/>
      <c r="C67" s="353"/>
      <c r="D67" s="353"/>
      <c r="E67" s="353"/>
      <c r="F67" s="353"/>
      <c r="G67" s="145"/>
    </row>
    <row r="68" spans="1:7" s="20" customFormat="1" x14ac:dyDescent="0.2">
      <c r="A68" s="353">
        <v>1804</v>
      </c>
      <c r="B68" s="394" t="s">
        <v>399</v>
      </c>
      <c r="C68" s="353">
        <v>302441</v>
      </c>
      <c r="D68" s="353">
        <v>302441</v>
      </c>
      <c r="E68" s="353">
        <f>302441+174429</f>
        <v>476870</v>
      </c>
      <c r="F68" s="353">
        <f>476870+103406</f>
        <v>580276</v>
      </c>
      <c r="G68" s="145">
        <f t="shared" si="0"/>
        <v>1.2168431648038249</v>
      </c>
    </row>
    <row r="69" spans="1:7" s="20" customFormat="1" x14ac:dyDescent="0.2">
      <c r="A69" s="4"/>
      <c r="B69" s="7"/>
      <c r="C69" s="360"/>
      <c r="D69" s="360"/>
      <c r="E69" s="360"/>
      <c r="F69" s="360"/>
      <c r="G69" s="145"/>
    </row>
    <row r="70" spans="1:7" s="20" customFormat="1" x14ac:dyDescent="0.2">
      <c r="A70" s="4">
        <v>1806</v>
      </c>
      <c r="B70" s="4" t="s">
        <v>314</v>
      </c>
      <c r="C70" s="351">
        <f>C71</f>
        <v>0</v>
      </c>
      <c r="D70" s="351">
        <f>D71</f>
        <v>2614</v>
      </c>
      <c r="E70" s="351">
        <f>E71</f>
        <v>2614</v>
      </c>
      <c r="F70" s="351">
        <f>F71</f>
        <v>2614</v>
      </c>
      <c r="G70" s="145">
        <f t="shared" si="0"/>
        <v>1</v>
      </c>
    </row>
    <row r="71" spans="1:7" s="20" customFormat="1" x14ac:dyDescent="0.2">
      <c r="A71" s="17"/>
      <c r="B71" s="58" t="s">
        <v>315</v>
      </c>
      <c r="C71" s="359"/>
      <c r="D71" s="359">
        <v>2614</v>
      </c>
      <c r="E71" s="359">
        <v>2614</v>
      </c>
      <c r="F71" s="359">
        <v>2614</v>
      </c>
      <c r="G71" s="145">
        <f t="shared" si="0"/>
        <v>1</v>
      </c>
    </row>
    <row r="72" spans="1:7" s="20" customFormat="1" x14ac:dyDescent="0.2">
      <c r="A72" s="17">
        <v>1807</v>
      </c>
      <c r="B72" s="4" t="s">
        <v>314</v>
      </c>
      <c r="C72" s="351">
        <f>C73</f>
        <v>0</v>
      </c>
      <c r="D72" s="351">
        <f>D73</f>
        <v>0</v>
      </c>
      <c r="E72" s="351">
        <f>E73</f>
        <v>0</v>
      </c>
      <c r="F72" s="351">
        <f>F73</f>
        <v>0</v>
      </c>
      <c r="G72" s="145"/>
    </row>
    <row r="73" spans="1:7" s="20" customFormat="1" x14ac:dyDescent="0.2">
      <c r="A73" s="17"/>
      <c r="B73" s="58" t="s">
        <v>1109</v>
      </c>
      <c r="C73" s="359"/>
      <c r="D73" s="359"/>
      <c r="E73" s="359"/>
      <c r="F73" s="359"/>
      <c r="G73" s="145"/>
    </row>
    <row r="74" spans="1:7" s="20" customFormat="1" x14ac:dyDescent="0.2">
      <c r="A74" s="17"/>
      <c r="B74" s="58"/>
      <c r="C74" s="361"/>
      <c r="D74" s="361"/>
      <c r="E74" s="361"/>
      <c r="F74" s="361"/>
      <c r="G74" s="145"/>
    </row>
    <row r="75" spans="1:7" s="20" customFormat="1" x14ac:dyDescent="0.2">
      <c r="A75" s="17">
        <v>1809</v>
      </c>
      <c r="B75" s="56" t="s">
        <v>1342</v>
      </c>
      <c r="C75" s="361"/>
      <c r="D75" s="361"/>
      <c r="E75" s="351">
        <f>E76</f>
        <v>20000</v>
      </c>
      <c r="F75" s="351">
        <f>F76</f>
        <v>0</v>
      </c>
      <c r="G75" s="145">
        <f t="shared" si="0"/>
        <v>0</v>
      </c>
    </row>
    <row r="76" spans="1:7" s="20" customFormat="1" x14ac:dyDescent="0.2">
      <c r="A76" s="17"/>
      <c r="B76" s="160" t="s">
        <v>1343</v>
      </c>
      <c r="C76" s="361"/>
      <c r="D76" s="361"/>
      <c r="E76" s="359">
        <v>20000</v>
      </c>
      <c r="F76" s="359"/>
      <c r="G76" s="1053">
        <f t="shared" ref="G76:G139" si="5">SUM(F76/E76)</f>
        <v>0</v>
      </c>
    </row>
    <row r="77" spans="1:7" s="20" customFormat="1" x14ac:dyDescent="0.2">
      <c r="A77" s="4"/>
      <c r="B77" s="4"/>
      <c r="C77" s="353"/>
      <c r="D77" s="353"/>
      <c r="E77" s="353"/>
      <c r="F77" s="353"/>
      <c r="G77" s="145"/>
    </row>
    <row r="78" spans="1:7" s="20" customFormat="1" x14ac:dyDescent="0.2">
      <c r="A78" s="56">
        <v>1812</v>
      </c>
      <c r="B78" s="79" t="s">
        <v>32</v>
      </c>
      <c r="C78" s="351">
        <f>SUM('6.mell. '!C12)</f>
        <v>16404</v>
      </c>
      <c r="D78" s="351">
        <f>SUM('6.mell. '!D12)</f>
        <v>50000</v>
      </c>
      <c r="E78" s="351">
        <f>SUM('6.mell. '!E12)</f>
        <v>42020</v>
      </c>
      <c r="F78" s="351">
        <f>SUM('6.mell. '!F12)</f>
        <v>50000</v>
      </c>
      <c r="G78" s="145">
        <f t="shared" si="5"/>
        <v>1.1899095668729176</v>
      </c>
    </row>
    <row r="79" spans="1:7" s="20" customFormat="1" x14ac:dyDescent="0.2">
      <c r="A79" s="56">
        <v>1813</v>
      </c>
      <c r="B79" s="74" t="s">
        <v>33</v>
      </c>
      <c r="C79" s="351">
        <f>SUM('6.mell. '!C14)</f>
        <v>27583</v>
      </c>
      <c r="D79" s="351">
        <f>SUM('6.mell. '!D14)</f>
        <v>76173</v>
      </c>
      <c r="E79" s="351">
        <f>SUM('6.mell. '!E14)</f>
        <v>56173</v>
      </c>
      <c r="F79" s="351">
        <f>SUM('6.mell. '!F14)</f>
        <v>56173</v>
      </c>
      <c r="G79" s="145">
        <f t="shared" si="5"/>
        <v>1</v>
      </c>
    </row>
    <row r="80" spans="1:7" s="20" customFormat="1" x14ac:dyDescent="0.2">
      <c r="A80" s="17">
        <v>1816</v>
      </c>
      <c r="B80" s="56" t="s">
        <v>56</v>
      </c>
      <c r="C80" s="351">
        <f>SUM('6.mell. '!C26)</f>
        <v>43987</v>
      </c>
      <c r="D80" s="351">
        <f>SUM('6.mell. '!D26)</f>
        <v>126173</v>
      </c>
      <c r="E80" s="351">
        <f>SUM('6.mell. '!E26)</f>
        <v>98193</v>
      </c>
      <c r="F80" s="351">
        <f>SUM('6.mell. '!F26)</f>
        <v>106173</v>
      </c>
      <c r="G80" s="145">
        <f t="shared" si="5"/>
        <v>1.0812685221960832</v>
      </c>
    </row>
    <row r="81" spans="1:8" x14ac:dyDescent="0.2">
      <c r="A81" s="5"/>
      <c r="B81" s="5"/>
      <c r="C81" s="351"/>
      <c r="D81" s="351"/>
      <c r="E81" s="351"/>
      <c r="F81" s="351"/>
      <c r="G81" s="145"/>
    </row>
    <row r="82" spans="1:8" s="22" customFormat="1" ht="14.1" customHeight="1" x14ac:dyDescent="0.2">
      <c r="A82" s="63"/>
      <c r="B82" s="63" t="s">
        <v>51</v>
      </c>
      <c r="C82" s="362"/>
      <c r="D82" s="362"/>
      <c r="E82" s="362"/>
      <c r="F82" s="362"/>
      <c r="G82" s="145"/>
    </row>
    <row r="83" spans="1:8" ht="12" customHeight="1" x14ac:dyDescent="0.2">
      <c r="A83" s="5">
        <v>1821</v>
      </c>
      <c r="B83" s="6" t="s">
        <v>232</v>
      </c>
      <c r="C83" s="363">
        <f>SUM(C12+C24+C34+C42+C51)</f>
        <v>2816241</v>
      </c>
      <c r="D83" s="363">
        <f>SUM(D12+D24+D34+D42+D51)</f>
        <v>2970523</v>
      </c>
      <c r="E83" s="363">
        <f>SUM(E12+E24+E34+E42+E51)</f>
        <v>2998329</v>
      </c>
      <c r="F83" s="363">
        <f>SUM(F12+F24+F34+F42+F51)</f>
        <v>2989111</v>
      </c>
      <c r="G83" s="1053">
        <f t="shared" si="5"/>
        <v>0.99692562090417691</v>
      </c>
    </row>
    <row r="84" spans="1:8" ht="12" customHeight="1" x14ac:dyDescent="0.2">
      <c r="A84" s="5">
        <v>1822</v>
      </c>
      <c r="B84" s="6" t="s">
        <v>85</v>
      </c>
      <c r="C84" s="364">
        <f t="shared" ref="C84:D84" si="6">SUM(C13+C25+C35+C43+C52)</f>
        <v>418829</v>
      </c>
      <c r="D84" s="364">
        <f t="shared" si="6"/>
        <v>459944</v>
      </c>
      <c r="E84" s="364">
        <f t="shared" ref="E84:F84" si="7">SUM(E13+E25+E35+E43+E52)</f>
        <v>466421</v>
      </c>
      <c r="F84" s="364">
        <f t="shared" si="7"/>
        <v>465165</v>
      </c>
      <c r="G84" s="1053">
        <f t="shared" si="5"/>
        <v>0.99730715383741297</v>
      </c>
    </row>
    <row r="85" spans="1:8" x14ac:dyDescent="0.2">
      <c r="A85" s="136">
        <v>1823</v>
      </c>
      <c r="B85" s="6" t="s">
        <v>86</v>
      </c>
      <c r="C85" s="364">
        <f>SUM(C14+C26+C36+C44+C53+C62+C64+C68)</f>
        <v>5868750</v>
      </c>
      <c r="D85" s="364">
        <f>SUM(D14+D26+D36+D44+D53+D62+D64+D68)</f>
        <v>6359299</v>
      </c>
      <c r="E85" s="364">
        <f>SUM(E14+E26+E36+E44+E53+E62+E64+E68)</f>
        <v>6663694</v>
      </c>
      <c r="F85" s="364">
        <f>SUM(F14+F26+F36+F44+F53+F62+F64+F68)</f>
        <v>6816558</v>
      </c>
      <c r="G85" s="1053">
        <f t="shared" si="5"/>
        <v>1.0229398288696929</v>
      </c>
    </row>
    <row r="86" spans="1:8" x14ac:dyDescent="0.2">
      <c r="A86" s="136">
        <v>1824</v>
      </c>
      <c r="B86" s="6" t="s">
        <v>96</v>
      </c>
      <c r="C86" s="363">
        <f>SUM(C15+C27)</f>
        <v>184000</v>
      </c>
      <c r="D86" s="363">
        <f>SUM(D15+D27)</f>
        <v>191513</v>
      </c>
      <c r="E86" s="363">
        <f>SUM(E15+E27)</f>
        <v>183013</v>
      </c>
      <c r="F86" s="363">
        <f>SUM(F15+F27)</f>
        <v>183013</v>
      </c>
      <c r="G86" s="1053">
        <f t="shared" si="5"/>
        <v>1</v>
      </c>
    </row>
    <row r="87" spans="1:8" x14ac:dyDescent="0.2">
      <c r="A87" s="5">
        <v>1825</v>
      </c>
      <c r="B87" s="6" t="s">
        <v>245</v>
      </c>
      <c r="C87" s="364">
        <f>SUM(C16+C28+C37+C45+C54+C66+C70+C78+C79)</f>
        <v>3607711</v>
      </c>
      <c r="D87" s="364">
        <f>SUM(D16+D28+D37+D45+D54+D66+D70+D78+D79)</f>
        <v>4048475</v>
      </c>
      <c r="E87" s="364">
        <f>SUM(E16+E28+E37+E45+E54+E66+E70+E78+E79)</f>
        <v>4005595</v>
      </c>
      <c r="F87" s="364">
        <f>SUM(F16+F28+F37+F45+F54+F66+F70+F78+F79)</f>
        <v>4068925</v>
      </c>
      <c r="G87" s="1053">
        <f t="shared" si="5"/>
        <v>1.0158103852236684</v>
      </c>
    </row>
    <row r="88" spans="1:8" ht="12.75" thickBot="1" x14ac:dyDescent="0.25">
      <c r="A88" s="78"/>
      <c r="B88" s="147" t="s">
        <v>62</v>
      </c>
      <c r="C88" s="365">
        <f t="shared" ref="C88:D88" si="8">SUM(C80)</f>
        <v>43987</v>
      </c>
      <c r="D88" s="365">
        <f t="shared" si="8"/>
        <v>126173</v>
      </c>
      <c r="E88" s="365">
        <f t="shared" ref="E88" si="9">SUM(E80)</f>
        <v>98193</v>
      </c>
      <c r="F88" s="365">
        <f>SUM(F80)</f>
        <v>106173</v>
      </c>
      <c r="G88" s="1073">
        <f t="shared" si="5"/>
        <v>1.0812685221960832</v>
      </c>
    </row>
    <row r="89" spans="1:8" ht="17.25" customHeight="1" thickBot="1" x14ac:dyDescent="0.25">
      <c r="A89" s="140">
        <v>1820</v>
      </c>
      <c r="B89" s="140" t="s">
        <v>42</v>
      </c>
      <c r="C89" s="366">
        <f t="shared" ref="C89:D89" si="10">SUM(C83:C88)-C88</f>
        <v>12895531</v>
      </c>
      <c r="D89" s="366">
        <f t="shared" si="10"/>
        <v>14029754</v>
      </c>
      <c r="E89" s="366">
        <f t="shared" ref="E89:F89" si="11">SUM(E83:E88)-E88</f>
        <v>14317052</v>
      </c>
      <c r="F89" s="366">
        <f t="shared" si="11"/>
        <v>14522772</v>
      </c>
      <c r="G89" s="1074">
        <f t="shared" si="5"/>
        <v>1.0143688798504049</v>
      </c>
    </row>
    <row r="90" spans="1:8" x14ac:dyDescent="0.2">
      <c r="A90" s="57"/>
      <c r="B90" s="57"/>
      <c r="C90" s="352"/>
      <c r="D90" s="352"/>
      <c r="E90" s="352"/>
      <c r="F90" s="352"/>
      <c r="G90" s="1072"/>
    </row>
    <row r="91" spans="1:8" x14ac:dyDescent="0.2">
      <c r="A91" s="5"/>
      <c r="B91" s="79" t="s">
        <v>52</v>
      </c>
      <c r="C91" s="351"/>
      <c r="D91" s="351"/>
      <c r="E91" s="351"/>
      <c r="F91" s="351"/>
      <c r="G91" s="145"/>
    </row>
    <row r="92" spans="1:8" x14ac:dyDescent="0.2">
      <c r="A92" s="5">
        <v>1831</v>
      </c>
      <c r="B92" s="6" t="s">
        <v>207</v>
      </c>
      <c r="C92" s="363">
        <f>SUM(C17+C29+C46+C55+C38)</f>
        <v>3621126</v>
      </c>
      <c r="D92" s="363">
        <f>SUM(D17+D29+D46+D55+D38)</f>
        <v>3940466</v>
      </c>
      <c r="E92" s="363">
        <f>SUM(E17+E29+E46+E55+E38)</f>
        <v>3840717</v>
      </c>
      <c r="F92" s="363">
        <f>SUM(F17+F29+F46+F55+F38)</f>
        <v>3806533</v>
      </c>
      <c r="G92" s="1053">
        <f t="shared" si="5"/>
        <v>0.99109957854223574</v>
      </c>
    </row>
    <row r="93" spans="1:8" x14ac:dyDescent="0.2">
      <c r="A93" s="5">
        <v>1832</v>
      </c>
      <c r="B93" s="6" t="s">
        <v>208</v>
      </c>
      <c r="C93" s="363">
        <f>SUM(C18+C30+C47+C56)</f>
        <v>3129971</v>
      </c>
      <c r="D93" s="363">
        <f>SUM(D18+D30+D47+D56)</f>
        <v>5239483</v>
      </c>
      <c r="E93" s="363">
        <f>SUM(E18+E30+E47+E56)</f>
        <v>5079292</v>
      </c>
      <c r="F93" s="363">
        <f>SUM(F18+F30+F47+F56)</f>
        <v>5071752</v>
      </c>
      <c r="G93" s="1053">
        <f t="shared" si="5"/>
        <v>0.9985155411423482</v>
      </c>
    </row>
    <row r="94" spans="1:8" ht="12.75" thickBot="1" x14ac:dyDescent="0.25">
      <c r="A94" s="5">
        <v>1833</v>
      </c>
      <c r="B94" s="6" t="s">
        <v>274</v>
      </c>
      <c r="C94" s="778">
        <f>SUM(C31+C48+C39+C57+C59+C19+C72)</f>
        <v>1402392</v>
      </c>
      <c r="D94" s="778">
        <f>SUM(D31+D48+D39+D57+D59+D19+D72)</f>
        <v>3330632</v>
      </c>
      <c r="E94" s="778">
        <f>SUM(E31+E48+E39+E57+E59+E19+E72+E75)</f>
        <v>3376414</v>
      </c>
      <c r="F94" s="778">
        <f>SUM(F31+F48+F39+F57+F59+F19+F72+F75)</f>
        <v>3365202</v>
      </c>
      <c r="G94" s="1073">
        <f t="shared" si="5"/>
        <v>0.99667931716904379</v>
      </c>
      <c r="H94" s="779"/>
    </row>
    <row r="95" spans="1:8" ht="18.75" customHeight="1" thickBot="1" x14ac:dyDescent="0.25">
      <c r="A95" s="134">
        <v>1830</v>
      </c>
      <c r="B95" s="134" t="s">
        <v>53</v>
      </c>
      <c r="C95" s="367">
        <f t="shared" ref="C95:D95" si="12">SUM(C92:C94)</f>
        <v>8153489</v>
      </c>
      <c r="D95" s="367">
        <f t="shared" si="12"/>
        <v>12510581</v>
      </c>
      <c r="E95" s="367">
        <f t="shared" ref="E95:F95" si="13">SUM(E92:E94)</f>
        <v>12296423</v>
      </c>
      <c r="F95" s="367">
        <f t="shared" si="13"/>
        <v>12243487</v>
      </c>
      <c r="G95" s="1074">
        <f t="shared" si="5"/>
        <v>0.99569500821499068</v>
      </c>
    </row>
    <row r="96" spans="1:8" ht="18.75" customHeight="1" x14ac:dyDescent="0.2">
      <c r="A96" s="408"/>
      <c r="B96" s="408"/>
      <c r="C96" s="409"/>
      <c r="D96" s="409"/>
      <c r="E96" s="409"/>
      <c r="F96" s="409"/>
      <c r="G96" s="1072"/>
    </row>
    <row r="97" spans="1:7" x14ac:dyDescent="0.2">
      <c r="A97" s="58">
        <v>1842</v>
      </c>
      <c r="B97" s="104" t="s">
        <v>446</v>
      </c>
      <c r="C97" s="359"/>
      <c r="D97" s="359">
        <v>294647</v>
      </c>
      <c r="E97" s="359">
        <f>294647+603417</f>
        <v>898064</v>
      </c>
      <c r="F97" s="359">
        <f>898064+155802</f>
        <v>1053866</v>
      </c>
      <c r="G97" s="1053">
        <f t="shared" si="5"/>
        <v>1.173486522118691</v>
      </c>
    </row>
    <row r="98" spans="1:7" x14ac:dyDescent="0.2">
      <c r="A98" s="58">
        <v>1843</v>
      </c>
      <c r="B98" s="104" t="s">
        <v>379</v>
      </c>
      <c r="C98" s="343">
        <v>131554</v>
      </c>
      <c r="D98" s="343">
        <v>131554</v>
      </c>
      <c r="E98" s="343">
        <v>131554</v>
      </c>
      <c r="F98" s="343">
        <v>131554</v>
      </c>
      <c r="G98" s="1053">
        <f t="shared" si="5"/>
        <v>1</v>
      </c>
    </row>
    <row r="99" spans="1:7" x14ac:dyDescent="0.2">
      <c r="A99" s="58">
        <v>1844</v>
      </c>
      <c r="B99" s="104" t="s">
        <v>384</v>
      </c>
      <c r="C99" s="352"/>
      <c r="D99" s="352"/>
      <c r="E99" s="352"/>
      <c r="F99" s="352"/>
      <c r="G99" s="145"/>
    </row>
    <row r="100" spans="1:7" x14ac:dyDescent="0.2">
      <c r="A100" s="56">
        <v>1845</v>
      </c>
      <c r="B100" s="109" t="s">
        <v>387</v>
      </c>
      <c r="C100" s="352">
        <f>SUM(C101:C103)</f>
        <v>11090999</v>
      </c>
      <c r="D100" s="352">
        <f>SUM(D101:D103)</f>
        <v>12386484</v>
      </c>
      <c r="E100" s="352">
        <f>SUM(E101:E103)</f>
        <v>12476121</v>
      </c>
      <c r="F100" s="352">
        <f>SUM(F101:F103)</f>
        <v>12615766</v>
      </c>
      <c r="G100" s="145">
        <f t="shared" si="5"/>
        <v>1.0111929821777137</v>
      </c>
    </row>
    <row r="101" spans="1:7" x14ac:dyDescent="0.2">
      <c r="A101" s="58">
        <v>1846</v>
      </c>
      <c r="B101" s="55" t="s">
        <v>310</v>
      </c>
      <c r="C101" s="343">
        <f>SUM('2.mell'!C717)</f>
        <v>6920366</v>
      </c>
      <c r="D101" s="343">
        <f>SUM('2.mell'!D717)</f>
        <v>8215851</v>
      </c>
      <c r="E101" s="343">
        <f>SUM('2.mell'!E717)</f>
        <v>8305488</v>
      </c>
      <c r="F101" s="343">
        <f>SUM('2.mell'!F717)</f>
        <v>8434180</v>
      </c>
      <c r="G101" s="1053">
        <f t="shared" si="5"/>
        <v>1.0154948149946157</v>
      </c>
    </row>
    <row r="102" spans="1:7" x14ac:dyDescent="0.2">
      <c r="A102" s="58">
        <v>1847</v>
      </c>
      <c r="B102" s="58" t="s">
        <v>311</v>
      </c>
      <c r="C102" s="343">
        <f>SUM('2.mell'!C718)</f>
        <v>700175</v>
      </c>
      <c r="D102" s="343">
        <f>SUM('2.mell'!D718)</f>
        <v>700175</v>
      </c>
      <c r="E102" s="343">
        <f>SUM('2.mell'!E718)</f>
        <v>700175</v>
      </c>
      <c r="F102" s="343">
        <f>SUM('2.mell'!F718)</f>
        <v>711128</v>
      </c>
      <c r="G102" s="1053">
        <f t="shared" si="5"/>
        <v>1.0156432320491307</v>
      </c>
    </row>
    <row r="103" spans="1:7" ht="12.75" thickBot="1" x14ac:dyDescent="0.25">
      <c r="A103" s="133">
        <v>1849</v>
      </c>
      <c r="B103" s="55" t="s">
        <v>298</v>
      </c>
      <c r="C103" s="368">
        <f>SUM('1b.mell '!C156)</f>
        <v>3470458</v>
      </c>
      <c r="D103" s="368">
        <f>SUM('1b.mell '!D156)</f>
        <v>3470458</v>
      </c>
      <c r="E103" s="368">
        <f>SUM('1b.mell '!E156)</f>
        <v>3470458</v>
      </c>
      <c r="F103" s="368">
        <f>SUM('1b.mell '!F156)</f>
        <v>3470458</v>
      </c>
      <c r="G103" s="1073">
        <f t="shared" si="5"/>
        <v>1</v>
      </c>
    </row>
    <row r="104" spans="1:7" ht="18.75" customHeight="1" thickBot="1" x14ac:dyDescent="0.25">
      <c r="A104" s="139">
        <v>1840</v>
      </c>
      <c r="B104" s="134" t="s">
        <v>44</v>
      </c>
      <c r="C104" s="369">
        <f>SUM(C100+C98+C99)+C97</f>
        <v>11222553</v>
      </c>
      <c r="D104" s="369">
        <f>SUM(D100+D98+D99)+D97</f>
        <v>12812685</v>
      </c>
      <c r="E104" s="369">
        <f>SUM(E100+E98+E99)+E97</f>
        <v>13505739</v>
      </c>
      <c r="F104" s="369">
        <f>SUM(F100+F98+F99)+F97</f>
        <v>13801186</v>
      </c>
      <c r="G104" s="1074">
        <f t="shared" si="5"/>
        <v>1.0218756633753991</v>
      </c>
    </row>
    <row r="105" spans="1:7" x14ac:dyDescent="0.2">
      <c r="A105" s="141"/>
      <c r="B105" s="141"/>
      <c r="C105" s="352"/>
      <c r="D105" s="352"/>
      <c r="E105" s="352"/>
      <c r="F105" s="352"/>
      <c r="G105" s="1072"/>
    </row>
    <row r="106" spans="1:7" ht="12.75" thickBot="1" x14ac:dyDescent="0.25">
      <c r="A106" s="55">
        <v>1851</v>
      </c>
      <c r="B106" s="108" t="s">
        <v>380</v>
      </c>
      <c r="C106" s="368">
        <v>12000</v>
      </c>
      <c r="D106" s="368">
        <v>12000</v>
      </c>
      <c r="E106" s="368">
        <v>12000</v>
      </c>
      <c r="F106" s="368">
        <v>12000</v>
      </c>
      <c r="G106" s="1073">
        <f t="shared" si="5"/>
        <v>1</v>
      </c>
    </row>
    <row r="107" spans="1:7" ht="18.75" customHeight="1" thickBot="1" x14ac:dyDescent="0.25">
      <c r="A107" s="139">
        <v>1865</v>
      </c>
      <c r="B107" s="134" t="s">
        <v>46</v>
      </c>
      <c r="C107" s="366">
        <f t="shared" ref="C107:D107" si="14">SUM(C106)</f>
        <v>12000</v>
      </c>
      <c r="D107" s="366">
        <f t="shared" si="14"/>
        <v>12000</v>
      </c>
      <c r="E107" s="369">
        <f t="shared" ref="E107:F107" si="15">SUM(E106)</f>
        <v>12000</v>
      </c>
      <c r="F107" s="369">
        <f t="shared" si="15"/>
        <v>12000</v>
      </c>
      <c r="G107" s="1076">
        <f t="shared" si="5"/>
        <v>1</v>
      </c>
    </row>
    <row r="108" spans="1:7" ht="18.75" customHeight="1" thickBot="1" x14ac:dyDescent="0.25">
      <c r="A108" s="139"/>
      <c r="B108" s="166"/>
      <c r="C108" s="366"/>
      <c r="D108" s="366"/>
      <c r="E108" s="366"/>
      <c r="F108" s="366"/>
      <c r="G108" s="1074"/>
    </row>
    <row r="109" spans="1:7" ht="18" customHeight="1" thickBot="1" x14ac:dyDescent="0.25">
      <c r="A109" s="76">
        <v>1870</v>
      </c>
      <c r="B109" s="132" t="s">
        <v>1090</v>
      </c>
      <c r="C109" s="393">
        <f>SUM(C107+C104+C95+C89)</f>
        <v>32283573</v>
      </c>
      <c r="D109" s="393">
        <f>SUM(D107+D104+D95+D89)</f>
        <v>39365020</v>
      </c>
      <c r="E109" s="393">
        <f>SUM(E107+E104+E95+E89)</f>
        <v>40131214</v>
      </c>
      <c r="F109" s="393">
        <f>SUM(F107+F104+F95+F89)</f>
        <v>40579445</v>
      </c>
      <c r="G109" s="1074">
        <f t="shared" si="5"/>
        <v>1.0111691363236608</v>
      </c>
    </row>
    <row r="110" spans="1:7" ht="7.5" customHeight="1" x14ac:dyDescent="0.2">
      <c r="A110" s="7"/>
      <c r="B110" s="48"/>
      <c r="C110" s="394"/>
      <c r="D110" s="394"/>
      <c r="E110" s="394"/>
      <c r="F110" s="394"/>
      <c r="G110" s="1072"/>
    </row>
    <row r="111" spans="1:7" s="25" customFormat="1" ht="12" customHeight="1" x14ac:dyDescent="0.2">
      <c r="A111" s="14"/>
      <c r="B111" s="24" t="s">
        <v>1086</v>
      </c>
      <c r="C111" s="403"/>
      <c r="D111" s="403"/>
      <c r="E111" s="403"/>
      <c r="F111" s="403"/>
      <c r="G111" s="145"/>
    </row>
    <row r="112" spans="1:7" s="25" customFormat="1" ht="9" customHeight="1" x14ac:dyDescent="0.2">
      <c r="A112" s="14"/>
      <c r="B112" s="24"/>
      <c r="C112" s="403"/>
      <c r="D112" s="403"/>
      <c r="E112" s="403"/>
      <c r="F112" s="403"/>
      <c r="G112" s="145"/>
    </row>
    <row r="113" spans="1:7" s="25" customFormat="1" ht="12" customHeight="1" x14ac:dyDescent="0.2">
      <c r="A113" s="14"/>
      <c r="B113" s="63" t="s">
        <v>51</v>
      </c>
      <c r="C113" s="403"/>
      <c r="D113" s="403"/>
      <c r="E113" s="403"/>
      <c r="F113" s="403"/>
      <c r="G113" s="145"/>
    </row>
    <row r="114" spans="1:7" x14ac:dyDescent="0.2">
      <c r="A114" s="5">
        <v>1911</v>
      </c>
      <c r="B114" s="6" t="s">
        <v>232</v>
      </c>
      <c r="C114" s="364">
        <f>SUM('2.mell'!C723)</f>
        <v>4521901</v>
      </c>
      <c r="D114" s="364">
        <f>SUM('2.mell'!D723)</f>
        <v>6396419</v>
      </c>
      <c r="E114" s="364">
        <f>SUM('2.mell'!E723)</f>
        <v>6482920</v>
      </c>
      <c r="F114" s="364">
        <f>SUM('2.mell'!F723)</f>
        <v>6667890</v>
      </c>
      <c r="G114" s="1053">
        <f t="shared" si="5"/>
        <v>1.0285318961208838</v>
      </c>
    </row>
    <row r="115" spans="1:7" x14ac:dyDescent="0.2">
      <c r="A115" s="5">
        <v>1912</v>
      </c>
      <c r="B115" s="6" t="s">
        <v>85</v>
      </c>
      <c r="C115" s="364">
        <f>SUM('2.mell'!C724)</f>
        <v>681311</v>
      </c>
      <c r="D115" s="364">
        <f>SUM('2.mell'!D724)</f>
        <v>918482</v>
      </c>
      <c r="E115" s="364">
        <f>SUM('2.mell'!E724)</f>
        <v>930017</v>
      </c>
      <c r="F115" s="364">
        <f>SUM('2.mell'!F724)</f>
        <v>929022</v>
      </c>
      <c r="G115" s="1053">
        <f t="shared" si="5"/>
        <v>0.99893012708369844</v>
      </c>
    </row>
    <row r="116" spans="1:7" x14ac:dyDescent="0.2">
      <c r="A116" s="5">
        <v>1913</v>
      </c>
      <c r="B116" s="5" t="s">
        <v>86</v>
      </c>
      <c r="C116" s="364">
        <f>SUM('2.mell'!C725)</f>
        <v>2497344</v>
      </c>
      <c r="D116" s="364">
        <f>SUM('2.mell'!D725)</f>
        <v>3674839</v>
      </c>
      <c r="E116" s="364">
        <f>SUM('2.mell'!E725)</f>
        <v>3699213</v>
      </c>
      <c r="F116" s="364">
        <f>SUM('2.mell'!F725)</f>
        <v>3752383</v>
      </c>
      <c r="G116" s="1053">
        <f t="shared" si="5"/>
        <v>1.0143733275158797</v>
      </c>
    </row>
    <row r="117" spans="1:7" s="23" customFormat="1" x14ac:dyDescent="0.2">
      <c r="A117" s="58">
        <v>1915</v>
      </c>
      <c r="B117" s="6" t="s">
        <v>204</v>
      </c>
      <c r="C117" s="364">
        <f>SUM('2.mell'!C726)</f>
        <v>345</v>
      </c>
      <c r="D117" s="364">
        <f>SUM('2.mell'!D726)</f>
        <v>345</v>
      </c>
      <c r="E117" s="364">
        <f>SUM('2.mell'!E726)</f>
        <v>345</v>
      </c>
      <c r="F117" s="364">
        <f>SUM('2.mell'!F726)</f>
        <v>345</v>
      </c>
      <c r="G117" s="1053">
        <f t="shared" si="5"/>
        <v>1</v>
      </c>
    </row>
    <row r="118" spans="1:7" x14ac:dyDescent="0.2">
      <c r="A118" s="5">
        <v>1916</v>
      </c>
      <c r="B118" s="6" t="s">
        <v>245</v>
      </c>
      <c r="C118" s="364">
        <f>SUM('2.mell'!C727)</f>
        <v>0</v>
      </c>
      <c r="D118" s="364">
        <f>SUM('2.mell'!D727)</f>
        <v>3304</v>
      </c>
      <c r="E118" s="364">
        <f>SUM('2.mell'!E727)</f>
        <v>3404</v>
      </c>
      <c r="F118" s="364">
        <f>SUM('2.mell'!F727)</f>
        <v>3404</v>
      </c>
      <c r="G118" s="1053">
        <f t="shared" si="5"/>
        <v>1</v>
      </c>
    </row>
    <row r="119" spans="1:7" x14ac:dyDescent="0.2">
      <c r="A119" s="56">
        <v>1910</v>
      </c>
      <c r="B119" s="57" t="s">
        <v>42</v>
      </c>
      <c r="C119" s="351">
        <f t="shared" ref="C119:D119" si="16">SUM(C114:C118)</f>
        <v>7700901</v>
      </c>
      <c r="D119" s="351">
        <f t="shared" si="16"/>
        <v>10993389</v>
      </c>
      <c r="E119" s="351">
        <f t="shared" ref="E119:F119" si="17">SUM(E114:E118)</f>
        <v>11115899</v>
      </c>
      <c r="F119" s="351">
        <f t="shared" si="17"/>
        <v>11353044</v>
      </c>
      <c r="G119" s="145">
        <f t="shared" si="5"/>
        <v>1.0213338570276682</v>
      </c>
    </row>
    <row r="120" spans="1:7" x14ac:dyDescent="0.2">
      <c r="A120" s="5"/>
      <c r="B120" s="74" t="s">
        <v>52</v>
      </c>
      <c r="C120" s="351"/>
      <c r="D120" s="351"/>
      <c r="E120" s="351"/>
      <c r="F120" s="351"/>
      <c r="G120" s="1053"/>
    </row>
    <row r="121" spans="1:7" x14ac:dyDescent="0.2">
      <c r="A121" s="5">
        <v>1921</v>
      </c>
      <c r="B121" s="6" t="s">
        <v>207</v>
      </c>
      <c r="C121" s="364">
        <f>SUM('2.mell'!C729)</f>
        <v>254550</v>
      </c>
      <c r="D121" s="364">
        <f>SUM('2.mell'!D729)</f>
        <v>410740</v>
      </c>
      <c r="E121" s="364">
        <f>SUM('2.mell'!E729)</f>
        <v>343750</v>
      </c>
      <c r="F121" s="364">
        <f>SUM('2.mell'!F729)</f>
        <v>327254</v>
      </c>
      <c r="G121" s="1053">
        <f t="shared" si="5"/>
        <v>0.95201163636363639</v>
      </c>
    </row>
    <row r="122" spans="1:7" x14ac:dyDescent="0.2">
      <c r="A122" s="5">
        <v>1922</v>
      </c>
      <c r="B122" s="6" t="s">
        <v>208</v>
      </c>
      <c r="C122" s="364">
        <f>SUM('2.mell'!C730)</f>
        <v>73567</v>
      </c>
      <c r="D122" s="364">
        <f>SUM('2.mell'!D730)</f>
        <v>140648</v>
      </c>
      <c r="E122" s="364">
        <f>SUM('2.mell'!E730)</f>
        <v>205801</v>
      </c>
      <c r="F122" s="364">
        <f>SUM('2.mell'!F730)</f>
        <v>182030</v>
      </c>
      <c r="G122" s="1053">
        <f t="shared" si="5"/>
        <v>0.88449521625259353</v>
      </c>
    </row>
    <row r="123" spans="1:7" x14ac:dyDescent="0.2">
      <c r="A123" s="5">
        <v>1923</v>
      </c>
      <c r="B123" s="6" t="s">
        <v>274</v>
      </c>
      <c r="C123" s="364">
        <f>SUM('2.mell'!C731)</f>
        <v>0</v>
      </c>
      <c r="D123" s="364">
        <f>SUM('2.mell'!D731)</f>
        <v>0</v>
      </c>
      <c r="E123" s="364">
        <f>SUM('2.mell'!E731)</f>
        <v>0</v>
      </c>
      <c r="F123" s="364">
        <f>SUM('2.mell'!F731)</f>
        <v>0</v>
      </c>
      <c r="G123" s="1053"/>
    </row>
    <row r="124" spans="1:7" ht="12.75" thickBot="1" x14ac:dyDescent="0.25">
      <c r="A124" s="75">
        <v>1920</v>
      </c>
      <c r="B124" s="75" t="s">
        <v>48</v>
      </c>
      <c r="C124" s="540">
        <f t="shared" ref="C124:D124" si="18">SUM(C121:C123)</f>
        <v>328117</v>
      </c>
      <c r="D124" s="540">
        <f t="shared" si="18"/>
        <v>551388</v>
      </c>
      <c r="E124" s="540">
        <f t="shared" ref="E124:F124" si="19">SUM(E121:E123)</f>
        <v>549551</v>
      </c>
      <c r="F124" s="540">
        <f t="shared" si="19"/>
        <v>509284</v>
      </c>
      <c r="G124" s="1075">
        <f t="shared" si="5"/>
        <v>0.92672745568655135</v>
      </c>
    </row>
    <row r="125" spans="1:7" ht="16.5" customHeight="1" thickBot="1" x14ac:dyDescent="0.25">
      <c r="A125" s="76"/>
      <c r="B125" s="134"/>
      <c r="C125" s="393"/>
      <c r="D125" s="393"/>
      <c r="E125" s="393"/>
      <c r="F125" s="393"/>
      <c r="G125" s="1074"/>
    </row>
    <row r="126" spans="1:7" s="23" customFormat="1" ht="13.5" thickBot="1" x14ac:dyDescent="0.25">
      <c r="A126" s="26">
        <v>1940</v>
      </c>
      <c r="B126" s="77" t="s">
        <v>1087</v>
      </c>
      <c r="C126" s="404">
        <f t="shared" ref="C126:D126" si="20">SUM(C119+C124)</f>
        <v>8029018</v>
      </c>
      <c r="D126" s="404">
        <f t="shared" si="20"/>
        <v>11544777</v>
      </c>
      <c r="E126" s="404">
        <f t="shared" ref="E126:F126" si="21">SUM(E119+E124)</f>
        <v>11665450</v>
      </c>
      <c r="F126" s="404">
        <f t="shared" si="21"/>
        <v>11862328</v>
      </c>
      <c r="G126" s="1074">
        <f t="shared" si="5"/>
        <v>1.0168770171746482</v>
      </c>
    </row>
    <row r="127" spans="1:7" s="23" customFormat="1" ht="12.75" x14ac:dyDescent="0.2">
      <c r="A127" s="73"/>
      <c r="B127" s="149"/>
      <c r="C127" s="405"/>
      <c r="D127" s="405"/>
      <c r="E127" s="405"/>
      <c r="F127" s="405"/>
      <c r="G127" s="1072"/>
    </row>
    <row r="128" spans="1:7" ht="14.25" customHeight="1" x14ac:dyDescent="0.2">
      <c r="A128" s="14"/>
      <c r="B128" s="14" t="s">
        <v>1088</v>
      </c>
      <c r="C128" s="396"/>
      <c r="D128" s="396"/>
      <c r="E128" s="396"/>
      <c r="F128" s="396"/>
      <c r="G128" s="145"/>
    </row>
    <row r="129" spans="1:7" ht="14.25" customHeight="1" x14ac:dyDescent="0.2">
      <c r="A129" s="14"/>
      <c r="B129" s="63" t="s">
        <v>51</v>
      </c>
      <c r="C129" s="403"/>
      <c r="D129" s="403"/>
      <c r="E129" s="403"/>
      <c r="F129" s="403"/>
      <c r="G129" s="145"/>
    </row>
    <row r="130" spans="1:7" x14ac:dyDescent="0.2">
      <c r="A130" s="5">
        <v>1951</v>
      </c>
      <c r="B130" s="6" t="s">
        <v>127</v>
      </c>
      <c r="C130" s="358">
        <f t="shared" ref="C130:D130" si="22">SUM(C83+C114)</f>
        <v>7338142</v>
      </c>
      <c r="D130" s="358">
        <f t="shared" si="22"/>
        <v>9366942</v>
      </c>
      <c r="E130" s="358">
        <f t="shared" ref="E130:F130" si="23">SUM(E83+E114)</f>
        <v>9481249</v>
      </c>
      <c r="F130" s="358">
        <f t="shared" si="23"/>
        <v>9657001</v>
      </c>
      <c r="G130" s="1053">
        <f t="shared" si="5"/>
        <v>1.0185367982636042</v>
      </c>
    </row>
    <row r="131" spans="1:7" x14ac:dyDescent="0.2">
      <c r="A131" s="5">
        <v>1952</v>
      </c>
      <c r="B131" s="6" t="s">
        <v>257</v>
      </c>
      <c r="C131" s="358">
        <f t="shared" ref="C131:D131" si="24">SUM(C84+C115)</f>
        <v>1100140</v>
      </c>
      <c r="D131" s="358">
        <f t="shared" si="24"/>
        <v>1378426</v>
      </c>
      <c r="E131" s="358">
        <f t="shared" ref="E131:F131" si="25">SUM(E84+E115)</f>
        <v>1396438</v>
      </c>
      <c r="F131" s="358">
        <f t="shared" si="25"/>
        <v>1394187</v>
      </c>
      <c r="G131" s="1053">
        <f t="shared" si="5"/>
        <v>0.99838804157434846</v>
      </c>
    </row>
    <row r="132" spans="1:7" x14ac:dyDescent="0.2">
      <c r="A132" s="5">
        <v>1953</v>
      </c>
      <c r="B132" s="6" t="s">
        <v>258</v>
      </c>
      <c r="C132" s="358">
        <f t="shared" ref="C132:D132" si="26">SUM(C85+C116)</f>
        <v>8366094</v>
      </c>
      <c r="D132" s="358">
        <f t="shared" si="26"/>
        <v>10034138</v>
      </c>
      <c r="E132" s="358">
        <f t="shared" ref="E132:F132" si="27">SUM(E85+E116)</f>
        <v>10362907</v>
      </c>
      <c r="F132" s="358">
        <f t="shared" si="27"/>
        <v>10568941</v>
      </c>
      <c r="G132" s="1053">
        <f t="shared" si="5"/>
        <v>1.0198818729146175</v>
      </c>
    </row>
    <row r="133" spans="1:7" x14ac:dyDescent="0.2">
      <c r="A133" s="5">
        <v>1954</v>
      </c>
      <c r="B133" s="6" t="s">
        <v>129</v>
      </c>
      <c r="C133" s="358">
        <f>SUM(C117+C86)</f>
        <v>184345</v>
      </c>
      <c r="D133" s="358">
        <f>SUM(D117+D86)</f>
        <v>191858</v>
      </c>
      <c r="E133" s="358">
        <f>SUM(E117+E86)</f>
        <v>183358</v>
      </c>
      <c r="F133" s="358">
        <f>SUM(F117+F86)</f>
        <v>183358</v>
      </c>
      <c r="G133" s="1053">
        <f t="shared" si="5"/>
        <v>1</v>
      </c>
    </row>
    <row r="134" spans="1:7" ht="12.75" thickBot="1" x14ac:dyDescent="0.25">
      <c r="A134" s="5">
        <v>1955</v>
      </c>
      <c r="B134" s="6" t="s">
        <v>75</v>
      </c>
      <c r="C134" s="544">
        <f>SUM(C87+C118)</f>
        <v>3607711</v>
      </c>
      <c r="D134" s="544">
        <f>SUM(D87+D118)</f>
        <v>4051779</v>
      </c>
      <c r="E134" s="544">
        <f>SUM(E87+E118)</f>
        <v>4008999</v>
      </c>
      <c r="F134" s="544">
        <f>SUM(F87+F118)</f>
        <v>4072329</v>
      </c>
      <c r="G134" s="1073">
        <f t="shared" si="5"/>
        <v>1.0157969607874684</v>
      </c>
    </row>
    <row r="135" spans="1:7" ht="18" customHeight="1" thickBot="1" x14ac:dyDescent="0.25">
      <c r="A135" s="134">
        <v>1950</v>
      </c>
      <c r="B135" s="134" t="s">
        <v>42</v>
      </c>
      <c r="C135" s="369">
        <f t="shared" ref="C135:D135" si="28">SUM(C130:C134)</f>
        <v>20596432</v>
      </c>
      <c r="D135" s="369">
        <f t="shared" si="28"/>
        <v>25023143</v>
      </c>
      <c r="E135" s="369">
        <f t="shared" ref="E135:F135" si="29">SUM(E130:E134)</f>
        <v>25432951</v>
      </c>
      <c r="F135" s="369">
        <f t="shared" si="29"/>
        <v>25875816</v>
      </c>
      <c r="G135" s="1074">
        <f t="shared" si="5"/>
        <v>1.0174130402720472</v>
      </c>
    </row>
    <row r="136" spans="1:7" x14ac:dyDescent="0.2">
      <c r="A136" s="6"/>
      <c r="B136" s="74" t="s">
        <v>52</v>
      </c>
      <c r="C136" s="358"/>
      <c r="D136" s="358"/>
      <c r="E136" s="358"/>
      <c r="F136" s="358"/>
      <c r="G136" s="1072"/>
    </row>
    <row r="137" spans="1:7" x14ac:dyDescent="0.2">
      <c r="A137" s="6">
        <v>1961</v>
      </c>
      <c r="B137" s="74" t="s">
        <v>209</v>
      </c>
      <c r="C137" s="359">
        <f t="shared" ref="C137:D137" si="30">SUM(C92+C121)</f>
        <v>3875676</v>
      </c>
      <c r="D137" s="359">
        <f t="shared" si="30"/>
        <v>4351206</v>
      </c>
      <c r="E137" s="359">
        <f t="shared" ref="E137:F137" si="31">SUM(E92+E121)</f>
        <v>4184467</v>
      </c>
      <c r="F137" s="359">
        <f t="shared" si="31"/>
        <v>4133787</v>
      </c>
      <c r="G137" s="1053">
        <f t="shared" si="5"/>
        <v>0.9878885411212468</v>
      </c>
    </row>
    <row r="138" spans="1:7" x14ac:dyDescent="0.2">
      <c r="A138" s="5">
        <v>1962</v>
      </c>
      <c r="B138" s="6" t="s">
        <v>208</v>
      </c>
      <c r="C138" s="343">
        <f t="shared" ref="C138:D138" si="32">SUM(C93+C122)</f>
        <v>3203538</v>
      </c>
      <c r="D138" s="343">
        <f t="shared" si="32"/>
        <v>5380131</v>
      </c>
      <c r="E138" s="343">
        <f t="shared" ref="E138:F138" si="33">SUM(E93+E122)</f>
        <v>5285093</v>
      </c>
      <c r="F138" s="343">
        <f t="shared" si="33"/>
        <v>5253782</v>
      </c>
      <c r="G138" s="1053">
        <f t="shared" si="5"/>
        <v>0.9940756009402294</v>
      </c>
    </row>
    <row r="139" spans="1:7" ht="12.75" thickBot="1" x14ac:dyDescent="0.25">
      <c r="A139" s="5">
        <v>1963</v>
      </c>
      <c r="B139" s="6" t="s">
        <v>274</v>
      </c>
      <c r="C139" s="406">
        <f>SUM(C123+C94)</f>
        <v>1402392</v>
      </c>
      <c r="D139" s="406">
        <f>SUM(D123+D94)</f>
        <v>3330632</v>
      </c>
      <c r="E139" s="406">
        <f>SUM(E123+E94)</f>
        <v>3376414</v>
      </c>
      <c r="F139" s="406">
        <f>SUM(F123+F94)</f>
        <v>3365202</v>
      </c>
      <c r="G139" s="1073">
        <f t="shared" si="5"/>
        <v>0.99667931716904379</v>
      </c>
    </row>
    <row r="140" spans="1:7" ht="17.25" customHeight="1" thickBot="1" x14ac:dyDescent="0.25">
      <c r="A140" s="134">
        <v>1960</v>
      </c>
      <c r="B140" s="134" t="s">
        <v>48</v>
      </c>
      <c r="C140" s="369">
        <f t="shared" ref="C140:D140" si="34">SUM(C137:C139)</f>
        <v>8481606</v>
      </c>
      <c r="D140" s="369">
        <f t="shared" si="34"/>
        <v>13061969</v>
      </c>
      <c r="E140" s="369">
        <f t="shared" ref="E140:F140" si="35">SUM(E137:E139)</f>
        <v>12845974</v>
      </c>
      <c r="F140" s="369">
        <f t="shared" si="35"/>
        <v>12752771</v>
      </c>
      <c r="G140" s="1074">
        <f t="shared" ref="G140:G147" si="36">SUM(F140/E140)</f>
        <v>0.99274457507075753</v>
      </c>
    </row>
    <row r="141" spans="1:7" ht="13.5" customHeight="1" x14ac:dyDescent="0.2">
      <c r="A141" s="414">
        <v>1973</v>
      </c>
      <c r="B141" s="104" t="s">
        <v>446</v>
      </c>
      <c r="C141" s="415">
        <f>C97</f>
        <v>0</v>
      </c>
      <c r="D141" s="359">
        <f>D97</f>
        <v>294647</v>
      </c>
      <c r="E141" s="359">
        <f>E97</f>
        <v>898064</v>
      </c>
      <c r="F141" s="359">
        <f>F97</f>
        <v>1053866</v>
      </c>
      <c r="G141" s="1078">
        <f t="shared" si="36"/>
        <v>1.173486522118691</v>
      </c>
    </row>
    <row r="142" spans="1:7" x14ac:dyDescent="0.2">
      <c r="A142" s="58">
        <v>1974</v>
      </c>
      <c r="B142" s="104" t="s">
        <v>387</v>
      </c>
      <c r="C142" s="359">
        <f>SUM(C100)</f>
        <v>11090999</v>
      </c>
      <c r="D142" s="359">
        <f>SUM(D100)</f>
        <v>12386484</v>
      </c>
      <c r="E142" s="359">
        <f>SUM(E100)</f>
        <v>12476121</v>
      </c>
      <c r="F142" s="359">
        <f>SUM(F100)</f>
        <v>12615766</v>
      </c>
      <c r="G142" s="1053">
        <f t="shared" si="36"/>
        <v>1.0111929821777137</v>
      </c>
    </row>
    <row r="143" spans="1:7" ht="12.75" thickBot="1" x14ac:dyDescent="0.25">
      <c r="A143" s="160">
        <v>1975</v>
      </c>
      <c r="B143" s="104" t="s">
        <v>379</v>
      </c>
      <c r="C143" s="541">
        <f>SUM(C98)</f>
        <v>131554</v>
      </c>
      <c r="D143" s="359">
        <f>SUM(D98)</f>
        <v>131554</v>
      </c>
      <c r="E143" s="359">
        <f>SUM(E98)</f>
        <v>131554</v>
      </c>
      <c r="F143" s="359">
        <f>SUM(F98)</f>
        <v>131554</v>
      </c>
      <c r="G143" s="1073">
        <f t="shared" si="36"/>
        <v>1</v>
      </c>
    </row>
    <row r="144" spans="1:7" ht="17.25" customHeight="1" thickBot="1" x14ac:dyDescent="0.25">
      <c r="A144" s="139">
        <v>1970</v>
      </c>
      <c r="B144" s="134" t="s">
        <v>24</v>
      </c>
      <c r="C144" s="367">
        <f>SUM(C141:C143)</f>
        <v>11222553</v>
      </c>
      <c r="D144" s="367">
        <f>SUM(D141:D143)</f>
        <v>12812685</v>
      </c>
      <c r="E144" s="367">
        <f>SUM(E141:E143)</f>
        <v>13505739</v>
      </c>
      <c r="F144" s="367">
        <f>SUM(F141:F143)</f>
        <v>13801186</v>
      </c>
      <c r="G144" s="1074">
        <f t="shared" si="36"/>
        <v>1.0218756633753991</v>
      </c>
    </row>
    <row r="145" spans="1:7" ht="12" customHeight="1" thickBot="1" x14ac:dyDescent="0.25">
      <c r="A145" s="6">
        <v>1981</v>
      </c>
      <c r="B145" s="108" t="s">
        <v>380</v>
      </c>
      <c r="C145" s="337">
        <f t="shared" ref="C145:D145" si="37">SUM(C106)</f>
        <v>12000</v>
      </c>
      <c r="D145" s="337">
        <f t="shared" si="37"/>
        <v>12000</v>
      </c>
      <c r="E145" s="337">
        <f t="shared" ref="E145:F145" si="38">SUM(E106)</f>
        <v>12000</v>
      </c>
      <c r="F145" s="337">
        <f t="shared" si="38"/>
        <v>12000</v>
      </c>
      <c r="G145" s="1077">
        <f t="shared" si="36"/>
        <v>1</v>
      </c>
    </row>
    <row r="146" spans="1:7" ht="17.25" customHeight="1" thickBot="1" x14ac:dyDescent="0.25">
      <c r="A146" s="139">
        <v>1980</v>
      </c>
      <c r="B146" s="134" t="s">
        <v>23</v>
      </c>
      <c r="C146" s="367">
        <f t="shared" ref="C146:D146" si="39">SUM(C145:C145)</f>
        <v>12000</v>
      </c>
      <c r="D146" s="367">
        <f t="shared" si="39"/>
        <v>12000</v>
      </c>
      <c r="E146" s="367">
        <f t="shared" ref="E146:F146" si="40">SUM(E145:E145)</f>
        <v>12000</v>
      </c>
      <c r="F146" s="367">
        <f t="shared" si="40"/>
        <v>12000</v>
      </c>
      <c r="G146" s="1074">
        <f t="shared" si="36"/>
        <v>1</v>
      </c>
    </row>
    <row r="147" spans="1:7" ht="26.25" customHeight="1" thickBot="1" x14ac:dyDescent="0.25">
      <c r="A147" s="27"/>
      <c r="B147" s="327" t="s">
        <v>1089</v>
      </c>
      <c r="C147" s="832">
        <f>SUM(C145+C140+C135+C143)+C141</f>
        <v>29221592</v>
      </c>
      <c r="D147" s="832">
        <f>SUM(D145+D140+D135+D143)+D141</f>
        <v>38523313</v>
      </c>
      <c r="E147" s="832">
        <f>SUM(E145+E140+E135+E143)+E141</f>
        <v>39320543</v>
      </c>
      <c r="F147" s="832">
        <f>SUM(F145+F140+F135+F143)+F141</f>
        <v>39826007</v>
      </c>
      <c r="G147" s="1126">
        <f t="shared" si="36"/>
        <v>1.0128549598107026</v>
      </c>
    </row>
    <row r="148" spans="1:7" x14ac:dyDescent="0.2">
      <c r="G148" s="297"/>
    </row>
    <row r="149" spans="1:7" x14ac:dyDescent="0.2">
      <c r="G149" s="297"/>
    </row>
    <row r="150" spans="1:7" x14ac:dyDescent="0.2">
      <c r="G150" s="297"/>
    </row>
    <row r="151" spans="1:7" x14ac:dyDescent="0.2">
      <c r="G151" s="297"/>
    </row>
    <row r="152" spans="1:7" x14ac:dyDescent="0.2">
      <c r="G152" s="297"/>
    </row>
    <row r="153" spans="1:7" x14ac:dyDescent="0.2">
      <c r="G153" s="297"/>
    </row>
    <row r="154" spans="1:7" x14ac:dyDescent="0.2">
      <c r="G154" s="297"/>
    </row>
    <row r="155" spans="1:7" x14ac:dyDescent="0.2">
      <c r="G155" s="297"/>
    </row>
    <row r="156" spans="1:7" x14ac:dyDescent="0.2">
      <c r="G156" s="297"/>
    </row>
    <row r="214" spans="1:2" ht="12.75" x14ac:dyDescent="0.2">
      <c r="A214"/>
      <c r="B214"/>
    </row>
    <row r="215" spans="1:2" ht="12.75" x14ac:dyDescent="0.2">
      <c r="A215"/>
      <c r="B215"/>
    </row>
    <row r="216" spans="1:2" ht="12.75" x14ac:dyDescent="0.2">
      <c r="A216"/>
      <c r="B216"/>
    </row>
    <row r="217" spans="1:2" ht="12.75" x14ac:dyDescent="0.2">
      <c r="A217"/>
      <c r="B217"/>
    </row>
    <row r="218" spans="1:2" ht="12.75" x14ac:dyDescent="0.2">
      <c r="A218"/>
      <c r="B218"/>
    </row>
    <row r="219" spans="1:2" ht="12.75" x14ac:dyDescent="0.2">
      <c r="A219"/>
      <c r="B219"/>
    </row>
    <row r="220" spans="1:2" ht="12.75" x14ac:dyDescent="0.2">
      <c r="A220"/>
      <c r="B220"/>
    </row>
    <row r="221" spans="1:2" ht="12.75" x14ac:dyDescent="0.2">
      <c r="A221"/>
      <c r="B221"/>
    </row>
    <row r="222" spans="1:2" ht="12.75" x14ac:dyDescent="0.2">
      <c r="A222"/>
      <c r="B222"/>
    </row>
    <row r="223" spans="1:2" ht="12.75" x14ac:dyDescent="0.2">
      <c r="A223"/>
      <c r="B223"/>
    </row>
    <row r="224" spans="1:2" ht="12.75" x14ac:dyDescent="0.2">
      <c r="A224"/>
      <c r="B224"/>
    </row>
    <row r="225" spans="1:2" ht="12.75" x14ac:dyDescent="0.2">
      <c r="A225"/>
      <c r="B225"/>
    </row>
    <row r="226" spans="1:2" ht="12.75" x14ac:dyDescent="0.2">
      <c r="A226"/>
      <c r="B226"/>
    </row>
    <row r="227" spans="1:2" ht="12.75" x14ac:dyDescent="0.2">
      <c r="A227"/>
      <c r="B227"/>
    </row>
    <row r="228" spans="1:2" ht="12.75" x14ac:dyDescent="0.2">
      <c r="A228"/>
      <c r="B228"/>
    </row>
    <row r="229" spans="1:2" ht="12.75" x14ac:dyDescent="0.2">
      <c r="A229"/>
      <c r="B229"/>
    </row>
    <row r="230" spans="1:2" ht="12.75" x14ac:dyDescent="0.2">
      <c r="A230"/>
      <c r="B230"/>
    </row>
    <row r="231" spans="1:2" ht="12.75" x14ac:dyDescent="0.2">
      <c r="A231"/>
      <c r="B231"/>
    </row>
    <row r="232" spans="1:2" ht="12.75" x14ac:dyDescent="0.2">
      <c r="A232"/>
      <c r="B232"/>
    </row>
    <row r="233" spans="1:2" ht="12.75" x14ac:dyDescent="0.2">
      <c r="A233"/>
      <c r="B233"/>
    </row>
    <row r="234" spans="1:2" ht="12.75" x14ac:dyDescent="0.2">
      <c r="A234"/>
      <c r="B234"/>
    </row>
    <row r="235" spans="1:2" ht="12.75" x14ac:dyDescent="0.2">
      <c r="A235"/>
      <c r="B235"/>
    </row>
    <row r="236" spans="1:2" ht="12.75" x14ac:dyDescent="0.2">
      <c r="A236"/>
      <c r="B236"/>
    </row>
    <row r="237" spans="1:2" ht="12.75" x14ac:dyDescent="0.2">
      <c r="A237"/>
      <c r="B237"/>
    </row>
    <row r="238" spans="1:2" ht="12.75" x14ac:dyDescent="0.2">
      <c r="A238"/>
      <c r="B238"/>
    </row>
    <row r="239" spans="1:2" ht="12.75" x14ac:dyDescent="0.2">
      <c r="A239"/>
      <c r="B239"/>
    </row>
    <row r="240" spans="1:2" ht="12.75" x14ac:dyDescent="0.2">
      <c r="A240"/>
      <c r="B240"/>
    </row>
    <row r="241" spans="1:2" ht="12.75" x14ac:dyDescent="0.2">
      <c r="A241"/>
      <c r="B241"/>
    </row>
    <row r="242" spans="1:2" ht="12.75" x14ac:dyDescent="0.2">
      <c r="A242"/>
      <c r="B242"/>
    </row>
    <row r="243" spans="1:2" ht="12.75" x14ac:dyDescent="0.2">
      <c r="A243"/>
      <c r="B243"/>
    </row>
    <row r="244" spans="1:2" ht="12.75" x14ac:dyDescent="0.2">
      <c r="A244"/>
      <c r="B244"/>
    </row>
    <row r="245" spans="1:2" ht="12.75" x14ac:dyDescent="0.2">
      <c r="A245"/>
      <c r="B245"/>
    </row>
    <row r="246" spans="1:2" ht="12.75" x14ac:dyDescent="0.2">
      <c r="A246"/>
      <c r="B246"/>
    </row>
    <row r="247" spans="1:2" ht="12.75" x14ac:dyDescent="0.2">
      <c r="A247"/>
      <c r="B247"/>
    </row>
    <row r="248" spans="1:2" ht="12.75" x14ac:dyDescent="0.2">
      <c r="A248"/>
      <c r="B248"/>
    </row>
    <row r="249" spans="1:2" ht="12.75" x14ac:dyDescent="0.2">
      <c r="A249"/>
      <c r="B249"/>
    </row>
    <row r="250" spans="1:2" ht="12.75" x14ac:dyDescent="0.2">
      <c r="A250"/>
      <c r="B250"/>
    </row>
    <row r="251" spans="1:2" ht="12.75" x14ac:dyDescent="0.2">
      <c r="A251"/>
      <c r="B251"/>
    </row>
    <row r="252" spans="1:2" ht="12.75" x14ac:dyDescent="0.2">
      <c r="A252"/>
      <c r="B252"/>
    </row>
    <row r="253" spans="1:2" ht="12.75" x14ac:dyDescent="0.2">
      <c r="A253"/>
      <c r="B253"/>
    </row>
    <row r="254" spans="1:2" ht="12.75" x14ac:dyDescent="0.2">
      <c r="A254"/>
      <c r="B254"/>
    </row>
  </sheetData>
  <mergeCells count="7">
    <mergeCell ref="G5:G7"/>
    <mergeCell ref="A2:G2"/>
    <mergeCell ref="A1:G1"/>
    <mergeCell ref="C5:C7"/>
    <mergeCell ref="D5:D7"/>
    <mergeCell ref="E5:E7"/>
    <mergeCell ref="F5:F7"/>
  </mergeCells>
  <phoneticPr fontId="0" type="noConversion"/>
  <printOptions horizontalCentered="1"/>
  <pageMargins left="0" right="0" top="0.39370078740157483" bottom="0.31496062992125984" header="0.11811023622047245" footer="0"/>
  <pageSetup paperSize="9" scale="78" firstPageNumber="8" orientation="landscape" useFirstPageNumber="1" r:id="rId1"/>
  <headerFooter alignWithMargins="0">
    <oddFooter>&amp;P. oldal</oddFooter>
  </headerFooter>
  <rowBreaks count="2" manualBreakCount="2">
    <brk id="49" max="16383" man="1"/>
    <brk id="9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733"/>
  <sheetViews>
    <sheetView topLeftCell="A719" zoomScaleNormal="100" workbookViewId="0">
      <selection activeCell="F241" sqref="F241"/>
    </sheetView>
  </sheetViews>
  <sheetFormatPr defaultColWidth="9.140625" defaultRowHeight="12.75" x14ac:dyDescent="0.2"/>
  <cols>
    <col min="1" max="1" width="8.5703125" style="167" customWidth="1"/>
    <col min="2" max="2" width="61.85546875" style="167" customWidth="1"/>
    <col min="3" max="6" width="11.7109375" style="167" customWidth="1"/>
    <col min="7" max="7" width="8.5703125" style="167" customWidth="1"/>
    <col min="8" max="16384" width="9.140625" style="167"/>
  </cols>
  <sheetData>
    <row r="1" spans="1:7" x14ac:dyDescent="0.2">
      <c r="A1" s="1170" t="s">
        <v>233</v>
      </c>
      <c r="B1" s="1166"/>
      <c r="C1" s="1166"/>
      <c r="D1" s="1166"/>
      <c r="E1" s="1166"/>
      <c r="F1" s="1166"/>
      <c r="G1" s="1166"/>
    </row>
    <row r="2" spans="1:7" x14ac:dyDescent="0.2">
      <c r="A2" s="1164" t="s">
        <v>1179</v>
      </c>
      <c r="B2" s="1165"/>
      <c r="C2" s="1166"/>
      <c r="D2" s="1166"/>
      <c r="E2" s="1166"/>
      <c r="F2" s="1166"/>
      <c r="G2" s="1166"/>
    </row>
    <row r="3" spans="1:7" x14ac:dyDescent="0.2">
      <c r="A3" s="168"/>
      <c r="B3" s="168"/>
    </row>
    <row r="4" spans="1:7" x14ac:dyDescent="0.2">
      <c r="A4" s="201"/>
      <c r="B4" s="202"/>
      <c r="C4" s="203"/>
      <c r="D4" s="203"/>
      <c r="E4" s="203"/>
      <c r="F4" s="203"/>
      <c r="G4" s="203" t="s">
        <v>146</v>
      </c>
    </row>
    <row r="5" spans="1:7" ht="12.6" customHeight="1" x14ac:dyDescent="0.2">
      <c r="A5" s="1171" t="s">
        <v>234</v>
      </c>
      <c r="B5" s="1171" t="s">
        <v>130</v>
      </c>
      <c r="C5" s="1140" t="s">
        <v>1252</v>
      </c>
      <c r="D5" s="1140" t="s">
        <v>1337</v>
      </c>
      <c r="E5" s="1140" t="s">
        <v>1355</v>
      </c>
      <c r="F5" s="1140" t="s">
        <v>1357</v>
      </c>
      <c r="G5" s="1167" t="s">
        <v>1358</v>
      </c>
    </row>
    <row r="6" spans="1:7" x14ac:dyDescent="0.2">
      <c r="A6" s="1172"/>
      <c r="B6" s="1172"/>
      <c r="C6" s="1160"/>
      <c r="D6" s="1160"/>
      <c r="E6" s="1160"/>
      <c r="F6" s="1162"/>
      <c r="G6" s="1168"/>
    </row>
    <row r="7" spans="1:7" ht="13.5" thickBot="1" x14ac:dyDescent="0.25">
      <c r="A7" s="1173"/>
      <c r="B7" s="1173"/>
      <c r="C7" s="1174"/>
      <c r="D7" s="1174"/>
      <c r="E7" s="1174"/>
      <c r="F7" s="1163"/>
      <c r="G7" s="1169"/>
    </row>
    <row r="8" spans="1:7" ht="13.5" thickBot="1" x14ac:dyDescent="0.25">
      <c r="A8" s="204" t="s">
        <v>236</v>
      </c>
      <c r="B8" s="205" t="s">
        <v>237</v>
      </c>
      <c r="C8" s="204" t="s">
        <v>133</v>
      </c>
      <c r="D8" s="204" t="s">
        <v>454</v>
      </c>
      <c r="E8" s="204" t="s">
        <v>455</v>
      </c>
      <c r="F8" s="204" t="s">
        <v>469</v>
      </c>
      <c r="G8" s="204" t="s">
        <v>520</v>
      </c>
    </row>
    <row r="9" spans="1:7" ht="15" x14ac:dyDescent="0.25">
      <c r="A9" s="169">
        <v>2305</v>
      </c>
      <c r="B9" s="206" t="s">
        <v>273</v>
      </c>
      <c r="C9" s="207"/>
      <c r="D9" s="207"/>
      <c r="E9" s="207"/>
      <c r="F9" s="207"/>
      <c r="G9" s="571"/>
    </row>
    <row r="10" spans="1:7" ht="12.75" customHeight="1" x14ac:dyDescent="0.25">
      <c r="A10" s="169"/>
      <c r="B10" s="208" t="s">
        <v>154</v>
      </c>
      <c r="C10" s="207"/>
      <c r="D10" s="207"/>
      <c r="E10" s="207"/>
      <c r="F10" s="207"/>
      <c r="G10" s="571"/>
    </row>
    <row r="11" spans="1:7" ht="12.75" customHeight="1" thickBot="1" x14ac:dyDescent="0.3">
      <c r="A11" s="169"/>
      <c r="B11" s="209" t="s">
        <v>155</v>
      </c>
      <c r="C11" s="572"/>
      <c r="D11" s="572"/>
      <c r="E11" s="572"/>
      <c r="F11" s="572"/>
      <c r="G11" s="571"/>
    </row>
    <row r="12" spans="1:7" ht="13.5" customHeight="1" thickBot="1" x14ac:dyDescent="0.3">
      <c r="A12" s="169"/>
      <c r="B12" s="210" t="s">
        <v>156</v>
      </c>
      <c r="C12" s="570"/>
      <c r="D12" s="570"/>
      <c r="E12" s="570"/>
      <c r="F12" s="570"/>
      <c r="G12" s="573"/>
    </row>
    <row r="13" spans="1:7" x14ac:dyDescent="0.2">
      <c r="A13" s="211"/>
      <c r="B13" s="208" t="s">
        <v>157</v>
      </c>
      <c r="C13" s="574"/>
      <c r="D13" s="574"/>
      <c r="E13" s="574"/>
      <c r="F13" s="574"/>
      <c r="G13" s="571"/>
    </row>
    <row r="14" spans="1:7" x14ac:dyDescent="0.2">
      <c r="A14" s="211"/>
      <c r="B14" s="212" t="s">
        <v>158</v>
      </c>
      <c r="C14" s="575"/>
      <c r="D14" s="575"/>
      <c r="E14" s="575"/>
      <c r="F14" s="575"/>
      <c r="G14" s="571"/>
    </row>
    <row r="15" spans="1:7" x14ac:dyDescent="0.2">
      <c r="A15" s="211"/>
      <c r="B15" s="212" t="s">
        <v>159</v>
      </c>
      <c r="C15" s="575"/>
      <c r="D15" s="575"/>
      <c r="E15" s="575"/>
      <c r="F15" s="575"/>
      <c r="G15" s="571"/>
    </row>
    <row r="16" spans="1:7" x14ac:dyDescent="0.2">
      <c r="A16" s="211"/>
      <c r="B16" s="213" t="s">
        <v>160</v>
      </c>
      <c r="C16" s="574"/>
      <c r="D16" s="574"/>
      <c r="E16" s="574"/>
      <c r="F16" s="574"/>
      <c r="G16" s="571"/>
    </row>
    <row r="17" spans="1:7" x14ac:dyDescent="0.2">
      <c r="A17" s="211"/>
      <c r="B17" s="213" t="s">
        <v>161</v>
      </c>
      <c r="C17" s="574"/>
      <c r="D17" s="574"/>
      <c r="E17" s="574"/>
      <c r="F17" s="574"/>
      <c r="G17" s="571"/>
    </row>
    <row r="18" spans="1:7" x14ac:dyDescent="0.2">
      <c r="A18" s="211"/>
      <c r="B18" s="213" t="s">
        <v>162</v>
      </c>
      <c r="C18" s="574"/>
      <c r="D18" s="574"/>
      <c r="E18" s="574"/>
      <c r="F18" s="574"/>
      <c r="G18" s="571"/>
    </row>
    <row r="19" spans="1:7" x14ac:dyDescent="0.2">
      <c r="A19" s="211"/>
      <c r="B19" s="214" t="s">
        <v>381</v>
      </c>
      <c r="C19" s="574"/>
      <c r="D19" s="574"/>
      <c r="E19" s="574"/>
      <c r="F19" s="574"/>
      <c r="G19" s="571"/>
    </row>
    <row r="20" spans="1:7" ht="13.5" thickBot="1" x14ac:dyDescent="0.25">
      <c r="A20" s="211"/>
      <c r="B20" s="215" t="s">
        <v>163</v>
      </c>
      <c r="C20" s="574"/>
      <c r="D20" s="574"/>
      <c r="E20" s="574"/>
      <c r="F20" s="574"/>
      <c r="G20" s="571"/>
    </row>
    <row r="21" spans="1:7" ht="13.5" thickBot="1" x14ac:dyDescent="0.25">
      <c r="A21" s="211"/>
      <c r="B21" s="216" t="s">
        <v>295</v>
      </c>
      <c r="C21" s="576"/>
      <c r="D21" s="576"/>
      <c r="E21" s="576"/>
      <c r="F21" s="576"/>
      <c r="G21" s="577"/>
    </row>
    <row r="22" spans="1:7" ht="13.5" thickBot="1" x14ac:dyDescent="0.25">
      <c r="A22" s="211"/>
      <c r="B22" s="768" t="s">
        <v>191</v>
      </c>
      <c r="C22" s="769"/>
      <c r="D22" s="769"/>
      <c r="E22" s="769"/>
      <c r="F22" s="769"/>
      <c r="G22" s="603"/>
    </row>
    <row r="23" spans="1:7" ht="18.75" customHeight="1" thickBot="1" x14ac:dyDescent="0.25">
      <c r="A23" s="217"/>
      <c r="B23" s="218" t="s">
        <v>49</v>
      </c>
      <c r="C23" s="578"/>
      <c r="D23" s="578"/>
      <c r="E23" s="578"/>
      <c r="F23" s="578"/>
      <c r="G23" s="603"/>
    </row>
    <row r="24" spans="1:7" ht="12.6" customHeight="1" thickBot="1" x14ac:dyDescent="0.25">
      <c r="A24" s="217"/>
      <c r="B24" s="328" t="s">
        <v>389</v>
      </c>
      <c r="C24" s="579"/>
      <c r="D24" s="579"/>
      <c r="E24" s="579"/>
      <c r="F24" s="579"/>
      <c r="G24" s="593"/>
    </row>
    <row r="25" spans="1:7" ht="18.75" customHeight="1" thickBot="1" x14ac:dyDescent="0.25">
      <c r="A25" s="211"/>
      <c r="B25" s="219" t="s">
        <v>50</v>
      </c>
      <c r="C25" s="580"/>
      <c r="D25" s="580"/>
      <c r="E25" s="580"/>
      <c r="F25" s="580"/>
      <c r="G25" s="603"/>
    </row>
    <row r="26" spans="1:7" ht="12.75" customHeight="1" x14ac:dyDescent="0.2">
      <c r="A26" s="211"/>
      <c r="B26" s="325" t="s">
        <v>357</v>
      </c>
      <c r="C26" s="581">
        <v>0</v>
      </c>
      <c r="D26" s="581">
        <v>1310</v>
      </c>
      <c r="E26" s="581">
        <v>1310</v>
      </c>
      <c r="F26" s="581">
        <v>1310</v>
      </c>
      <c r="G26" s="571">
        <f>F26/E26</f>
        <v>1</v>
      </c>
    </row>
    <row r="27" spans="1:7" ht="13.5" thickBot="1" x14ac:dyDescent="0.25">
      <c r="A27" s="211"/>
      <c r="B27" s="128" t="s">
        <v>385</v>
      </c>
      <c r="C27" s="582">
        <v>248344</v>
      </c>
      <c r="D27" s="582">
        <f>248344+260+2059+735+949</f>
        <v>252347</v>
      </c>
      <c r="E27" s="582">
        <f>252347+1216</f>
        <v>253563</v>
      </c>
      <c r="F27" s="582">
        <f>253563+14381</f>
        <v>267944</v>
      </c>
      <c r="G27" s="593">
        <f t="shared" ref="G27:G77" si="0">F27/E27</f>
        <v>1.0567156880144184</v>
      </c>
    </row>
    <row r="28" spans="1:7" ht="18.75" customHeight="1" thickBot="1" x14ac:dyDescent="0.25">
      <c r="A28" s="211"/>
      <c r="B28" s="220" t="s">
        <v>43</v>
      </c>
      <c r="C28" s="577">
        <f t="shared" ref="C28:D28" si="1">SUM(C26:C27)</f>
        <v>248344</v>
      </c>
      <c r="D28" s="577">
        <f t="shared" si="1"/>
        <v>253657</v>
      </c>
      <c r="E28" s="577">
        <f t="shared" ref="E28:F28" si="2">SUM(E26:E27)</f>
        <v>254873</v>
      </c>
      <c r="F28" s="577">
        <f t="shared" si="2"/>
        <v>269254</v>
      </c>
      <c r="G28" s="1117">
        <f t="shared" si="0"/>
        <v>1.0564241798856686</v>
      </c>
    </row>
    <row r="29" spans="1:7" ht="12.75" customHeight="1" thickBot="1" x14ac:dyDescent="0.25">
      <c r="A29" s="211"/>
      <c r="B29" s="190" t="s">
        <v>357</v>
      </c>
      <c r="C29" s="579"/>
      <c r="D29" s="579"/>
      <c r="E29" s="579"/>
      <c r="F29" s="579"/>
      <c r="G29" s="593"/>
    </row>
    <row r="30" spans="1:7" ht="15" customHeight="1" thickBot="1" x14ac:dyDescent="0.25">
      <c r="A30" s="211"/>
      <c r="B30" s="220" t="s">
        <v>45</v>
      </c>
      <c r="C30" s="583"/>
      <c r="D30" s="583"/>
      <c r="E30" s="583"/>
      <c r="F30" s="583"/>
      <c r="G30" s="593"/>
    </row>
    <row r="31" spans="1:7" ht="15.75" thickBot="1" x14ac:dyDescent="0.3">
      <c r="A31" s="221"/>
      <c r="B31" s="222" t="s">
        <v>54</v>
      </c>
      <c r="C31" s="391">
        <f t="shared" ref="C31:D31" si="3">SUM(C23+C25+C28+C30)</f>
        <v>248344</v>
      </c>
      <c r="D31" s="391">
        <f t="shared" si="3"/>
        <v>253657</v>
      </c>
      <c r="E31" s="386">
        <f t="shared" ref="E31:F31" si="4">SUM(E23+E25+E28+E30)</f>
        <v>254873</v>
      </c>
      <c r="F31" s="386">
        <f t="shared" si="4"/>
        <v>269254</v>
      </c>
      <c r="G31" s="1117">
        <f t="shared" si="0"/>
        <v>1.0564241798856686</v>
      </c>
    </row>
    <row r="32" spans="1:7" x14ac:dyDescent="0.2">
      <c r="A32" s="207"/>
      <c r="B32" s="223" t="s">
        <v>276</v>
      </c>
      <c r="C32" s="582">
        <v>211018</v>
      </c>
      <c r="D32" s="582">
        <f>211018+217+650+840</f>
        <v>212725</v>
      </c>
      <c r="E32" s="582">
        <f>212725+1076</f>
        <v>213801</v>
      </c>
      <c r="F32" s="582">
        <f>213801+14251</f>
        <v>228052</v>
      </c>
      <c r="G32" s="867">
        <f t="shared" si="0"/>
        <v>1.0666554412748304</v>
      </c>
    </row>
    <row r="33" spans="1:7" x14ac:dyDescent="0.2">
      <c r="A33" s="207"/>
      <c r="B33" s="223" t="s">
        <v>277</v>
      </c>
      <c r="C33" s="582">
        <v>32268</v>
      </c>
      <c r="D33" s="582">
        <f>32268+28+85+109</f>
        <v>32490</v>
      </c>
      <c r="E33" s="582">
        <f>32490+140</f>
        <v>32630</v>
      </c>
      <c r="F33" s="582">
        <f>32630+130</f>
        <v>32760</v>
      </c>
      <c r="G33" s="571">
        <f t="shared" si="0"/>
        <v>1.0039840637450199</v>
      </c>
    </row>
    <row r="34" spans="1:7" x14ac:dyDescent="0.2">
      <c r="A34" s="207"/>
      <c r="B34" s="223" t="s">
        <v>278</v>
      </c>
      <c r="C34" s="582">
        <v>4500</v>
      </c>
      <c r="D34" s="582">
        <f>4500+1065+260+343</f>
        <v>6168</v>
      </c>
      <c r="E34" s="582">
        <f>4500+1065+260+343</f>
        <v>6168</v>
      </c>
      <c r="F34" s="582">
        <f>4500+1065+260+343</f>
        <v>6168</v>
      </c>
      <c r="G34" s="571">
        <f t="shared" si="0"/>
        <v>1</v>
      </c>
    </row>
    <row r="35" spans="1:7" x14ac:dyDescent="0.2">
      <c r="A35" s="207"/>
      <c r="B35" s="224" t="s">
        <v>280</v>
      </c>
      <c r="C35" s="584"/>
      <c r="D35" s="584"/>
      <c r="E35" s="584"/>
      <c r="F35" s="584"/>
      <c r="G35" s="571"/>
    </row>
    <row r="36" spans="1:7" ht="13.5" thickBot="1" x14ac:dyDescent="0.25">
      <c r="A36" s="207"/>
      <c r="B36" s="225" t="s">
        <v>279</v>
      </c>
      <c r="C36" s="584"/>
      <c r="D36" s="584"/>
      <c r="E36" s="584"/>
      <c r="F36" s="584"/>
      <c r="G36" s="593"/>
    </row>
    <row r="37" spans="1:7" ht="13.5" thickBot="1" x14ac:dyDescent="0.25">
      <c r="A37" s="207"/>
      <c r="B37" s="226" t="s">
        <v>42</v>
      </c>
      <c r="C37" s="391">
        <f>SUM(C32:C36)</f>
        <v>247786</v>
      </c>
      <c r="D37" s="391">
        <f>SUM(D32:D36)</f>
        <v>251383</v>
      </c>
      <c r="E37" s="391">
        <f>SUM(E32:E36)</f>
        <v>252599</v>
      </c>
      <c r="F37" s="391">
        <f>SUM(F32:F36)</f>
        <v>266980</v>
      </c>
      <c r="G37" s="1117">
        <f t="shared" si="0"/>
        <v>1.056932133539721</v>
      </c>
    </row>
    <row r="38" spans="1:7" x14ac:dyDescent="0.2">
      <c r="A38" s="207"/>
      <c r="B38" s="223" t="s">
        <v>1036</v>
      </c>
      <c r="C38" s="582">
        <v>558</v>
      </c>
      <c r="D38" s="582">
        <f>558+1716</f>
        <v>2274</v>
      </c>
      <c r="E38" s="582">
        <f>558+1716</f>
        <v>2274</v>
      </c>
      <c r="F38" s="582">
        <f>558+1716</f>
        <v>2274</v>
      </c>
      <c r="G38" s="867">
        <f t="shared" si="0"/>
        <v>1</v>
      </c>
    </row>
    <row r="39" spans="1:7" x14ac:dyDescent="0.2">
      <c r="A39" s="207"/>
      <c r="B39" s="223" t="s">
        <v>211</v>
      </c>
      <c r="C39" s="584"/>
      <c r="D39" s="584"/>
      <c r="E39" s="584"/>
      <c r="F39" s="584"/>
      <c r="G39" s="571"/>
    </row>
    <row r="40" spans="1:7" ht="13.5" thickBot="1" x14ac:dyDescent="0.25">
      <c r="A40" s="207"/>
      <c r="B40" s="225" t="s">
        <v>366</v>
      </c>
      <c r="C40" s="584"/>
      <c r="D40" s="584"/>
      <c r="E40" s="584"/>
      <c r="F40" s="584"/>
      <c r="G40" s="593"/>
    </row>
    <row r="41" spans="1:7" ht="13.5" thickBot="1" x14ac:dyDescent="0.25">
      <c r="A41" s="207"/>
      <c r="B41" s="227" t="s">
        <v>48</v>
      </c>
      <c r="C41" s="391">
        <f t="shared" ref="C41:D41" si="5">SUM(C38:C40)</f>
        <v>558</v>
      </c>
      <c r="D41" s="391">
        <f t="shared" si="5"/>
        <v>2274</v>
      </c>
      <c r="E41" s="391">
        <f t="shared" ref="E41:F41" si="6">SUM(E38:E40)</f>
        <v>2274</v>
      </c>
      <c r="F41" s="391">
        <f t="shared" si="6"/>
        <v>2274</v>
      </c>
      <c r="G41" s="1117">
        <f t="shared" si="0"/>
        <v>1</v>
      </c>
    </row>
    <row r="42" spans="1:7" ht="15.75" thickBot="1" x14ac:dyDescent="0.3">
      <c r="A42" s="204"/>
      <c r="B42" s="228" t="s">
        <v>89</v>
      </c>
      <c r="C42" s="386">
        <f t="shared" ref="C42:D42" si="7">SUM(C37+C41)</f>
        <v>248344</v>
      </c>
      <c r="D42" s="386">
        <f t="shared" si="7"/>
        <v>253657</v>
      </c>
      <c r="E42" s="386">
        <f t="shared" ref="E42:F42" si="8">SUM(E37+E41)</f>
        <v>254873</v>
      </c>
      <c r="F42" s="386">
        <f t="shared" si="8"/>
        <v>269254</v>
      </c>
      <c r="G42" s="1117">
        <f t="shared" si="0"/>
        <v>1.0564241798856686</v>
      </c>
    </row>
    <row r="43" spans="1:7" ht="15" x14ac:dyDescent="0.25">
      <c r="A43" s="169">
        <v>2309</v>
      </c>
      <c r="B43" s="229" t="s">
        <v>281</v>
      </c>
      <c r="C43" s="373"/>
      <c r="D43" s="373"/>
      <c r="E43" s="373"/>
      <c r="F43" s="373"/>
      <c r="G43" s="867"/>
    </row>
    <row r="44" spans="1:7" ht="12.6" customHeight="1" x14ac:dyDescent="0.2">
      <c r="A44" s="207"/>
      <c r="B44" s="208" t="s">
        <v>154</v>
      </c>
      <c r="C44" s="373"/>
      <c r="D44" s="373"/>
      <c r="E44" s="373"/>
      <c r="F44" s="373"/>
      <c r="G44" s="571"/>
    </row>
    <row r="45" spans="1:7" ht="13.5" thickBot="1" x14ac:dyDescent="0.25">
      <c r="A45" s="207"/>
      <c r="B45" s="209" t="s">
        <v>155</v>
      </c>
      <c r="C45" s="586"/>
      <c r="D45" s="586"/>
      <c r="E45" s="586"/>
      <c r="F45" s="586"/>
      <c r="G45" s="593"/>
    </row>
    <row r="46" spans="1:7" ht="13.5" thickBot="1" x14ac:dyDescent="0.25">
      <c r="A46" s="207"/>
      <c r="B46" s="210" t="s">
        <v>156</v>
      </c>
      <c r="C46" s="570"/>
      <c r="D46" s="570"/>
      <c r="E46" s="1114"/>
      <c r="F46" s="1114"/>
      <c r="G46" s="593"/>
    </row>
    <row r="47" spans="1:7" x14ac:dyDescent="0.2">
      <c r="A47" s="207"/>
      <c r="B47" s="208" t="s">
        <v>157</v>
      </c>
      <c r="C47" s="584"/>
      <c r="D47" s="584"/>
      <c r="E47" s="584"/>
      <c r="F47" s="584"/>
      <c r="G47" s="867"/>
    </row>
    <row r="48" spans="1:7" x14ac:dyDescent="0.2">
      <c r="A48" s="207"/>
      <c r="B48" s="212" t="s">
        <v>158</v>
      </c>
      <c r="C48" s="587"/>
      <c r="D48" s="587"/>
      <c r="E48" s="587"/>
      <c r="F48" s="587"/>
      <c r="G48" s="571"/>
    </row>
    <row r="49" spans="1:7" x14ac:dyDescent="0.2">
      <c r="A49" s="207"/>
      <c r="B49" s="212" t="s">
        <v>159</v>
      </c>
      <c r="C49" s="587"/>
      <c r="D49" s="587"/>
      <c r="E49" s="587"/>
      <c r="F49" s="587"/>
      <c r="G49" s="571"/>
    </row>
    <row r="50" spans="1:7" x14ac:dyDescent="0.2">
      <c r="A50" s="207"/>
      <c r="B50" s="213" t="s">
        <v>160</v>
      </c>
      <c r="C50" s="584"/>
      <c r="D50" s="584"/>
      <c r="E50" s="584"/>
      <c r="F50" s="584"/>
      <c r="G50" s="571"/>
    </row>
    <row r="51" spans="1:7" x14ac:dyDescent="0.2">
      <c r="A51" s="207"/>
      <c r="B51" s="213" t="s">
        <v>161</v>
      </c>
      <c r="C51" s="584"/>
      <c r="D51" s="584"/>
      <c r="E51" s="584"/>
      <c r="F51" s="584"/>
      <c r="G51" s="571"/>
    </row>
    <row r="52" spans="1:7" x14ac:dyDescent="0.2">
      <c r="A52" s="207"/>
      <c r="B52" s="213" t="s">
        <v>162</v>
      </c>
      <c r="C52" s="584"/>
      <c r="D52" s="584"/>
      <c r="E52" s="584"/>
      <c r="F52" s="584"/>
      <c r="G52" s="571"/>
    </row>
    <row r="53" spans="1:7" x14ac:dyDescent="0.2">
      <c r="A53" s="207"/>
      <c r="B53" s="213" t="s">
        <v>299</v>
      </c>
      <c r="C53" s="584"/>
      <c r="D53" s="584"/>
      <c r="E53" s="584"/>
      <c r="F53" s="584"/>
      <c r="G53" s="571"/>
    </row>
    <row r="54" spans="1:7" x14ac:dyDescent="0.2">
      <c r="A54" s="207"/>
      <c r="B54" s="214" t="s">
        <v>381</v>
      </c>
      <c r="C54" s="584"/>
      <c r="D54" s="584"/>
      <c r="E54" s="584"/>
      <c r="F54" s="584"/>
      <c r="G54" s="571"/>
    </row>
    <row r="55" spans="1:7" ht="13.5" thickBot="1" x14ac:dyDescent="0.25">
      <c r="A55" s="207"/>
      <c r="B55" s="215" t="s">
        <v>163</v>
      </c>
      <c r="C55" s="585"/>
      <c r="D55" s="585"/>
      <c r="E55" s="585"/>
      <c r="F55" s="585"/>
      <c r="G55" s="593"/>
    </row>
    <row r="56" spans="1:7" ht="13.5" thickBot="1" x14ac:dyDescent="0.25">
      <c r="A56" s="207"/>
      <c r="B56" s="216" t="s">
        <v>295</v>
      </c>
      <c r="C56" s="386"/>
      <c r="D56" s="386"/>
      <c r="E56" s="386"/>
      <c r="F56" s="386"/>
      <c r="G56" s="593"/>
    </row>
    <row r="57" spans="1:7" ht="13.5" thickBot="1" x14ac:dyDescent="0.25">
      <c r="A57" s="207"/>
      <c r="B57" s="768" t="s">
        <v>191</v>
      </c>
      <c r="C57" s="386"/>
      <c r="D57" s="386"/>
      <c r="E57" s="386"/>
      <c r="F57" s="386"/>
      <c r="G57" s="593"/>
    </row>
    <row r="58" spans="1:7" ht="13.5" thickBot="1" x14ac:dyDescent="0.25">
      <c r="A58" s="207"/>
      <c r="B58" s="218" t="s">
        <v>49</v>
      </c>
      <c r="C58" s="583"/>
      <c r="D58" s="583"/>
      <c r="E58" s="583"/>
      <c r="F58" s="583"/>
      <c r="G58" s="593"/>
    </row>
    <row r="59" spans="1:7" ht="13.5" thickBot="1" x14ac:dyDescent="0.25">
      <c r="A59" s="207"/>
      <c r="B59" s="328" t="s">
        <v>389</v>
      </c>
      <c r="C59" s="588"/>
      <c r="D59" s="588"/>
      <c r="E59" s="588"/>
      <c r="F59" s="588"/>
      <c r="G59" s="593"/>
    </row>
    <row r="60" spans="1:7" ht="13.5" thickBot="1" x14ac:dyDescent="0.25">
      <c r="A60" s="207"/>
      <c r="B60" s="219" t="s">
        <v>50</v>
      </c>
      <c r="C60" s="583"/>
      <c r="D60" s="583"/>
      <c r="E60" s="583"/>
      <c r="F60" s="583"/>
      <c r="G60" s="593"/>
    </row>
    <row r="61" spans="1:7" x14ac:dyDescent="0.2">
      <c r="A61" s="207"/>
      <c r="B61" s="325" t="s">
        <v>357</v>
      </c>
      <c r="C61" s="582">
        <v>0</v>
      </c>
      <c r="D61" s="582">
        <v>830</v>
      </c>
      <c r="E61" s="582">
        <v>830</v>
      </c>
      <c r="F61" s="582">
        <v>830</v>
      </c>
      <c r="G61" s="867">
        <f t="shared" si="0"/>
        <v>1</v>
      </c>
    </row>
    <row r="62" spans="1:7" ht="13.5" thickBot="1" x14ac:dyDescent="0.25">
      <c r="A62" s="207"/>
      <c r="B62" s="128" t="s">
        <v>385</v>
      </c>
      <c r="C62" s="828">
        <v>249260</v>
      </c>
      <c r="D62" s="828">
        <f>249260+107+1950+266+870</f>
        <v>252453</v>
      </c>
      <c r="E62" s="828">
        <f>249260+107+1950+266+870</f>
        <v>252453</v>
      </c>
      <c r="F62" s="828">
        <f>252453+11928</f>
        <v>264381</v>
      </c>
      <c r="G62" s="593">
        <f t="shared" si="0"/>
        <v>1.0472483987118395</v>
      </c>
    </row>
    <row r="63" spans="1:7" ht="13.5" thickBot="1" x14ac:dyDescent="0.25">
      <c r="A63" s="207"/>
      <c r="B63" s="220" t="s">
        <v>43</v>
      </c>
      <c r="C63" s="583">
        <f t="shared" ref="C63:D63" si="9">SUM(C61:C62)</f>
        <v>249260</v>
      </c>
      <c r="D63" s="583">
        <f t="shared" si="9"/>
        <v>253283</v>
      </c>
      <c r="E63" s="583">
        <f t="shared" ref="E63:F63" si="10">SUM(E61:E62)</f>
        <v>253283</v>
      </c>
      <c r="F63" s="583">
        <f t="shared" si="10"/>
        <v>265211</v>
      </c>
      <c r="G63" s="1117">
        <f t="shared" si="0"/>
        <v>1.0470935672745505</v>
      </c>
    </row>
    <row r="64" spans="1:7" ht="13.5" thickBot="1" x14ac:dyDescent="0.25">
      <c r="A64" s="207"/>
      <c r="B64" s="190" t="s">
        <v>357</v>
      </c>
      <c r="C64" s="589"/>
      <c r="D64" s="589"/>
      <c r="E64" s="588"/>
      <c r="F64" s="588"/>
      <c r="G64" s="593"/>
    </row>
    <row r="65" spans="1:7" ht="13.5" thickBot="1" x14ac:dyDescent="0.25">
      <c r="A65" s="207"/>
      <c r="B65" s="220" t="s">
        <v>45</v>
      </c>
      <c r="C65" s="583"/>
      <c r="D65" s="583"/>
      <c r="E65" s="583"/>
      <c r="F65" s="583"/>
      <c r="G65" s="593"/>
    </row>
    <row r="66" spans="1:7" ht="15.75" thickBot="1" x14ac:dyDescent="0.3">
      <c r="A66" s="207"/>
      <c r="B66" s="222" t="s">
        <v>54</v>
      </c>
      <c r="C66" s="391">
        <f t="shared" ref="C66:D66" si="11">SUM(C58+C60+C63+C65)</f>
        <v>249260</v>
      </c>
      <c r="D66" s="391">
        <f t="shared" si="11"/>
        <v>253283</v>
      </c>
      <c r="E66" s="386">
        <f t="shared" ref="E66:F66" si="12">SUM(E58+E60+E63+E65)</f>
        <v>253283</v>
      </c>
      <c r="F66" s="386">
        <f t="shared" si="12"/>
        <v>265211</v>
      </c>
      <c r="G66" s="1117">
        <f t="shared" si="0"/>
        <v>1.0470935672745505</v>
      </c>
    </row>
    <row r="67" spans="1:7" x14ac:dyDescent="0.2">
      <c r="A67" s="207"/>
      <c r="B67" s="223" t="s">
        <v>276</v>
      </c>
      <c r="C67" s="582">
        <v>211839</v>
      </c>
      <c r="D67" s="582">
        <f>211839+60+235+770</f>
        <v>212904</v>
      </c>
      <c r="E67" s="582">
        <f>211839+60+235+770</f>
        <v>212904</v>
      </c>
      <c r="F67" s="582">
        <f>212904+11928+322</f>
        <v>225154</v>
      </c>
      <c r="G67" s="867">
        <f t="shared" si="0"/>
        <v>1.0575376695599894</v>
      </c>
    </row>
    <row r="68" spans="1:7" x14ac:dyDescent="0.2">
      <c r="A68" s="207"/>
      <c r="B68" s="223" t="s">
        <v>277</v>
      </c>
      <c r="C68" s="582">
        <v>32320</v>
      </c>
      <c r="D68" s="582">
        <f>32320+32+31+100</f>
        <v>32483</v>
      </c>
      <c r="E68" s="582">
        <f>32320+32+31+100</f>
        <v>32483</v>
      </c>
      <c r="F68" s="582">
        <f>32483-322</f>
        <v>32161</v>
      </c>
      <c r="G68" s="571">
        <f t="shared" si="0"/>
        <v>0.99008712249484343</v>
      </c>
    </row>
    <row r="69" spans="1:7" x14ac:dyDescent="0.2">
      <c r="A69" s="207"/>
      <c r="B69" s="223" t="s">
        <v>278</v>
      </c>
      <c r="C69" s="582">
        <v>4500</v>
      </c>
      <c r="D69" s="582">
        <f>4500+738+107</f>
        <v>5345</v>
      </c>
      <c r="E69" s="582">
        <f>4500+738+107</f>
        <v>5345</v>
      </c>
      <c r="F69" s="582">
        <f>4500+738+107</f>
        <v>5345</v>
      </c>
      <c r="G69" s="571">
        <f t="shared" si="0"/>
        <v>1</v>
      </c>
    </row>
    <row r="70" spans="1:7" x14ac:dyDescent="0.2">
      <c r="A70" s="207"/>
      <c r="B70" s="224" t="s">
        <v>280</v>
      </c>
      <c r="C70" s="584"/>
      <c r="D70" s="584"/>
      <c r="E70" s="584"/>
      <c r="F70" s="584"/>
      <c r="G70" s="571"/>
    </row>
    <row r="71" spans="1:7" ht="13.5" thickBot="1" x14ac:dyDescent="0.25">
      <c r="A71" s="207"/>
      <c r="B71" s="225" t="s">
        <v>279</v>
      </c>
      <c r="C71" s="585"/>
      <c r="D71" s="585"/>
      <c r="E71" s="585"/>
      <c r="F71" s="585"/>
      <c r="G71" s="593"/>
    </row>
    <row r="72" spans="1:7" ht="13.5" thickBot="1" x14ac:dyDescent="0.25">
      <c r="A72" s="207"/>
      <c r="B72" s="226" t="s">
        <v>42</v>
      </c>
      <c r="C72" s="386">
        <f t="shared" ref="C72:D72" si="13">SUM(C67:C71)</f>
        <v>248659</v>
      </c>
      <c r="D72" s="386">
        <f t="shared" si="13"/>
        <v>250732</v>
      </c>
      <c r="E72" s="386">
        <f t="shared" ref="E72:F72" si="14">SUM(E67:E71)</f>
        <v>250732</v>
      </c>
      <c r="F72" s="386">
        <f t="shared" si="14"/>
        <v>262660</v>
      </c>
      <c r="G72" s="1117">
        <f t="shared" si="0"/>
        <v>1.0475727071135714</v>
      </c>
    </row>
    <row r="73" spans="1:7" x14ac:dyDescent="0.2">
      <c r="A73" s="207"/>
      <c r="B73" s="223" t="s">
        <v>1036</v>
      </c>
      <c r="C73" s="584">
        <v>601</v>
      </c>
      <c r="D73" s="584">
        <f>601+1950</f>
        <v>2551</v>
      </c>
      <c r="E73" s="584">
        <f>601+1950</f>
        <v>2551</v>
      </c>
      <c r="F73" s="584">
        <f>601+1950</f>
        <v>2551</v>
      </c>
      <c r="G73" s="867">
        <f t="shared" si="0"/>
        <v>1</v>
      </c>
    </row>
    <row r="74" spans="1:7" x14ac:dyDescent="0.2">
      <c r="A74" s="207"/>
      <c r="B74" s="223" t="s">
        <v>211</v>
      </c>
      <c r="C74" s="584"/>
      <c r="D74" s="584"/>
      <c r="E74" s="584"/>
      <c r="F74" s="584"/>
      <c r="G74" s="571"/>
    </row>
    <row r="75" spans="1:7" ht="13.5" thickBot="1" x14ac:dyDescent="0.25">
      <c r="A75" s="207"/>
      <c r="B75" s="225" t="s">
        <v>366</v>
      </c>
      <c r="C75" s="585"/>
      <c r="D75" s="585"/>
      <c r="E75" s="585"/>
      <c r="F75" s="585"/>
      <c r="G75" s="593"/>
    </row>
    <row r="76" spans="1:7" ht="13.5" thickBot="1" x14ac:dyDescent="0.25">
      <c r="A76" s="207"/>
      <c r="B76" s="227" t="s">
        <v>48</v>
      </c>
      <c r="C76" s="386">
        <f t="shared" ref="C76:D76" si="15">SUM(C73:C75)</f>
        <v>601</v>
      </c>
      <c r="D76" s="386">
        <f t="shared" si="15"/>
        <v>2551</v>
      </c>
      <c r="E76" s="386">
        <f t="shared" ref="E76:F76" si="16">SUM(E73:E75)</f>
        <v>2551</v>
      </c>
      <c r="F76" s="386">
        <f t="shared" si="16"/>
        <v>2551</v>
      </c>
      <c r="G76" s="1117">
        <f t="shared" si="0"/>
        <v>1</v>
      </c>
    </row>
    <row r="77" spans="1:7" ht="15.75" thickBot="1" x14ac:dyDescent="0.3">
      <c r="A77" s="204"/>
      <c r="B77" s="228" t="s">
        <v>89</v>
      </c>
      <c r="C77" s="391">
        <f>SUM(C72+C76)</f>
        <v>249260</v>
      </c>
      <c r="D77" s="391">
        <f>SUM(D72+D76)</f>
        <v>253283</v>
      </c>
      <c r="E77" s="386">
        <f>SUM(E72+E76)</f>
        <v>253283</v>
      </c>
      <c r="F77" s="386">
        <f>SUM(F72+F76)</f>
        <v>265211</v>
      </c>
      <c r="G77" s="1117">
        <f t="shared" si="0"/>
        <v>1.0470935672745505</v>
      </c>
    </row>
    <row r="78" spans="1:7" ht="15" x14ac:dyDescent="0.25">
      <c r="A78" s="169">
        <v>2310</v>
      </c>
      <c r="B78" s="229" t="s">
        <v>282</v>
      </c>
      <c r="C78" s="370"/>
      <c r="D78" s="370"/>
      <c r="E78" s="370"/>
      <c r="F78" s="370"/>
      <c r="G78" s="867"/>
    </row>
    <row r="79" spans="1:7" ht="12.6" customHeight="1" x14ac:dyDescent="0.2">
      <c r="A79" s="207"/>
      <c r="B79" s="208" t="s">
        <v>154</v>
      </c>
      <c r="C79" s="373"/>
      <c r="D79" s="373"/>
      <c r="E79" s="373"/>
      <c r="F79" s="373"/>
      <c r="G79" s="571"/>
    </row>
    <row r="80" spans="1:7" ht="13.5" thickBot="1" x14ac:dyDescent="0.25">
      <c r="A80" s="207"/>
      <c r="B80" s="209" t="s">
        <v>155</v>
      </c>
      <c r="C80" s="374"/>
      <c r="D80" s="374"/>
      <c r="E80" s="374"/>
      <c r="F80" s="374"/>
      <c r="G80" s="593"/>
    </row>
    <row r="81" spans="1:7" ht="13.5" thickBot="1" x14ac:dyDescent="0.25">
      <c r="A81" s="207"/>
      <c r="B81" s="210" t="s">
        <v>156</v>
      </c>
      <c r="C81" s="375"/>
      <c r="D81" s="375"/>
      <c r="E81" s="375"/>
      <c r="F81" s="375"/>
      <c r="G81" s="593"/>
    </row>
    <row r="82" spans="1:7" x14ac:dyDescent="0.2">
      <c r="A82" s="207"/>
      <c r="B82" s="208" t="s">
        <v>157</v>
      </c>
      <c r="C82" s="370"/>
      <c r="D82" s="370"/>
      <c r="E82" s="370"/>
      <c r="F82" s="370"/>
      <c r="G82" s="867"/>
    </row>
    <row r="83" spans="1:7" x14ac:dyDescent="0.2">
      <c r="A83" s="207"/>
      <c r="B83" s="212" t="s">
        <v>158</v>
      </c>
      <c r="C83" s="376"/>
      <c r="D83" s="376"/>
      <c r="E83" s="376"/>
      <c r="F83" s="376"/>
      <c r="G83" s="571"/>
    </row>
    <row r="84" spans="1:7" x14ac:dyDescent="0.2">
      <c r="A84" s="207"/>
      <c r="B84" s="212" t="s">
        <v>159</v>
      </c>
      <c r="C84" s="376"/>
      <c r="D84" s="376"/>
      <c r="E84" s="376"/>
      <c r="F84" s="376"/>
      <c r="G84" s="571"/>
    </row>
    <row r="85" spans="1:7" x14ac:dyDescent="0.2">
      <c r="A85" s="207"/>
      <c r="B85" s="213" t="s">
        <v>160</v>
      </c>
      <c r="C85" s="370"/>
      <c r="D85" s="370"/>
      <c r="E85" s="370"/>
      <c r="F85" s="370"/>
      <c r="G85" s="571"/>
    </row>
    <row r="86" spans="1:7" x14ac:dyDescent="0.2">
      <c r="A86" s="207"/>
      <c r="B86" s="213" t="s">
        <v>161</v>
      </c>
      <c r="C86" s="370"/>
      <c r="D86" s="370"/>
      <c r="E86" s="370"/>
      <c r="F86" s="370"/>
      <c r="G86" s="571"/>
    </row>
    <row r="87" spans="1:7" x14ac:dyDescent="0.2">
      <c r="A87" s="207"/>
      <c r="B87" s="213" t="s">
        <v>162</v>
      </c>
      <c r="C87" s="370"/>
      <c r="D87" s="370"/>
      <c r="E87" s="370"/>
      <c r="F87" s="370"/>
      <c r="G87" s="571"/>
    </row>
    <row r="88" spans="1:7" x14ac:dyDescent="0.2">
      <c r="A88" s="207"/>
      <c r="B88" s="214" t="s">
        <v>381</v>
      </c>
      <c r="C88" s="370"/>
      <c r="D88" s="370"/>
      <c r="E88" s="370"/>
      <c r="F88" s="370"/>
      <c r="G88" s="571"/>
    </row>
    <row r="89" spans="1:7" ht="13.5" thickBot="1" x14ac:dyDescent="0.25">
      <c r="A89" s="207"/>
      <c r="B89" s="215" t="s">
        <v>163</v>
      </c>
      <c r="C89" s="371"/>
      <c r="D89" s="371"/>
      <c r="E89" s="371"/>
      <c r="F89" s="371"/>
      <c r="G89" s="593"/>
    </row>
    <row r="90" spans="1:7" ht="13.5" thickBot="1" x14ac:dyDescent="0.25">
      <c r="A90" s="207"/>
      <c r="B90" s="216" t="s">
        <v>295</v>
      </c>
      <c r="C90" s="377"/>
      <c r="D90" s="377"/>
      <c r="E90" s="377"/>
      <c r="F90" s="377"/>
      <c r="G90" s="593"/>
    </row>
    <row r="91" spans="1:7" ht="13.5" thickBot="1" x14ac:dyDescent="0.25">
      <c r="A91" s="207"/>
      <c r="B91" s="768" t="s">
        <v>191</v>
      </c>
      <c r="C91" s="377"/>
      <c r="D91" s="377"/>
      <c r="E91" s="377"/>
      <c r="F91" s="377"/>
      <c r="G91" s="593"/>
    </row>
    <row r="92" spans="1:7" ht="13.15" customHeight="1" thickBot="1" x14ac:dyDescent="0.25">
      <c r="A92" s="207"/>
      <c r="B92" s="218" t="s">
        <v>49</v>
      </c>
      <c r="C92" s="590"/>
      <c r="D92" s="590"/>
      <c r="E92" s="583"/>
      <c r="F92" s="583"/>
      <c r="G92" s="593"/>
    </row>
    <row r="93" spans="1:7" ht="13.5" thickBot="1" x14ac:dyDescent="0.25">
      <c r="A93" s="207"/>
      <c r="B93" s="328" t="s">
        <v>389</v>
      </c>
      <c r="C93" s="378"/>
      <c r="D93" s="378"/>
      <c r="E93" s="378"/>
      <c r="F93" s="378"/>
      <c r="G93" s="593"/>
    </row>
    <row r="94" spans="1:7" ht="13.5" thickBot="1" x14ac:dyDescent="0.25">
      <c r="A94" s="207"/>
      <c r="B94" s="219" t="s">
        <v>50</v>
      </c>
      <c r="C94" s="379"/>
      <c r="D94" s="379"/>
      <c r="E94" s="379"/>
      <c r="F94" s="379"/>
      <c r="G94" s="593"/>
    </row>
    <row r="95" spans="1:7" x14ac:dyDescent="0.2">
      <c r="A95" s="207"/>
      <c r="B95" s="325" t="s">
        <v>357</v>
      </c>
      <c r="C95" s="582"/>
      <c r="D95" s="582">
        <v>1280</v>
      </c>
      <c r="E95" s="582">
        <v>1280</v>
      </c>
      <c r="F95" s="582">
        <v>1280</v>
      </c>
      <c r="G95" s="867">
        <f t="shared" ref="G95:G146" si="17">F95/E95</f>
        <v>1</v>
      </c>
    </row>
    <row r="96" spans="1:7" ht="13.5" thickBot="1" x14ac:dyDescent="0.25">
      <c r="A96" s="207"/>
      <c r="B96" s="128" t="s">
        <v>385</v>
      </c>
      <c r="C96" s="828">
        <v>122491</v>
      </c>
      <c r="D96" s="828">
        <f>122491+201+1400+231+237</f>
        <v>124560</v>
      </c>
      <c r="E96" s="828">
        <f>122491+201+1400+231+237</f>
        <v>124560</v>
      </c>
      <c r="F96" s="828">
        <f>124560+1685</f>
        <v>126245</v>
      </c>
      <c r="G96" s="593">
        <f t="shared" si="17"/>
        <v>1.0135276172125882</v>
      </c>
    </row>
    <row r="97" spans="1:7" ht="13.5" thickBot="1" x14ac:dyDescent="0.25">
      <c r="A97" s="207"/>
      <c r="B97" s="220" t="s">
        <v>43</v>
      </c>
      <c r="C97" s="379">
        <f t="shared" ref="C97:D97" si="18">SUM(C95:C96)</f>
        <v>122491</v>
      </c>
      <c r="D97" s="379">
        <f t="shared" si="18"/>
        <v>125840</v>
      </c>
      <c r="E97" s="379">
        <f t="shared" ref="E97:F97" si="19">SUM(E95:E96)</f>
        <v>125840</v>
      </c>
      <c r="F97" s="379">
        <f t="shared" si="19"/>
        <v>127525</v>
      </c>
      <c r="G97" s="1117">
        <f t="shared" si="17"/>
        <v>1.0133900190718372</v>
      </c>
    </row>
    <row r="98" spans="1:7" ht="13.5" thickBot="1" x14ac:dyDescent="0.25">
      <c r="A98" s="207"/>
      <c r="B98" s="190" t="s">
        <v>357</v>
      </c>
      <c r="C98" s="378"/>
      <c r="D98" s="378"/>
      <c r="E98" s="378"/>
      <c r="F98" s="378"/>
      <c r="G98" s="593"/>
    </row>
    <row r="99" spans="1:7" ht="13.5" thickBot="1" x14ac:dyDescent="0.25">
      <c r="A99" s="207"/>
      <c r="B99" s="220" t="s">
        <v>45</v>
      </c>
      <c r="C99" s="379"/>
      <c r="D99" s="379"/>
      <c r="E99" s="379"/>
      <c r="F99" s="379"/>
      <c r="G99" s="593"/>
    </row>
    <row r="100" spans="1:7" ht="15.75" thickBot="1" x14ac:dyDescent="0.3">
      <c r="A100" s="207"/>
      <c r="B100" s="222" t="s">
        <v>54</v>
      </c>
      <c r="C100" s="372">
        <f t="shared" ref="C100:D100" si="20">SUM(C92+C94+C97+C99)</f>
        <v>122491</v>
      </c>
      <c r="D100" s="372">
        <f t="shared" si="20"/>
        <v>125840</v>
      </c>
      <c r="E100" s="377">
        <f t="shared" ref="E100:F100" si="21">SUM(E92+E94+E97+E99)</f>
        <v>125840</v>
      </c>
      <c r="F100" s="377">
        <f t="shared" si="21"/>
        <v>127525</v>
      </c>
      <c r="G100" s="1117">
        <f t="shared" si="17"/>
        <v>1.0133900190718372</v>
      </c>
    </row>
    <row r="101" spans="1:7" x14ac:dyDescent="0.2">
      <c r="A101" s="207"/>
      <c r="B101" s="223" t="s">
        <v>276</v>
      </c>
      <c r="C101" s="582">
        <v>105356</v>
      </c>
      <c r="D101" s="582">
        <f>105356+121+204+210</f>
        <v>105891</v>
      </c>
      <c r="E101" s="582">
        <f>105356+121+204+210</f>
        <v>105891</v>
      </c>
      <c r="F101" s="582">
        <f>105891+1451</f>
        <v>107342</v>
      </c>
      <c r="G101" s="867">
        <f t="shared" si="17"/>
        <v>1.0137027698293528</v>
      </c>
    </row>
    <row r="102" spans="1:7" x14ac:dyDescent="0.2">
      <c r="A102" s="207"/>
      <c r="B102" s="223" t="s">
        <v>277</v>
      </c>
      <c r="C102" s="582">
        <v>14254</v>
      </c>
      <c r="D102" s="582">
        <f>14254+30+27+27</f>
        <v>14338</v>
      </c>
      <c r="E102" s="582">
        <f>14254+30+27+27</f>
        <v>14338</v>
      </c>
      <c r="F102" s="582">
        <f>14338+234</f>
        <v>14572</v>
      </c>
      <c r="G102" s="571">
        <f t="shared" si="17"/>
        <v>1.0163202678197796</v>
      </c>
    </row>
    <row r="103" spans="1:7" x14ac:dyDescent="0.2">
      <c r="A103" s="207"/>
      <c r="B103" s="223" t="s">
        <v>278</v>
      </c>
      <c r="C103" s="582">
        <v>2400</v>
      </c>
      <c r="D103" s="582">
        <f>2400+1129+201+1050</f>
        <v>4780</v>
      </c>
      <c r="E103" s="582">
        <f>2400+1129+201+1050</f>
        <v>4780</v>
      </c>
      <c r="F103" s="582">
        <f>2400+1129+201+1050</f>
        <v>4780</v>
      </c>
      <c r="G103" s="571">
        <f t="shared" si="17"/>
        <v>1</v>
      </c>
    </row>
    <row r="104" spans="1:7" x14ac:dyDescent="0.2">
      <c r="A104" s="207"/>
      <c r="B104" s="224" t="s">
        <v>280</v>
      </c>
      <c r="C104" s="370"/>
      <c r="D104" s="370"/>
      <c r="E104" s="370"/>
      <c r="F104" s="370"/>
      <c r="G104" s="571"/>
    </row>
    <row r="105" spans="1:7" ht="13.5" thickBot="1" x14ac:dyDescent="0.25">
      <c r="A105" s="207"/>
      <c r="B105" s="225" t="s">
        <v>279</v>
      </c>
      <c r="C105" s="371"/>
      <c r="D105" s="371"/>
      <c r="E105" s="371"/>
      <c r="F105" s="371"/>
      <c r="G105" s="593"/>
    </row>
    <row r="106" spans="1:7" ht="13.5" thickBot="1" x14ac:dyDescent="0.25">
      <c r="A106" s="207"/>
      <c r="B106" s="226" t="s">
        <v>42</v>
      </c>
      <c r="C106" s="377">
        <f t="shared" ref="C106:D106" si="22">SUM(C101:C105)</f>
        <v>122010</v>
      </c>
      <c r="D106" s="377">
        <f t="shared" si="22"/>
        <v>125009</v>
      </c>
      <c r="E106" s="377">
        <f t="shared" ref="E106:F106" si="23">SUM(E101:E105)</f>
        <v>125009</v>
      </c>
      <c r="F106" s="377">
        <f t="shared" si="23"/>
        <v>126694</v>
      </c>
      <c r="G106" s="1117">
        <f t="shared" si="17"/>
        <v>1.0134790295098752</v>
      </c>
    </row>
    <row r="107" spans="1:7" x14ac:dyDescent="0.2">
      <c r="A107" s="207"/>
      <c r="B107" s="223" t="s">
        <v>1036</v>
      </c>
      <c r="C107" s="370">
        <v>481</v>
      </c>
      <c r="D107" s="370">
        <f>481+350</f>
        <v>831</v>
      </c>
      <c r="E107" s="370">
        <f>481+350</f>
        <v>831</v>
      </c>
      <c r="F107" s="370">
        <f>481+350</f>
        <v>831</v>
      </c>
      <c r="G107" s="867">
        <f t="shared" si="17"/>
        <v>1</v>
      </c>
    </row>
    <row r="108" spans="1:7" x14ac:dyDescent="0.2">
      <c r="A108" s="207"/>
      <c r="B108" s="223" t="s">
        <v>211</v>
      </c>
      <c r="C108" s="370"/>
      <c r="D108" s="370"/>
      <c r="E108" s="370"/>
      <c r="F108" s="370"/>
      <c r="G108" s="571"/>
    </row>
    <row r="109" spans="1:7" ht="13.5" thickBot="1" x14ac:dyDescent="0.25">
      <c r="A109" s="207"/>
      <c r="B109" s="225" t="s">
        <v>366</v>
      </c>
      <c r="C109" s="371"/>
      <c r="D109" s="371"/>
      <c r="E109" s="371"/>
      <c r="F109" s="371"/>
      <c r="G109" s="593"/>
    </row>
    <row r="110" spans="1:7" ht="13.5" thickBot="1" x14ac:dyDescent="0.25">
      <c r="A110" s="207"/>
      <c r="B110" s="227" t="s">
        <v>48</v>
      </c>
      <c r="C110" s="377">
        <f t="shared" ref="C110:D110" si="24">SUM(C107:C109)</f>
        <v>481</v>
      </c>
      <c r="D110" s="377">
        <f t="shared" si="24"/>
        <v>831</v>
      </c>
      <c r="E110" s="377">
        <f t="shared" ref="E110:F110" si="25">SUM(E107:E109)</f>
        <v>831</v>
      </c>
      <c r="F110" s="377">
        <f t="shared" si="25"/>
        <v>831</v>
      </c>
      <c r="G110" s="1117">
        <f t="shared" si="17"/>
        <v>1</v>
      </c>
    </row>
    <row r="111" spans="1:7" ht="15.75" thickBot="1" x14ac:dyDescent="0.3">
      <c r="A111" s="204"/>
      <c r="B111" s="228" t="s">
        <v>89</v>
      </c>
      <c r="C111" s="372">
        <f t="shared" ref="C111:D111" si="26">SUM(C106+C110)</f>
        <v>122491</v>
      </c>
      <c r="D111" s="372">
        <f t="shared" si="26"/>
        <v>125840</v>
      </c>
      <c r="E111" s="377">
        <f t="shared" ref="E111:F111" si="27">SUM(E106+E110)</f>
        <v>125840</v>
      </c>
      <c r="F111" s="377">
        <f t="shared" si="27"/>
        <v>127525</v>
      </c>
      <c r="G111" s="1117">
        <f t="shared" si="17"/>
        <v>1.0133900190718372</v>
      </c>
    </row>
    <row r="112" spans="1:7" ht="15" x14ac:dyDescent="0.25">
      <c r="A112" s="170">
        <v>2315</v>
      </c>
      <c r="B112" s="173" t="s">
        <v>166</v>
      </c>
      <c r="C112" s="370"/>
      <c r="D112" s="370"/>
      <c r="E112" s="370"/>
      <c r="F112" s="370"/>
      <c r="G112" s="867"/>
    </row>
    <row r="113" spans="1:7" ht="12.6" customHeight="1" x14ac:dyDescent="0.2">
      <c r="A113" s="207"/>
      <c r="B113" s="208" t="s">
        <v>154</v>
      </c>
      <c r="C113" s="373"/>
      <c r="D113" s="373"/>
      <c r="E113" s="373"/>
      <c r="F113" s="373"/>
      <c r="G113" s="571"/>
    </row>
    <row r="114" spans="1:7" ht="13.5" thickBot="1" x14ac:dyDescent="0.25">
      <c r="A114" s="207"/>
      <c r="B114" s="209" t="s">
        <v>155</v>
      </c>
      <c r="C114" s="374"/>
      <c r="D114" s="374"/>
      <c r="E114" s="374"/>
      <c r="F114" s="374"/>
      <c r="G114" s="593"/>
    </row>
    <row r="115" spans="1:7" ht="13.5" thickBot="1" x14ac:dyDescent="0.25">
      <c r="A115" s="207"/>
      <c r="B115" s="210" t="s">
        <v>156</v>
      </c>
      <c r="C115" s="375"/>
      <c r="D115" s="375"/>
      <c r="E115" s="375"/>
      <c r="F115" s="375"/>
      <c r="G115" s="593"/>
    </row>
    <row r="116" spans="1:7" x14ac:dyDescent="0.2">
      <c r="A116" s="207"/>
      <c r="B116" s="208" t="s">
        <v>157</v>
      </c>
      <c r="C116" s="370"/>
      <c r="D116" s="370"/>
      <c r="E116" s="370"/>
      <c r="F116" s="370"/>
      <c r="G116" s="867"/>
    </row>
    <row r="117" spans="1:7" x14ac:dyDescent="0.2">
      <c r="A117" s="207"/>
      <c r="B117" s="212" t="s">
        <v>158</v>
      </c>
      <c r="C117" s="376"/>
      <c r="D117" s="376"/>
      <c r="E117" s="376"/>
      <c r="F117" s="376"/>
      <c r="G117" s="571"/>
    </row>
    <row r="118" spans="1:7" x14ac:dyDescent="0.2">
      <c r="A118" s="207"/>
      <c r="B118" s="212" t="s">
        <v>159</v>
      </c>
      <c r="C118" s="376"/>
      <c r="D118" s="376"/>
      <c r="E118" s="376"/>
      <c r="F118" s="376"/>
      <c r="G118" s="571"/>
    </row>
    <row r="119" spans="1:7" x14ac:dyDescent="0.2">
      <c r="A119" s="207"/>
      <c r="B119" s="213" t="s">
        <v>160</v>
      </c>
      <c r="C119" s="370"/>
      <c r="D119" s="370"/>
      <c r="E119" s="370"/>
      <c r="F119" s="370"/>
      <c r="G119" s="571"/>
    </row>
    <row r="120" spans="1:7" x14ac:dyDescent="0.2">
      <c r="A120" s="207"/>
      <c r="B120" s="213" t="s">
        <v>161</v>
      </c>
      <c r="C120" s="370"/>
      <c r="D120" s="370"/>
      <c r="E120" s="370"/>
      <c r="F120" s="370"/>
      <c r="G120" s="571"/>
    </row>
    <row r="121" spans="1:7" x14ac:dyDescent="0.2">
      <c r="A121" s="207"/>
      <c r="B121" s="213" t="s">
        <v>162</v>
      </c>
      <c r="C121" s="370"/>
      <c r="D121" s="370"/>
      <c r="E121" s="370"/>
      <c r="F121" s="370"/>
      <c r="G121" s="571"/>
    </row>
    <row r="122" spans="1:7" x14ac:dyDescent="0.2">
      <c r="A122" s="207"/>
      <c r="B122" s="213" t="s">
        <v>299</v>
      </c>
      <c r="C122" s="370"/>
      <c r="D122" s="370"/>
      <c r="E122" s="370"/>
      <c r="F122" s="370"/>
      <c r="G122" s="571"/>
    </row>
    <row r="123" spans="1:7" x14ac:dyDescent="0.2">
      <c r="A123" s="207"/>
      <c r="B123" s="214" t="s">
        <v>381</v>
      </c>
      <c r="C123" s="370"/>
      <c r="D123" s="370"/>
      <c r="E123" s="370"/>
      <c r="F123" s="370"/>
      <c r="G123" s="571"/>
    </row>
    <row r="124" spans="1:7" ht="13.5" thickBot="1" x14ac:dyDescent="0.25">
      <c r="A124" s="207"/>
      <c r="B124" s="215" t="s">
        <v>163</v>
      </c>
      <c r="C124" s="371"/>
      <c r="D124" s="371"/>
      <c r="E124" s="371"/>
      <c r="F124" s="371"/>
      <c r="G124" s="593"/>
    </row>
    <row r="125" spans="1:7" ht="13.5" thickBot="1" x14ac:dyDescent="0.25">
      <c r="A125" s="207"/>
      <c r="B125" s="216" t="s">
        <v>295</v>
      </c>
      <c r="C125" s="377"/>
      <c r="D125" s="377"/>
      <c r="E125" s="377"/>
      <c r="F125" s="377"/>
      <c r="G125" s="593"/>
    </row>
    <row r="126" spans="1:7" ht="13.5" thickBot="1" x14ac:dyDescent="0.25">
      <c r="A126" s="207"/>
      <c r="B126" s="768" t="s">
        <v>191</v>
      </c>
      <c r="C126" s="377"/>
      <c r="D126" s="377"/>
      <c r="E126" s="377"/>
      <c r="F126" s="377"/>
      <c r="G126" s="593"/>
    </row>
    <row r="127" spans="1:7" ht="13.5" thickBot="1" x14ac:dyDescent="0.25">
      <c r="A127" s="207"/>
      <c r="B127" s="218" t="s">
        <v>49</v>
      </c>
      <c r="C127" s="583"/>
      <c r="D127" s="583"/>
      <c r="E127" s="583"/>
      <c r="F127" s="583"/>
      <c r="G127" s="593"/>
    </row>
    <row r="128" spans="1:7" ht="13.5" thickBot="1" x14ac:dyDescent="0.25">
      <c r="A128" s="207"/>
      <c r="B128" s="328" t="s">
        <v>389</v>
      </c>
      <c r="C128" s="378"/>
      <c r="D128" s="378"/>
      <c r="E128" s="378"/>
      <c r="F128" s="378"/>
      <c r="G128" s="593"/>
    </row>
    <row r="129" spans="1:7" ht="13.5" thickBot="1" x14ac:dyDescent="0.25">
      <c r="A129" s="207"/>
      <c r="B129" s="219" t="s">
        <v>50</v>
      </c>
      <c r="C129" s="379"/>
      <c r="D129" s="379"/>
      <c r="E129" s="379"/>
      <c r="F129" s="379"/>
      <c r="G129" s="593"/>
    </row>
    <row r="130" spans="1:7" x14ac:dyDescent="0.2">
      <c r="A130" s="207"/>
      <c r="B130" s="325" t="s">
        <v>357</v>
      </c>
      <c r="C130" s="582">
        <v>0</v>
      </c>
      <c r="D130" s="582">
        <v>3345</v>
      </c>
      <c r="E130" s="582">
        <v>3345</v>
      </c>
      <c r="F130" s="582">
        <v>3345</v>
      </c>
      <c r="G130" s="867">
        <f t="shared" si="17"/>
        <v>1</v>
      </c>
    </row>
    <row r="131" spans="1:7" ht="13.5" thickBot="1" x14ac:dyDescent="0.25">
      <c r="A131" s="207"/>
      <c r="B131" s="128" t="s">
        <v>385</v>
      </c>
      <c r="C131" s="828">
        <v>436001</v>
      </c>
      <c r="D131" s="828">
        <f>436001+1332+2597+1187</f>
        <v>441117</v>
      </c>
      <c r="E131" s="828">
        <f>436001+1332+2597+1187</f>
        <v>441117</v>
      </c>
      <c r="F131" s="828">
        <f>441117+6667</f>
        <v>447784</v>
      </c>
      <c r="G131" s="593">
        <f t="shared" si="17"/>
        <v>1.0151139040209287</v>
      </c>
    </row>
    <row r="132" spans="1:7" ht="13.5" thickBot="1" x14ac:dyDescent="0.25">
      <c r="A132" s="207"/>
      <c r="B132" s="220" t="s">
        <v>43</v>
      </c>
      <c r="C132" s="379">
        <f t="shared" ref="C132:D132" si="28">SUM(C130:C131)</f>
        <v>436001</v>
      </c>
      <c r="D132" s="379">
        <f t="shared" si="28"/>
        <v>444462</v>
      </c>
      <c r="E132" s="379">
        <f t="shared" ref="E132:F132" si="29">SUM(E130:E131)</f>
        <v>444462</v>
      </c>
      <c r="F132" s="379">
        <f t="shared" si="29"/>
        <v>451129</v>
      </c>
      <c r="G132" s="1117">
        <f t="shared" si="17"/>
        <v>1.015000157493779</v>
      </c>
    </row>
    <row r="133" spans="1:7" ht="13.5" thickBot="1" x14ac:dyDescent="0.25">
      <c r="A133" s="207"/>
      <c r="B133" s="190" t="s">
        <v>357</v>
      </c>
      <c r="C133" s="378"/>
      <c r="D133" s="378"/>
      <c r="E133" s="378"/>
      <c r="F133" s="378"/>
      <c r="G133" s="593"/>
    </row>
    <row r="134" spans="1:7" ht="13.5" thickBot="1" x14ac:dyDescent="0.25">
      <c r="A134" s="207"/>
      <c r="B134" s="220" t="s">
        <v>45</v>
      </c>
      <c r="C134" s="379">
        <v>0</v>
      </c>
      <c r="D134" s="379">
        <v>0</v>
      </c>
      <c r="E134" s="379">
        <v>0</v>
      </c>
      <c r="F134" s="379">
        <v>0</v>
      </c>
      <c r="G134" s="593"/>
    </row>
    <row r="135" spans="1:7" ht="15.75" thickBot="1" x14ac:dyDescent="0.3">
      <c r="A135" s="207"/>
      <c r="B135" s="222" t="s">
        <v>54</v>
      </c>
      <c r="C135" s="372">
        <f t="shared" ref="C135:D135" si="30">SUM(C127+C129+C132+C134)</f>
        <v>436001</v>
      </c>
      <c r="D135" s="372">
        <f t="shared" si="30"/>
        <v>444462</v>
      </c>
      <c r="E135" s="377">
        <f t="shared" ref="E135:F135" si="31">SUM(E127+E129+E132+E134)</f>
        <v>444462</v>
      </c>
      <c r="F135" s="377">
        <f t="shared" si="31"/>
        <v>451129</v>
      </c>
      <c r="G135" s="1117">
        <f t="shared" si="17"/>
        <v>1.015000157493779</v>
      </c>
    </row>
    <row r="136" spans="1:7" x14ac:dyDescent="0.2">
      <c r="A136" s="207"/>
      <c r="B136" s="223" t="s">
        <v>276</v>
      </c>
      <c r="C136" s="582">
        <v>371213</v>
      </c>
      <c r="D136" s="582">
        <f>371213+886+1050</f>
        <v>373149</v>
      </c>
      <c r="E136" s="582">
        <f>371213+886+1050</f>
        <v>373149</v>
      </c>
      <c r="F136" s="582">
        <f>373149+5900</f>
        <v>379049</v>
      </c>
      <c r="G136" s="867">
        <f t="shared" si="17"/>
        <v>1.0158113782966054</v>
      </c>
    </row>
    <row r="137" spans="1:7" x14ac:dyDescent="0.2">
      <c r="A137" s="207"/>
      <c r="B137" s="223" t="s">
        <v>277</v>
      </c>
      <c r="C137" s="582">
        <v>57010</v>
      </c>
      <c r="D137" s="582">
        <f>57010+409+137</f>
        <v>57556</v>
      </c>
      <c r="E137" s="582">
        <f>57010+409+137</f>
        <v>57556</v>
      </c>
      <c r="F137" s="582">
        <f>57556+767</f>
        <v>58323</v>
      </c>
      <c r="G137" s="571">
        <f t="shared" si="17"/>
        <v>1.0133261519216068</v>
      </c>
    </row>
    <row r="138" spans="1:7" x14ac:dyDescent="0.2">
      <c r="A138" s="207"/>
      <c r="B138" s="223" t="s">
        <v>278</v>
      </c>
      <c r="C138" s="582">
        <v>6000</v>
      </c>
      <c r="D138" s="582">
        <f>6000+2050+1332+1727</f>
        <v>11109</v>
      </c>
      <c r="E138" s="582">
        <f>6000+2050+1332+1727</f>
        <v>11109</v>
      </c>
      <c r="F138" s="582">
        <f>6000+2050+1332+1727</f>
        <v>11109</v>
      </c>
      <c r="G138" s="571">
        <f t="shared" si="17"/>
        <v>1</v>
      </c>
    </row>
    <row r="139" spans="1:7" x14ac:dyDescent="0.2">
      <c r="A139" s="207"/>
      <c r="B139" s="224" t="s">
        <v>280</v>
      </c>
      <c r="C139" s="370"/>
      <c r="D139" s="370"/>
      <c r="E139" s="370"/>
      <c r="F139" s="370"/>
      <c r="G139" s="571"/>
    </row>
    <row r="140" spans="1:7" ht="13.5" thickBot="1" x14ac:dyDescent="0.25">
      <c r="A140" s="207"/>
      <c r="B140" s="225" t="s">
        <v>279</v>
      </c>
      <c r="C140" s="371"/>
      <c r="D140" s="371"/>
      <c r="E140" s="371"/>
      <c r="F140" s="371"/>
      <c r="G140" s="593"/>
    </row>
    <row r="141" spans="1:7" ht="13.5" thickBot="1" x14ac:dyDescent="0.25">
      <c r="A141" s="207"/>
      <c r="B141" s="226" t="s">
        <v>42</v>
      </c>
      <c r="C141" s="372">
        <f t="shared" ref="C141:D141" si="32">SUM(C136:C140)</f>
        <v>434223</v>
      </c>
      <c r="D141" s="372">
        <f t="shared" si="32"/>
        <v>441814</v>
      </c>
      <c r="E141" s="377">
        <f t="shared" ref="E141:F141" si="33">SUM(E136:E140)</f>
        <v>441814</v>
      </c>
      <c r="F141" s="377">
        <f t="shared" si="33"/>
        <v>448481</v>
      </c>
      <c r="G141" s="1117">
        <f t="shared" si="17"/>
        <v>1.0150900605232065</v>
      </c>
    </row>
    <row r="142" spans="1:7" x14ac:dyDescent="0.2">
      <c r="A142" s="207"/>
      <c r="B142" s="223" t="s">
        <v>1036</v>
      </c>
      <c r="C142" s="582">
        <v>1778</v>
      </c>
      <c r="D142" s="582">
        <f>1778+870</f>
        <v>2648</v>
      </c>
      <c r="E142" s="582">
        <f>1778+870</f>
        <v>2648</v>
      </c>
      <c r="F142" s="582">
        <f>1778+870</f>
        <v>2648</v>
      </c>
      <c r="G142" s="867">
        <f t="shared" si="17"/>
        <v>1</v>
      </c>
    </row>
    <row r="143" spans="1:7" x14ac:dyDescent="0.2">
      <c r="A143" s="207"/>
      <c r="B143" s="223" t="s">
        <v>211</v>
      </c>
      <c r="C143" s="370"/>
      <c r="D143" s="370"/>
      <c r="E143" s="370"/>
      <c r="F143" s="370"/>
      <c r="G143" s="571"/>
    </row>
    <row r="144" spans="1:7" ht="13.5" thickBot="1" x14ac:dyDescent="0.25">
      <c r="A144" s="207"/>
      <c r="B144" s="225" t="s">
        <v>366</v>
      </c>
      <c r="C144" s="371"/>
      <c r="D144" s="371"/>
      <c r="E144" s="371"/>
      <c r="F144" s="371"/>
      <c r="G144" s="593"/>
    </row>
    <row r="145" spans="1:7" ht="13.5" thickBot="1" x14ac:dyDescent="0.25">
      <c r="A145" s="207"/>
      <c r="B145" s="227" t="s">
        <v>48</v>
      </c>
      <c r="C145" s="372">
        <f t="shared" ref="C145:D145" si="34">SUM(C142:C144)</f>
        <v>1778</v>
      </c>
      <c r="D145" s="372">
        <f t="shared" si="34"/>
        <v>2648</v>
      </c>
      <c r="E145" s="377">
        <f t="shared" ref="E145:F145" si="35">SUM(E142:E144)</f>
        <v>2648</v>
      </c>
      <c r="F145" s="377">
        <f t="shared" si="35"/>
        <v>2648</v>
      </c>
      <c r="G145" s="1117">
        <f t="shared" si="17"/>
        <v>1</v>
      </c>
    </row>
    <row r="146" spans="1:7" ht="15.75" thickBot="1" x14ac:dyDescent="0.3">
      <c r="A146" s="204"/>
      <c r="B146" s="228" t="s">
        <v>89</v>
      </c>
      <c r="C146" s="372">
        <f t="shared" ref="C146:D146" si="36">SUM(C141+C145)</f>
        <v>436001</v>
      </c>
      <c r="D146" s="372">
        <f t="shared" si="36"/>
        <v>444462</v>
      </c>
      <c r="E146" s="377">
        <f t="shared" ref="E146:F146" si="37">SUM(E141+E145)</f>
        <v>444462</v>
      </c>
      <c r="F146" s="377">
        <f t="shared" si="37"/>
        <v>451129</v>
      </c>
      <c r="G146" s="1117">
        <f t="shared" si="17"/>
        <v>1.015000157493779</v>
      </c>
    </row>
    <row r="147" spans="1:7" ht="15" x14ac:dyDescent="0.25">
      <c r="A147" s="170">
        <v>2325</v>
      </c>
      <c r="B147" s="230" t="s">
        <v>283</v>
      </c>
      <c r="C147" s="370"/>
      <c r="D147" s="370"/>
      <c r="E147" s="370"/>
      <c r="F147" s="370"/>
      <c r="G147" s="867"/>
    </row>
    <row r="148" spans="1:7" ht="12.6" customHeight="1" x14ac:dyDescent="0.2">
      <c r="A148" s="207"/>
      <c r="B148" s="208" t="s">
        <v>154</v>
      </c>
      <c r="C148" s="373"/>
      <c r="D148" s="373"/>
      <c r="E148" s="373"/>
      <c r="F148" s="373"/>
      <c r="G148" s="571"/>
    </row>
    <row r="149" spans="1:7" ht="13.5" thickBot="1" x14ac:dyDescent="0.25">
      <c r="A149" s="207"/>
      <c r="B149" s="209" t="s">
        <v>155</v>
      </c>
      <c r="C149" s="374"/>
      <c r="D149" s="374"/>
      <c r="E149" s="374"/>
      <c r="F149" s="374"/>
      <c r="G149" s="593"/>
    </row>
    <row r="150" spans="1:7" ht="13.5" thickBot="1" x14ac:dyDescent="0.25">
      <c r="A150" s="207"/>
      <c r="B150" s="210" t="s">
        <v>156</v>
      </c>
      <c r="C150" s="375"/>
      <c r="D150" s="375"/>
      <c r="E150" s="375"/>
      <c r="F150" s="375"/>
      <c r="G150" s="593"/>
    </row>
    <row r="151" spans="1:7" x14ac:dyDescent="0.2">
      <c r="A151" s="207"/>
      <c r="B151" s="208" t="s">
        <v>157</v>
      </c>
      <c r="C151" s="370"/>
      <c r="D151" s="370"/>
      <c r="E151" s="370"/>
      <c r="F151" s="370"/>
      <c r="G151" s="867"/>
    </row>
    <row r="152" spans="1:7" x14ac:dyDescent="0.2">
      <c r="A152" s="207"/>
      <c r="B152" s="212" t="s">
        <v>158</v>
      </c>
      <c r="C152" s="376"/>
      <c r="D152" s="376"/>
      <c r="E152" s="376"/>
      <c r="F152" s="376"/>
      <c r="G152" s="571"/>
    </row>
    <row r="153" spans="1:7" x14ac:dyDescent="0.2">
      <c r="A153" s="207"/>
      <c r="B153" s="212" t="s">
        <v>159</v>
      </c>
      <c r="C153" s="376"/>
      <c r="D153" s="376"/>
      <c r="E153" s="376"/>
      <c r="F153" s="376"/>
      <c r="G153" s="571"/>
    </row>
    <row r="154" spans="1:7" x14ac:dyDescent="0.2">
      <c r="A154" s="207"/>
      <c r="B154" s="213" t="s">
        <v>160</v>
      </c>
      <c r="C154" s="370"/>
      <c r="D154" s="370"/>
      <c r="E154" s="370"/>
      <c r="F154" s="370"/>
      <c r="G154" s="571"/>
    </row>
    <row r="155" spans="1:7" x14ac:dyDescent="0.2">
      <c r="A155" s="207"/>
      <c r="B155" s="213" t="s">
        <v>161</v>
      </c>
      <c r="C155" s="370"/>
      <c r="D155" s="370"/>
      <c r="E155" s="370"/>
      <c r="F155" s="370"/>
      <c r="G155" s="571"/>
    </row>
    <row r="156" spans="1:7" x14ac:dyDescent="0.2">
      <c r="A156" s="207"/>
      <c r="B156" s="213" t="s">
        <v>162</v>
      </c>
      <c r="C156" s="370"/>
      <c r="D156" s="370"/>
      <c r="E156" s="370"/>
      <c r="F156" s="370"/>
      <c r="G156" s="571"/>
    </row>
    <row r="157" spans="1:7" x14ac:dyDescent="0.2">
      <c r="A157" s="207"/>
      <c r="B157" s="214" t="s">
        <v>381</v>
      </c>
      <c r="C157" s="370"/>
      <c r="D157" s="370"/>
      <c r="E157" s="370"/>
      <c r="F157" s="370"/>
      <c r="G157" s="571"/>
    </row>
    <row r="158" spans="1:7" ht="13.5" thickBot="1" x14ac:dyDescent="0.25">
      <c r="A158" s="207"/>
      <c r="B158" s="215" t="s">
        <v>163</v>
      </c>
      <c r="C158" s="371"/>
      <c r="D158" s="371"/>
      <c r="E158" s="371"/>
      <c r="F158" s="371"/>
      <c r="G158" s="593"/>
    </row>
    <row r="159" spans="1:7" ht="13.5" thickBot="1" x14ac:dyDescent="0.25">
      <c r="A159" s="207"/>
      <c r="B159" s="216" t="s">
        <v>295</v>
      </c>
      <c r="C159" s="377"/>
      <c r="D159" s="377"/>
      <c r="E159" s="377"/>
      <c r="F159" s="377"/>
      <c r="G159" s="593"/>
    </row>
    <row r="160" spans="1:7" ht="13.5" thickBot="1" x14ac:dyDescent="0.25">
      <c r="A160" s="207"/>
      <c r="B160" s="768" t="s">
        <v>191</v>
      </c>
      <c r="C160" s="377"/>
      <c r="D160" s="377"/>
      <c r="E160" s="377"/>
      <c r="F160" s="377"/>
      <c r="G160" s="593"/>
    </row>
    <row r="161" spans="1:7" ht="13.5" thickBot="1" x14ac:dyDescent="0.25">
      <c r="A161" s="207"/>
      <c r="B161" s="218" t="s">
        <v>49</v>
      </c>
      <c r="C161" s="583"/>
      <c r="D161" s="583"/>
      <c r="E161" s="583"/>
      <c r="F161" s="583"/>
      <c r="G161" s="593"/>
    </row>
    <row r="162" spans="1:7" ht="13.5" thickBot="1" x14ac:dyDescent="0.25">
      <c r="A162" s="207"/>
      <c r="B162" s="328" t="s">
        <v>389</v>
      </c>
      <c r="C162" s="378"/>
      <c r="D162" s="378"/>
      <c r="E162" s="378"/>
      <c r="F162" s="378"/>
      <c r="G162" s="593"/>
    </row>
    <row r="163" spans="1:7" ht="13.5" thickBot="1" x14ac:dyDescent="0.25">
      <c r="A163" s="207"/>
      <c r="B163" s="219" t="s">
        <v>50</v>
      </c>
      <c r="C163" s="379"/>
      <c r="D163" s="379"/>
      <c r="E163" s="379"/>
      <c r="F163" s="379"/>
      <c r="G163" s="593"/>
    </row>
    <row r="164" spans="1:7" x14ac:dyDescent="0.2">
      <c r="A164" s="207"/>
      <c r="B164" s="325" t="s">
        <v>357</v>
      </c>
      <c r="C164" s="582"/>
      <c r="D164" s="582">
        <v>2012</v>
      </c>
      <c r="E164" s="582">
        <v>2012</v>
      </c>
      <c r="F164" s="582">
        <v>2012</v>
      </c>
      <c r="G164" s="867">
        <f t="shared" ref="G164:G218" si="38">F164/E164</f>
        <v>1</v>
      </c>
    </row>
    <row r="165" spans="1:7" ht="13.5" thickBot="1" x14ac:dyDescent="0.25">
      <c r="A165" s="207"/>
      <c r="B165" s="128" t="s">
        <v>385</v>
      </c>
      <c r="C165" s="371">
        <v>255361</v>
      </c>
      <c r="D165" s="371">
        <f>255361+104+3770+1107</f>
        <v>260342</v>
      </c>
      <c r="E165" s="371">
        <f>255361+104+3770+1107</f>
        <v>260342</v>
      </c>
      <c r="F165" s="371">
        <f>260342+12141</f>
        <v>272483</v>
      </c>
      <c r="G165" s="593">
        <f t="shared" si="38"/>
        <v>1.0466348111330481</v>
      </c>
    </row>
    <row r="166" spans="1:7" ht="13.5" thickBot="1" x14ac:dyDescent="0.25">
      <c r="A166" s="207"/>
      <c r="B166" s="220" t="s">
        <v>43</v>
      </c>
      <c r="C166" s="379">
        <f t="shared" ref="C166:D166" si="39">SUM(C164:C165)</f>
        <v>255361</v>
      </c>
      <c r="D166" s="379">
        <f t="shared" si="39"/>
        <v>262354</v>
      </c>
      <c r="E166" s="379">
        <f t="shared" ref="E166:F166" si="40">SUM(E164:E165)</f>
        <v>262354</v>
      </c>
      <c r="F166" s="379">
        <f t="shared" si="40"/>
        <v>274495</v>
      </c>
      <c r="G166" s="1117">
        <f t="shared" si="38"/>
        <v>1.0462771674912523</v>
      </c>
    </row>
    <row r="167" spans="1:7" ht="13.5" thickBot="1" x14ac:dyDescent="0.25">
      <c r="A167" s="207"/>
      <c r="B167" s="190" t="s">
        <v>357</v>
      </c>
      <c r="C167" s="378"/>
      <c r="D167" s="378"/>
      <c r="E167" s="378"/>
      <c r="F167" s="378"/>
      <c r="G167" s="593"/>
    </row>
    <row r="168" spans="1:7" ht="13.5" thickBot="1" x14ac:dyDescent="0.25">
      <c r="A168" s="207"/>
      <c r="B168" s="220" t="s">
        <v>45</v>
      </c>
      <c r="C168" s="379"/>
      <c r="D168" s="379"/>
      <c r="E168" s="379"/>
      <c r="F168" s="379"/>
      <c r="G168" s="593"/>
    </row>
    <row r="169" spans="1:7" ht="15.75" thickBot="1" x14ac:dyDescent="0.3">
      <c r="A169" s="207"/>
      <c r="B169" s="222" t="s">
        <v>54</v>
      </c>
      <c r="C169" s="372">
        <f>SUM(C161+C163+C166+C168)</f>
        <v>255361</v>
      </c>
      <c r="D169" s="372">
        <f>SUM(D161+D163+D166+D168)</f>
        <v>262354</v>
      </c>
      <c r="E169" s="377">
        <f>SUM(E161+E163+E166+E168)</f>
        <v>262354</v>
      </c>
      <c r="F169" s="377">
        <f>SUM(F161+F163+F166+F168)</f>
        <v>274495</v>
      </c>
      <c r="G169" s="1117">
        <f t="shared" si="38"/>
        <v>1.0462771674912523</v>
      </c>
    </row>
    <row r="170" spans="1:7" x14ac:dyDescent="0.2">
      <c r="A170" s="207"/>
      <c r="B170" s="223" t="s">
        <v>276</v>
      </c>
      <c r="C170" s="582">
        <v>217025</v>
      </c>
      <c r="D170" s="582">
        <f>217025+100+980</f>
        <v>218105</v>
      </c>
      <c r="E170" s="582">
        <f>217025+100+980</f>
        <v>218105</v>
      </c>
      <c r="F170" s="582">
        <f>218105+10718-631</f>
        <v>228192</v>
      </c>
      <c r="G170" s="867">
        <f t="shared" si="38"/>
        <v>1.0462483666124114</v>
      </c>
    </row>
    <row r="171" spans="1:7" x14ac:dyDescent="0.2">
      <c r="A171" s="207"/>
      <c r="B171" s="223" t="s">
        <v>277</v>
      </c>
      <c r="C171" s="582">
        <v>33134</v>
      </c>
      <c r="D171" s="582">
        <f>33134+1+127</f>
        <v>33262</v>
      </c>
      <c r="E171" s="582">
        <f>33134+1+127</f>
        <v>33262</v>
      </c>
      <c r="F171" s="582">
        <f>33262+1423+631</f>
        <v>35316</v>
      </c>
      <c r="G171" s="571">
        <f t="shared" si="38"/>
        <v>1.0617521496001443</v>
      </c>
    </row>
    <row r="172" spans="1:7" x14ac:dyDescent="0.2">
      <c r="A172" s="207"/>
      <c r="B172" s="223" t="s">
        <v>278</v>
      </c>
      <c r="C172" s="582">
        <v>4500</v>
      </c>
      <c r="D172" s="582">
        <f>4500+815+2200</f>
        <v>7515</v>
      </c>
      <c r="E172" s="582">
        <f>4500+815+2200</f>
        <v>7515</v>
      </c>
      <c r="F172" s="582">
        <f>4500+815+2200</f>
        <v>7515</v>
      </c>
      <c r="G172" s="571">
        <f t="shared" si="38"/>
        <v>1</v>
      </c>
    </row>
    <row r="173" spans="1:7" x14ac:dyDescent="0.2">
      <c r="A173" s="207"/>
      <c r="B173" s="224" t="s">
        <v>280</v>
      </c>
      <c r="C173" s="370"/>
      <c r="D173" s="370"/>
      <c r="E173" s="370"/>
      <c r="F173" s="370"/>
      <c r="G173" s="571"/>
    </row>
    <row r="174" spans="1:7" ht="13.5" thickBot="1" x14ac:dyDescent="0.25">
      <c r="A174" s="207"/>
      <c r="B174" s="225" t="s">
        <v>279</v>
      </c>
      <c r="C174" s="371"/>
      <c r="D174" s="371"/>
      <c r="E174" s="371"/>
      <c r="F174" s="371"/>
      <c r="G174" s="593"/>
    </row>
    <row r="175" spans="1:7" ht="13.5" thickBot="1" x14ac:dyDescent="0.25">
      <c r="A175" s="207"/>
      <c r="B175" s="226" t="s">
        <v>42</v>
      </c>
      <c r="C175" s="377">
        <f t="shared" ref="C175:D175" si="41">SUM(C170:C174)</f>
        <v>254659</v>
      </c>
      <c r="D175" s="377">
        <f t="shared" si="41"/>
        <v>258882</v>
      </c>
      <c r="E175" s="377">
        <f t="shared" ref="E175:F175" si="42">SUM(E170:E174)</f>
        <v>258882</v>
      </c>
      <c r="F175" s="377">
        <f t="shared" si="42"/>
        <v>271023</v>
      </c>
      <c r="G175" s="1117">
        <f t="shared" si="38"/>
        <v>1.0468978144482814</v>
      </c>
    </row>
    <row r="176" spans="1:7" x14ac:dyDescent="0.2">
      <c r="A176" s="207"/>
      <c r="B176" s="223" t="s">
        <v>1036</v>
      </c>
      <c r="C176" s="582">
        <v>702</v>
      </c>
      <c r="D176" s="582">
        <f>702+1096+104+1570</f>
        <v>3472</v>
      </c>
      <c r="E176" s="582">
        <f>702+1096+104+1570</f>
        <v>3472</v>
      </c>
      <c r="F176" s="582">
        <f>702+1096+104+1570</f>
        <v>3472</v>
      </c>
      <c r="G176" s="867">
        <f t="shared" si="38"/>
        <v>1</v>
      </c>
    </row>
    <row r="177" spans="1:7" x14ac:dyDescent="0.2">
      <c r="A177" s="207"/>
      <c r="B177" s="223" t="s">
        <v>211</v>
      </c>
      <c r="C177" s="370"/>
      <c r="D177" s="370"/>
      <c r="E177" s="370"/>
      <c r="F177" s="370"/>
      <c r="G177" s="571"/>
    </row>
    <row r="178" spans="1:7" ht="13.5" thickBot="1" x14ac:dyDescent="0.25">
      <c r="A178" s="207"/>
      <c r="B178" s="225" t="s">
        <v>366</v>
      </c>
      <c r="C178" s="371"/>
      <c r="D178" s="371"/>
      <c r="E178" s="371"/>
      <c r="F178" s="371"/>
      <c r="G178" s="593"/>
    </row>
    <row r="179" spans="1:7" ht="13.5" thickBot="1" x14ac:dyDescent="0.25">
      <c r="A179" s="207"/>
      <c r="B179" s="227" t="s">
        <v>48</v>
      </c>
      <c r="C179" s="377">
        <f t="shared" ref="C179:D179" si="43">SUM(C176:C178)</f>
        <v>702</v>
      </c>
      <c r="D179" s="377">
        <f t="shared" si="43"/>
        <v>3472</v>
      </c>
      <c r="E179" s="377">
        <f t="shared" ref="E179:F179" si="44">SUM(E176:E178)</f>
        <v>3472</v>
      </c>
      <c r="F179" s="377">
        <f t="shared" si="44"/>
        <v>3472</v>
      </c>
      <c r="G179" s="1117">
        <f t="shared" si="38"/>
        <v>1</v>
      </c>
    </row>
    <row r="180" spans="1:7" ht="15.75" thickBot="1" x14ac:dyDescent="0.3">
      <c r="A180" s="204"/>
      <c r="B180" s="228" t="s">
        <v>89</v>
      </c>
      <c r="C180" s="377">
        <f t="shared" ref="C180:D180" si="45">SUM(C175+C179)</f>
        <v>255361</v>
      </c>
      <c r="D180" s="377">
        <f t="shared" si="45"/>
        <v>262354</v>
      </c>
      <c r="E180" s="377">
        <f t="shared" ref="E180:F180" si="46">SUM(E175+E179)</f>
        <v>262354</v>
      </c>
      <c r="F180" s="377">
        <f t="shared" si="46"/>
        <v>274495</v>
      </c>
      <c r="G180" s="1117">
        <f t="shared" si="38"/>
        <v>1.0462771674912523</v>
      </c>
    </row>
    <row r="181" spans="1:7" ht="15" x14ac:dyDescent="0.25">
      <c r="A181" s="170">
        <v>2330</v>
      </c>
      <c r="B181" s="173" t="s">
        <v>284</v>
      </c>
      <c r="C181" s="370"/>
      <c r="D181" s="370"/>
      <c r="E181" s="370"/>
      <c r="F181" s="370"/>
      <c r="G181" s="867"/>
    </row>
    <row r="182" spans="1:7" ht="12.6" customHeight="1" x14ac:dyDescent="0.2">
      <c r="A182" s="207"/>
      <c r="B182" s="208" t="s">
        <v>154</v>
      </c>
      <c r="C182" s="373"/>
      <c r="D182" s="373"/>
      <c r="E182" s="373"/>
      <c r="F182" s="373"/>
      <c r="G182" s="571"/>
    </row>
    <row r="183" spans="1:7" ht="13.5" thickBot="1" x14ac:dyDescent="0.25">
      <c r="A183" s="207"/>
      <c r="B183" s="209" t="s">
        <v>155</v>
      </c>
      <c r="C183" s="374"/>
      <c r="D183" s="374"/>
      <c r="E183" s="374"/>
      <c r="F183" s="374"/>
      <c r="G183" s="593"/>
    </row>
    <row r="184" spans="1:7" ht="13.5" thickBot="1" x14ac:dyDescent="0.25">
      <c r="A184" s="207"/>
      <c r="B184" s="210" t="s">
        <v>167</v>
      </c>
      <c r="C184" s="375"/>
      <c r="D184" s="375"/>
      <c r="E184" s="375"/>
      <c r="F184" s="375"/>
      <c r="G184" s="593"/>
    </row>
    <row r="185" spans="1:7" x14ac:dyDescent="0.2">
      <c r="A185" s="207"/>
      <c r="B185" s="208" t="s">
        <v>157</v>
      </c>
      <c r="C185" s="370"/>
      <c r="D185" s="370"/>
      <c r="E185" s="370"/>
      <c r="F185" s="370"/>
      <c r="G185" s="867"/>
    </row>
    <row r="186" spans="1:7" x14ac:dyDescent="0.2">
      <c r="A186" s="207"/>
      <c r="B186" s="212" t="s">
        <v>158</v>
      </c>
      <c r="C186" s="376"/>
      <c r="D186" s="376"/>
      <c r="E186" s="376"/>
      <c r="F186" s="376"/>
      <c r="G186" s="571"/>
    </row>
    <row r="187" spans="1:7" x14ac:dyDescent="0.2">
      <c r="A187" s="207"/>
      <c r="B187" s="212" t="s">
        <v>159</v>
      </c>
      <c r="C187" s="376"/>
      <c r="D187" s="376"/>
      <c r="E187" s="376"/>
      <c r="F187" s="376"/>
      <c r="G187" s="571"/>
    </row>
    <row r="188" spans="1:7" x14ac:dyDescent="0.2">
      <c r="A188" s="207"/>
      <c r="B188" s="213" t="s">
        <v>160</v>
      </c>
      <c r="C188" s="370"/>
      <c r="D188" s="370"/>
      <c r="E188" s="370"/>
      <c r="F188" s="370"/>
      <c r="G188" s="571"/>
    </row>
    <row r="189" spans="1:7" x14ac:dyDescent="0.2">
      <c r="A189" s="207"/>
      <c r="B189" s="213" t="s">
        <v>161</v>
      </c>
      <c r="C189" s="370"/>
      <c r="D189" s="370"/>
      <c r="E189" s="370"/>
      <c r="F189" s="370"/>
      <c r="G189" s="571"/>
    </row>
    <row r="190" spans="1:7" x14ac:dyDescent="0.2">
      <c r="A190" s="207"/>
      <c r="B190" s="213" t="s">
        <v>162</v>
      </c>
      <c r="C190" s="370"/>
      <c r="D190" s="370"/>
      <c r="E190" s="370"/>
      <c r="F190" s="370"/>
      <c r="G190" s="571"/>
    </row>
    <row r="191" spans="1:7" x14ac:dyDescent="0.2">
      <c r="A191" s="207"/>
      <c r="B191" s="214" t="s">
        <v>381</v>
      </c>
      <c r="C191" s="370"/>
      <c r="D191" s="370"/>
      <c r="E191" s="370"/>
      <c r="F191" s="370"/>
      <c r="G191" s="571"/>
    </row>
    <row r="192" spans="1:7" ht="13.5" thickBot="1" x14ac:dyDescent="0.25">
      <c r="A192" s="207"/>
      <c r="B192" s="215" t="s">
        <v>163</v>
      </c>
      <c r="C192" s="371"/>
      <c r="D192" s="371"/>
      <c r="E192" s="371"/>
      <c r="F192" s="371"/>
      <c r="G192" s="593"/>
    </row>
    <row r="193" spans="1:7" ht="13.5" thickBot="1" x14ac:dyDescent="0.25">
      <c r="A193" s="207"/>
      <c r="B193" s="216" t="s">
        <v>295</v>
      </c>
      <c r="C193" s="377"/>
      <c r="D193" s="377"/>
      <c r="E193" s="377"/>
      <c r="F193" s="377"/>
      <c r="G193" s="593"/>
    </row>
    <row r="194" spans="1:7" ht="13.5" thickBot="1" x14ac:dyDescent="0.25">
      <c r="A194" s="207"/>
      <c r="B194" s="768" t="s">
        <v>191</v>
      </c>
      <c r="C194" s="377"/>
      <c r="D194" s="377"/>
      <c r="E194" s="377"/>
      <c r="F194" s="377"/>
      <c r="G194" s="593"/>
    </row>
    <row r="195" spans="1:7" ht="13.5" thickBot="1" x14ac:dyDescent="0.25">
      <c r="A195" s="207"/>
      <c r="B195" s="218" t="s">
        <v>49</v>
      </c>
      <c r="C195" s="583"/>
      <c r="D195" s="583"/>
      <c r="E195" s="583"/>
      <c r="F195" s="583"/>
      <c r="G195" s="593"/>
    </row>
    <row r="196" spans="1:7" ht="13.5" thickBot="1" x14ac:dyDescent="0.25">
      <c r="A196" s="207"/>
      <c r="B196" s="328" t="s">
        <v>389</v>
      </c>
      <c r="C196" s="378"/>
      <c r="D196" s="378"/>
      <c r="E196" s="378"/>
      <c r="F196" s="378"/>
      <c r="G196" s="593"/>
    </row>
    <row r="197" spans="1:7" ht="13.5" thickBot="1" x14ac:dyDescent="0.25">
      <c r="A197" s="207"/>
      <c r="B197" s="219" t="s">
        <v>50</v>
      </c>
      <c r="C197" s="379"/>
      <c r="D197" s="379"/>
      <c r="E197" s="379"/>
      <c r="F197" s="379"/>
      <c r="G197" s="593"/>
    </row>
    <row r="198" spans="1:7" x14ac:dyDescent="0.2">
      <c r="A198" s="207"/>
      <c r="B198" s="325" t="s">
        <v>357</v>
      </c>
      <c r="C198" s="582"/>
      <c r="D198" s="582">
        <v>1415</v>
      </c>
      <c r="E198" s="582">
        <v>1415</v>
      </c>
      <c r="F198" s="582">
        <v>1415</v>
      </c>
      <c r="G198" s="867">
        <f t="shared" si="38"/>
        <v>1</v>
      </c>
    </row>
    <row r="199" spans="1:7" ht="13.5" thickBot="1" x14ac:dyDescent="0.25">
      <c r="A199" s="207"/>
      <c r="B199" s="128" t="s">
        <v>385</v>
      </c>
      <c r="C199" s="828">
        <v>196021</v>
      </c>
      <c r="D199" s="828">
        <f>196021+258+1859+1819</f>
        <v>199957</v>
      </c>
      <c r="E199" s="828">
        <f>196021+258+1859+1819</f>
        <v>199957</v>
      </c>
      <c r="F199" s="828">
        <f>199957+14818</f>
        <v>214775</v>
      </c>
      <c r="G199" s="593">
        <f t="shared" si="38"/>
        <v>1.0741059327755467</v>
      </c>
    </row>
    <row r="200" spans="1:7" ht="13.5" thickBot="1" x14ac:dyDescent="0.25">
      <c r="A200" s="207"/>
      <c r="B200" s="220" t="s">
        <v>43</v>
      </c>
      <c r="C200" s="379">
        <f t="shared" ref="C200:D200" si="47">SUM(C198:C199)</f>
        <v>196021</v>
      </c>
      <c r="D200" s="379">
        <f t="shared" si="47"/>
        <v>201372</v>
      </c>
      <c r="E200" s="379">
        <f t="shared" ref="E200:F200" si="48">SUM(E198:E199)</f>
        <v>201372</v>
      </c>
      <c r="F200" s="379">
        <f t="shared" si="48"/>
        <v>216190</v>
      </c>
      <c r="G200" s="1117">
        <f t="shared" si="38"/>
        <v>1.0735852054903363</v>
      </c>
    </row>
    <row r="201" spans="1:7" ht="13.5" thickBot="1" x14ac:dyDescent="0.25">
      <c r="A201" s="207"/>
      <c r="B201" s="543" t="s">
        <v>357</v>
      </c>
      <c r="C201" s="378"/>
      <c r="D201" s="378"/>
      <c r="E201" s="378"/>
      <c r="F201" s="378"/>
      <c r="G201" s="593"/>
    </row>
    <row r="202" spans="1:7" ht="13.5" thickBot="1" x14ac:dyDescent="0.25">
      <c r="A202" s="207"/>
      <c r="B202" s="220" t="s">
        <v>45</v>
      </c>
      <c r="C202" s="379"/>
      <c r="D202" s="379"/>
      <c r="E202" s="379"/>
      <c r="F202" s="379"/>
      <c r="G202" s="593"/>
    </row>
    <row r="203" spans="1:7" ht="15.75" thickBot="1" x14ac:dyDescent="0.3">
      <c r="A203" s="207"/>
      <c r="B203" s="222" t="s">
        <v>54</v>
      </c>
      <c r="C203" s="372">
        <f>SUM(C195+C197+C200)+C202</f>
        <v>196021</v>
      </c>
      <c r="D203" s="372">
        <f>SUM(D195+D197+D200)+D202</f>
        <v>201372</v>
      </c>
      <c r="E203" s="377">
        <f>SUM(E195+E197+E200)+E202</f>
        <v>201372</v>
      </c>
      <c r="F203" s="377">
        <f>SUM(F195+F197+F200)+F202</f>
        <v>216190</v>
      </c>
      <c r="G203" s="1117">
        <f t="shared" si="38"/>
        <v>1.0735852054903363</v>
      </c>
    </row>
    <row r="204" spans="1:7" x14ac:dyDescent="0.2">
      <c r="A204" s="207"/>
      <c r="B204" s="223" t="s">
        <v>276</v>
      </c>
      <c r="C204" s="582">
        <v>169140</v>
      </c>
      <c r="D204" s="582">
        <f>169140+218+220+1610</f>
        <v>171188</v>
      </c>
      <c r="E204" s="582">
        <f>169140+218+220+1610</f>
        <v>171188</v>
      </c>
      <c r="F204" s="582">
        <f>171188+13378</f>
        <v>184566</v>
      </c>
      <c r="G204" s="867">
        <f t="shared" si="38"/>
        <v>1.0781480010281095</v>
      </c>
    </row>
    <row r="205" spans="1:7" x14ac:dyDescent="0.2">
      <c r="A205" s="207"/>
      <c r="B205" s="223" t="s">
        <v>277</v>
      </c>
      <c r="C205" s="582">
        <v>22827</v>
      </c>
      <c r="D205" s="582">
        <f>22827+25+29+209</f>
        <v>23090</v>
      </c>
      <c r="E205" s="582">
        <f>22827+25+29+209</f>
        <v>23090</v>
      </c>
      <c r="F205" s="582">
        <f>23090+1440</f>
        <v>24530</v>
      </c>
      <c r="G205" s="571">
        <f t="shared" si="38"/>
        <v>1.0623646600259853</v>
      </c>
    </row>
    <row r="206" spans="1:7" x14ac:dyDescent="0.2">
      <c r="A206" s="207"/>
      <c r="B206" s="223" t="s">
        <v>278</v>
      </c>
      <c r="C206" s="582">
        <v>3500</v>
      </c>
      <c r="D206" s="582">
        <f>3500+1172+258+1610</f>
        <v>6540</v>
      </c>
      <c r="E206" s="582">
        <f>6540-1</f>
        <v>6539</v>
      </c>
      <c r="F206" s="582">
        <f>6540-1</f>
        <v>6539</v>
      </c>
      <c r="G206" s="571">
        <f t="shared" si="38"/>
        <v>1</v>
      </c>
    </row>
    <row r="207" spans="1:7" x14ac:dyDescent="0.2">
      <c r="A207" s="207"/>
      <c r="B207" s="224" t="s">
        <v>280</v>
      </c>
      <c r="C207" s="370"/>
      <c r="D207" s="370"/>
      <c r="E207" s="370"/>
      <c r="F207" s="370"/>
      <c r="G207" s="571"/>
    </row>
    <row r="208" spans="1:7" ht="13.5" thickBot="1" x14ac:dyDescent="0.25">
      <c r="A208" s="207"/>
      <c r="B208" s="225" t="s">
        <v>279</v>
      </c>
      <c r="C208" s="371"/>
      <c r="D208" s="371"/>
      <c r="E208" s="371">
        <v>1</v>
      </c>
      <c r="F208" s="371">
        <v>1</v>
      </c>
      <c r="G208" s="593">
        <f t="shared" si="38"/>
        <v>1</v>
      </c>
    </row>
    <row r="209" spans="1:7" ht="13.5" thickBot="1" x14ac:dyDescent="0.25">
      <c r="A209" s="207"/>
      <c r="B209" s="226" t="s">
        <v>42</v>
      </c>
      <c r="C209" s="377">
        <f t="shared" ref="C209:D209" si="49">SUM(C204:C208)</f>
        <v>195467</v>
      </c>
      <c r="D209" s="377">
        <f t="shared" si="49"/>
        <v>200818</v>
      </c>
      <c r="E209" s="377">
        <f t="shared" ref="E209:F209" si="50">SUM(E204:E208)</f>
        <v>200818</v>
      </c>
      <c r="F209" s="377">
        <f t="shared" si="50"/>
        <v>215636</v>
      </c>
      <c r="G209" s="1117">
        <f t="shared" si="38"/>
        <v>1.0737882062364927</v>
      </c>
    </row>
    <row r="210" spans="1:7" x14ac:dyDescent="0.2">
      <c r="A210" s="207"/>
      <c r="B210" s="223" t="s">
        <v>1036</v>
      </c>
      <c r="C210" s="582">
        <v>554</v>
      </c>
      <c r="D210" s="582">
        <v>554</v>
      </c>
      <c r="E210" s="582">
        <v>554</v>
      </c>
      <c r="F210" s="582">
        <v>554</v>
      </c>
      <c r="G210" s="867">
        <f t="shared" si="38"/>
        <v>1</v>
      </c>
    </row>
    <row r="211" spans="1:7" x14ac:dyDescent="0.2">
      <c r="A211" s="207"/>
      <c r="B211" s="223" t="s">
        <v>211</v>
      </c>
      <c r="C211" s="370"/>
      <c r="D211" s="370"/>
      <c r="E211" s="370"/>
      <c r="F211" s="370"/>
      <c r="G211" s="571"/>
    </row>
    <row r="212" spans="1:7" ht="13.5" thickBot="1" x14ac:dyDescent="0.25">
      <c r="A212" s="207"/>
      <c r="B212" s="225" t="s">
        <v>366</v>
      </c>
      <c r="C212" s="371"/>
      <c r="D212" s="371"/>
      <c r="E212" s="371"/>
      <c r="F212" s="371"/>
      <c r="G212" s="593"/>
    </row>
    <row r="213" spans="1:7" ht="13.5" thickBot="1" x14ac:dyDescent="0.25">
      <c r="A213" s="207"/>
      <c r="B213" s="227" t="s">
        <v>48</v>
      </c>
      <c r="C213" s="377">
        <f t="shared" ref="C213:D213" si="51">SUM(C210:C212)</f>
        <v>554</v>
      </c>
      <c r="D213" s="377">
        <f t="shared" si="51"/>
        <v>554</v>
      </c>
      <c r="E213" s="377">
        <f t="shared" ref="E213:F213" si="52">SUM(E210:E212)</f>
        <v>554</v>
      </c>
      <c r="F213" s="377">
        <f t="shared" si="52"/>
        <v>554</v>
      </c>
      <c r="G213" s="1117">
        <f t="shared" si="38"/>
        <v>1</v>
      </c>
    </row>
    <row r="214" spans="1:7" ht="15.75" thickBot="1" x14ac:dyDescent="0.3">
      <c r="A214" s="204"/>
      <c r="B214" s="228" t="s">
        <v>89</v>
      </c>
      <c r="C214" s="377">
        <f t="shared" ref="C214:D214" si="53">SUM(C209+C213)</f>
        <v>196021</v>
      </c>
      <c r="D214" s="377">
        <f t="shared" si="53"/>
        <v>201372</v>
      </c>
      <c r="E214" s="377">
        <f t="shared" ref="E214:F214" si="54">SUM(E209+E213)</f>
        <v>201372</v>
      </c>
      <c r="F214" s="377">
        <f t="shared" si="54"/>
        <v>216190</v>
      </c>
      <c r="G214" s="1117">
        <f t="shared" si="38"/>
        <v>1.0735852054903363</v>
      </c>
    </row>
    <row r="215" spans="1:7" ht="15" x14ac:dyDescent="0.25">
      <c r="A215" s="171">
        <v>2335</v>
      </c>
      <c r="B215" s="173" t="s">
        <v>285</v>
      </c>
      <c r="C215" s="370"/>
      <c r="D215" s="370"/>
      <c r="E215" s="370"/>
      <c r="F215" s="370"/>
      <c r="G215" s="867"/>
    </row>
    <row r="216" spans="1:7" ht="12.6" customHeight="1" x14ac:dyDescent="0.2">
      <c r="A216" s="207"/>
      <c r="B216" s="208" t="s">
        <v>154</v>
      </c>
      <c r="C216" s="373"/>
      <c r="D216" s="373"/>
      <c r="E216" s="373"/>
      <c r="F216" s="373"/>
      <c r="G216" s="571"/>
    </row>
    <row r="217" spans="1:7" ht="13.5" thickBot="1" x14ac:dyDescent="0.25">
      <c r="A217" s="207"/>
      <c r="B217" s="209" t="s">
        <v>155</v>
      </c>
      <c r="C217" s="374"/>
      <c r="D217" s="374"/>
      <c r="E217" s="374">
        <v>450</v>
      </c>
      <c r="F217" s="374">
        <v>450</v>
      </c>
      <c r="G217" s="593">
        <f t="shared" si="38"/>
        <v>1</v>
      </c>
    </row>
    <row r="218" spans="1:7" ht="13.5" thickBot="1" x14ac:dyDescent="0.25">
      <c r="A218" s="207"/>
      <c r="B218" s="210" t="s">
        <v>167</v>
      </c>
      <c r="C218" s="375"/>
      <c r="D218" s="375"/>
      <c r="E218" s="375">
        <v>450</v>
      </c>
      <c r="F218" s="375">
        <f>SUM(F217)</f>
        <v>450</v>
      </c>
      <c r="G218" s="593">
        <f t="shared" si="38"/>
        <v>1</v>
      </c>
    </row>
    <row r="219" spans="1:7" x14ac:dyDescent="0.2">
      <c r="A219" s="207"/>
      <c r="B219" s="208" t="s">
        <v>157</v>
      </c>
      <c r="C219" s="370"/>
      <c r="D219" s="370"/>
      <c r="E219" s="370"/>
      <c r="F219" s="370"/>
      <c r="G219" s="867"/>
    </row>
    <row r="220" spans="1:7" x14ac:dyDescent="0.2">
      <c r="A220" s="207"/>
      <c r="B220" s="212" t="s">
        <v>158</v>
      </c>
      <c r="C220" s="376"/>
      <c r="D220" s="376"/>
      <c r="E220" s="376"/>
      <c r="F220" s="376"/>
      <c r="G220" s="571"/>
    </row>
    <row r="221" spans="1:7" x14ac:dyDescent="0.2">
      <c r="A221" s="207"/>
      <c r="B221" s="212" t="s">
        <v>159</v>
      </c>
      <c r="C221" s="376"/>
      <c r="D221" s="376"/>
      <c r="E221" s="376"/>
      <c r="F221" s="376"/>
      <c r="G221" s="571"/>
    </row>
    <row r="222" spans="1:7" x14ac:dyDescent="0.2">
      <c r="A222" s="207"/>
      <c r="B222" s="213" t="s">
        <v>160</v>
      </c>
      <c r="C222" s="370"/>
      <c r="D222" s="370"/>
      <c r="E222" s="370"/>
      <c r="F222" s="370"/>
      <c r="G222" s="571"/>
    </row>
    <row r="223" spans="1:7" x14ac:dyDescent="0.2">
      <c r="A223" s="207"/>
      <c r="B223" s="213" t="s">
        <v>161</v>
      </c>
      <c r="C223" s="370"/>
      <c r="D223" s="370"/>
      <c r="E223" s="370"/>
      <c r="F223" s="370"/>
      <c r="G223" s="571"/>
    </row>
    <row r="224" spans="1:7" x14ac:dyDescent="0.2">
      <c r="A224" s="207"/>
      <c r="B224" s="213" t="s">
        <v>162</v>
      </c>
      <c r="C224" s="370"/>
      <c r="D224" s="370"/>
      <c r="E224" s="370"/>
      <c r="F224" s="370"/>
      <c r="G224" s="571"/>
    </row>
    <row r="225" spans="1:7" x14ac:dyDescent="0.2">
      <c r="A225" s="207"/>
      <c r="B225" s="214" t="s">
        <v>381</v>
      </c>
      <c r="C225" s="370"/>
      <c r="D225" s="370"/>
      <c r="E225" s="370"/>
      <c r="F225" s="370"/>
      <c r="G225" s="571"/>
    </row>
    <row r="226" spans="1:7" ht="13.5" thickBot="1" x14ac:dyDescent="0.25">
      <c r="A226" s="207"/>
      <c r="B226" s="215" t="s">
        <v>163</v>
      </c>
      <c r="C226" s="371"/>
      <c r="D226" s="371"/>
      <c r="E226" s="371"/>
      <c r="F226" s="371"/>
      <c r="G226" s="593"/>
    </row>
    <row r="227" spans="1:7" ht="13.5" thickBot="1" x14ac:dyDescent="0.25">
      <c r="A227" s="207"/>
      <c r="B227" s="216" t="s">
        <v>295</v>
      </c>
      <c r="C227" s="377"/>
      <c r="D227" s="377"/>
      <c r="E227" s="377"/>
      <c r="F227" s="377"/>
      <c r="G227" s="593"/>
    </row>
    <row r="228" spans="1:7" ht="13.5" thickBot="1" x14ac:dyDescent="0.25">
      <c r="A228" s="207"/>
      <c r="B228" s="768" t="s">
        <v>191</v>
      </c>
      <c r="C228" s="377"/>
      <c r="D228" s="377"/>
      <c r="E228" s="377"/>
      <c r="F228" s="377"/>
      <c r="G228" s="593"/>
    </row>
    <row r="229" spans="1:7" ht="13.5" thickBot="1" x14ac:dyDescent="0.25">
      <c r="A229" s="207"/>
      <c r="B229" s="218" t="s">
        <v>49</v>
      </c>
      <c r="C229" s="583"/>
      <c r="D229" s="583"/>
      <c r="E229" s="583">
        <f>E218+E227+E228</f>
        <v>450</v>
      </c>
      <c r="F229" s="583">
        <f>F218+F227+F228</f>
        <v>450</v>
      </c>
      <c r="G229" s="593">
        <f t="shared" ref="G229:G282" si="55">F229/E229</f>
        <v>1</v>
      </c>
    </row>
    <row r="230" spans="1:7" ht="13.5" thickBot="1" x14ac:dyDescent="0.25">
      <c r="A230" s="207"/>
      <c r="B230" s="328" t="s">
        <v>389</v>
      </c>
      <c r="C230" s="378"/>
      <c r="D230" s="378"/>
      <c r="E230" s="378"/>
      <c r="F230" s="378"/>
      <c r="G230" s="593"/>
    </row>
    <row r="231" spans="1:7" ht="13.5" thickBot="1" x14ac:dyDescent="0.25">
      <c r="A231" s="207"/>
      <c r="B231" s="219" t="s">
        <v>50</v>
      </c>
      <c r="C231" s="379"/>
      <c r="D231" s="379"/>
      <c r="E231" s="379"/>
      <c r="F231" s="379"/>
      <c r="G231" s="593"/>
    </row>
    <row r="232" spans="1:7" x14ac:dyDescent="0.2">
      <c r="A232" s="207"/>
      <c r="B232" s="325" t="s">
        <v>357</v>
      </c>
      <c r="C232" s="582"/>
      <c r="D232" s="582">
        <v>1130</v>
      </c>
      <c r="E232" s="582">
        <v>1130</v>
      </c>
      <c r="F232" s="582">
        <v>1130</v>
      </c>
      <c r="G232" s="867">
        <f t="shared" si="55"/>
        <v>1</v>
      </c>
    </row>
    <row r="233" spans="1:7" ht="13.5" thickBot="1" x14ac:dyDescent="0.25">
      <c r="A233" s="207"/>
      <c r="B233" s="128" t="s">
        <v>385</v>
      </c>
      <c r="C233" s="828">
        <v>132236</v>
      </c>
      <c r="D233" s="828">
        <f>132236+138+1710+22+237</f>
        <v>134343</v>
      </c>
      <c r="E233" s="828">
        <f>132236+138+1710+22+237</f>
        <v>134343</v>
      </c>
      <c r="F233" s="828">
        <f>134343+8204+810</f>
        <v>143357</v>
      </c>
      <c r="G233" s="593">
        <f t="shared" si="55"/>
        <v>1.0670969086591784</v>
      </c>
    </row>
    <row r="234" spans="1:7" ht="13.5" thickBot="1" x14ac:dyDescent="0.25">
      <c r="A234" s="207"/>
      <c r="B234" s="220" t="s">
        <v>43</v>
      </c>
      <c r="C234" s="379">
        <f t="shared" ref="C234:D234" si="56">SUM(C232:C233)</f>
        <v>132236</v>
      </c>
      <c r="D234" s="379">
        <f t="shared" si="56"/>
        <v>135473</v>
      </c>
      <c r="E234" s="379">
        <f>SUM(E232:E233)</f>
        <v>135473</v>
      </c>
      <c r="F234" s="379">
        <f>SUM(F232:F233)</f>
        <v>144487</v>
      </c>
      <c r="G234" s="1117">
        <f t="shared" si="55"/>
        <v>1.0665372435835923</v>
      </c>
    </row>
    <row r="235" spans="1:7" ht="13.5" thickBot="1" x14ac:dyDescent="0.25">
      <c r="A235" s="207"/>
      <c r="B235" s="190" t="s">
        <v>357</v>
      </c>
      <c r="C235" s="378"/>
      <c r="D235" s="378"/>
      <c r="E235" s="378"/>
      <c r="F235" s="378"/>
      <c r="G235" s="593"/>
    </row>
    <row r="236" spans="1:7" ht="13.5" thickBot="1" x14ac:dyDescent="0.25">
      <c r="A236" s="207"/>
      <c r="B236" s="220" t="s">
        <v>45</v>
      </c>
      <c r="C236" s="379"/>
      <c r="D236" s="379"/>
      <c r="E236" s="379"/>
      <c r="F236" s="379"/>
      <c r="G236" s="593"/>
    </row>
    <row r="237" spans="1:7" ht="15.75" thickBot="1" x14ac:dyDescent="0.3">
      <c r="A237" s="207"/>
      <c r="B237" s="222" t="s">
        <v>54</v>
      </c>
      <c r="C237" s="372">
        <f t="shared" ref="C237:D237" si="57">SUM(C229+C231+C234+C236)</f>
        <v>132236</v>
      </c>
      <c r="D237" s="372">
        <f t="shared" si="57"/>
        <v>135473</v>
      </c>
      <c r="E237" s="377">
        <f>SUM(E229+E231+E234+E236)</f>
        <v>135923</v>
      </c>
      <c r="F237" s="377">
        <f>SUM(F229+F231+F234+F236)</f>
        <v>144937</v>
      </c>
      <c r="G237" s="1117">
        <f t="shared" si="55"/>
        <v>1.066316958866417</v>
      </c>
    </row>
    <row r="238" spans="1:7" x14ac:dyDescent="0.2">
      <c r="A238" s="207"/>
      <c r="B238" s="223" t="s">
        <v>276</v>
      </c>
      <c r="C238" s="582">
        <v>113182</v>
      </c>
      <c r="D238" s="582">
        <f>113182+19+210</f>
        <v>113411</v>
      </c>
      <c r="E238" s="582">
        <f>113182+19+210</f>
        <v>113411</v>
      </c>
      <c r="F238" s="582">
        <f>113411+7276+717-244</f>
        <v>121160</v>
      </c>
      <c r="G238" s="867">
        <f t="shared" si="55"/>
        <v>1.068326705522392</v>
      </c>
    </row>
    <row r="239" spans="1:7" x14ac:dyDescent="0.2">
      <c r="A239" s="207"/>
      <c r="B239" s="223" t="s">
        <v>277</v>
      </c>
      <c r="C239" s="582">
        <v>15266</v>
      </c>
      <c r="D239" s="582">
        <f>15266+123+3+27</f>
        <v>15419</v>
      </c>
      <c r="E239" s="582">
        <f>15266+123+3+27</f>
        <v>15419</v>
      </c>
      <c r="F239" s="582">
        <f>15419+928+93+244</f>
        <v>16684</v>
      </c>
      <c r="G239" s="571">
        <f t="shared" si="55"/>
        <v>1.0820416369414358</v>
      </c>
    </row>
    <row r="240" spans="1:7" x14ac:dyDescent="0.2">
      <c r="A240" s="207"/>
      <c r="B240" s="223" t="s">
        <v>278</v>
      </c>
      <c r="C240" s="582">
        <v>3188</v>
      </c>
      <c r="D240" s="582">
        <f>3188+600+560</f>
        <v>4348</v>
      </c>
      <c r="E240" s="582">
        <f>4348+450</f>
        <v>4798</v>
      </c>
      <c r="F240" s="582">
        <f>4798</f>
        <v>4798</v>
      </c>
      <c r="G240" s="571">
        <f t="shared" si="55"/>
        <v>1</v>
      </c>
    </row>
    <row r="241" spans="1:7" x14ac:dyDescent="0.2">
      <c r="A241" s="207"/>
      <c r="B241" s="224" t="s">
        <v>280</v>
      </c>
      <c r="C241" s="370"/>
      <c r="D241" s="370"/>
      <c r="E241" s="370"/>
      <c r="F241" s="370"/>
      <c r="G241" s="571"/>
    </row>
    <row r="242" spans="1:7" ht="13.5" thickBot="1" x14ac:dyDescent="0.25">
      <c r="A242" s="207"/>
      <c r="B242" s="225" t="s">
        <v>279</v>
      </c>
      <c r="C242" s="371"/>
      <c r="D242" s="371"/>
      <c r="E242" s="371"/>
      <c r="F242" s="371"/>
      <c r="G242" s="593"/>
    </row>
    <row r="243" spans="1:7" ht="13.5" thickBot="1" x14ac:dyDescent="0.25">
      <c r="A243" s="207"/>
      <c r="B243" s="226" t="s">
        <v>42</v>
      </c>
      <c r="C243" s="372">
        <f t="shared" ref="C243:D243" si="58">SUM(C238:C242)</f>
        <v>131636</v>
      </c>
      <c r="D243" s="372">
        <f t="shared" si="58"/>
        <v>133178</v>
      </c>
      <c r="E243" s="377">
        <f t="shared" ref="E243:F243" si="59">SUM(E238:E242)</f>
        <v>133628</v>
      </c>
      <c r="F243" s="377">
        <f t="shared" si="59"/>
        <v>142642</v>
      </c>
      <c r="G243" s="1117">
        <f t="shared" si="55"/>
        <v>1.0674559224114706</v>
      </c>
    </row>
    <row r="244" spans="1:7" x14ac:dyDescent="0.2">
      <c r="A244" s="207"/>
      <c r="B244" s="223" t="s">
        <v>1036</v>
      </c>
      <c r="C244" s="582">
        <v>600</v>
      </c>
      <c r="D244" s="582">
        <f>600+407+138+1150</f>
        <v>2295</v>
      </c>
      <c r="E244" s="582">
        <f>600+407+138+1150</f>
        <v>2295</v>
      </c>
      <c r="F244" s="582">
        <f>600+407+138+1150</f>
        <v>2295</v>
      </c>
      <c r="G244" s="867">
        <f t="shared" si="55"/>
        <v>1</v>
      </c>
    </row>
    <row r="245" spans="1:7" x14ac:dyDescent="0.2">
      <c r="A245" s="207"/>
      <c r="B245" s="223" t="s">
        <v>211</v>
      </c>
      <c r="C245" s="370"/>
      <c r="D245" s="370"/>
      <c r="E245" s="370"/>
      <c r="F245" s="370"/>
      <c r="G245" s="571"/>
    </row>
    <row r="246" spans="1:7" ht="13.5" thickBot="1" x14ac:dyDescent="0.25">
      <c r="A246" s="207"/>
      <c r="B246" s="225" t="s">
        <v>366</v>
      </c>
      <c r="C246" s="371"/>
      <c r="D246" s="371"/>
      <c r="E246" s="371"/>
      <c r="F246" s="371"/>
      <c r="G246" s="593"/>
    </row>
    <row r="247" spans="1:7" ht="13.5" thickBot="1" x14ac:dyDescent="0.25">
      <c r="A247" s="207"/>
      <c r="B247" s="227" t="s">
        <v>48</v>
      </c>
      <c r="C247" s="377">
        <f t="shared" ref="C247:D247" si="60">SUM(C244:C246)</f>
        <v>600</v>
      </c>
      <c r="D247" s="377">
        <f t="shared" si="60"/>
        <v>2295</v>
      </c>
      <c r="E247" s="377">
        <f t="shared" ref="E247:F247" si="61">SUM(E244:E246)</f>
        <v>2295</v>
      </c>
      <c r="F247" s="377">
        <f t="shared" si="61"/>
        <v>2295</v>
      </c>
      <c r="G247" s="1117">
        <f t="shared" si="55"/>
        <v>1</v>
      </c>
    </row>
    <row r="248" spans="1:7" ht="15.75" thickBot="1" x14ac:dyDescent="0.3">
      <c r="A248" s="204"/>
      <c r="B248" s="228" t="s">
        <v>89</v>
      </c>
      <c r="C248" s="372">
        <f t="shared" ref="C248:D248" si="62">SUM(C243+C247)</f>
        <v>132236</v>
      </c>
      <c r="D248" s="372">
        <f t="shared" si="62"/>
        <v>135473</v>
      </c>
      <c r="E248" s="377">
        <f t="shared" ref="E248:F248" si="63">SUM(E243+E247)</f>
        <v>135923</v>
      </c>
      <c r="F248" s="377">
        <f t="shared" si="63"/>
        <v>144937</v>
      </c>
      <c r="G248" s="1117">
        <f t="shared" si="55"/>
        <v>1.066316958866417</v>
      </c>
    </row>
    <row r="249" spans="1:7" ht="15" x14ac:dyDescent="0.25">
      <c r="A249" s="170">
        <v>2345</v>
      </c>
      <c r="B249" s="231" t="s">
        <v>286</v>
      </c>
      <c r="C249" s="370"/>
      <c r="D249" s="370"/>
      <c r="E249" s="370"/>
      <c r="F249" s="370"/>
      <c r="G249" s="867"/>
    </row>
    <row r="250" spans="1:7" ht="12.6" customHeight="1" x14ac:dyDescent="0.2">
      <c r="A250" s="207"/>
      <c r="B250" s="208" t="s">
        <v>154</v>
      </c>
      <c r="C250" s="373"/>
      <c r="D250" s="373"/>
      <c r="E250" s="373"/>
      <c r="F250" s="373"/>
      <c r="G250" s="571"/>
    </row>
    <row r="251" spans="1:7" ht="13.5" thickBot="1" x14ac:dyDescent="0.25">
      <c r="A251" s="207"/>
      <c r="B251" s="209" t="s">
        <v>155</v>
      </c>
      <c r="C251" s="374"/>
      <c r="D251" s="374"/>
      <c r="E251" s="374"/>
      <c r="F251" s="374"/>
      <c r="G251" s="593"/>
    </row>
    <row r="252" spans="1:7" ht="13.5" thickBot="1" x14ac:dyDescent="0.25">
      <c r="A252" s="207"/>
      <c r="B252" s="210" t="s">
        <v>167</v>
      </c>
      <c r="C252" s="382"/>
      <c r="D252" s="382"/>
      <c r="E252" s="382"/>
      <c r="F252" s="382"/>
      <c r="G252" s="593"/>
    </row>
    <row r="253" spans="1:7" x14ac:dyDescent="0.2">
      <c r="A253" s="207"/>
      <c r="B253" s="208" t="s">
        <v>157</v>
      </c>
      <c r="C253" s="370"/>
      <c r="D253" s="370"/>
      <c r="E253" s="370"/>
      <c r="F253" s="370"/>
      <c r="G253" s="867"/>
    </row>
    <row r="254" spans="1:7" x14ac:dyDescent="0.2">
      <c r="A254" s="207"/>
      <c r="B254" s="212" t="s">
        <v>158</v>
      </c>
      <c r="C254" s="376"/>
      <c r="D254" s="376"/>
      <c r="E254" s="376"/>
      <c r="F254" s="376"/>
      <c r="G254" s="571"/>
    </row>
    <row r="255" spans="1:7" x14ac:dyDescent="0.2">
      <c r="A255" s="207"/>
      <c r="B255" s="212" t="s">
        <v>159</v>
      </c>
      <c r="C255" s="376"/>
      <c r="D255" s="376"/>
      <c r="E255" s="376"/>
      <c r="F255" s="376"/>
      <c r="G255" s="571"/>
    </row>
    <row r="256" spans="1:7" x14ac:dyDescent="0.2">
      <c r="A256" s="207"/>
      <c r="B256" s="213" t="s">
        <v>160</v>
      </c>
      <c r="C256" s="370"/>
      <c r="D256" s="370"/>
      <c r="E256" s="370"/>
      <c r="F256" s="370"/>
      <c r="G256" s="571"/>
    </row>
    <row r="257" spans="1:7" x14ac:dyDescent="0.2">
      <c r="A257" s="207"/>
      <c r="B257" s="213" t="s">
        <v>161</v>
      </c>
      <c r="C257" s="370"/>
      <c r="D257" s="370"/>
      <c r="E257" s="370"/>
      <c r="F257" s="370"/>
      <c r="G257" s="571"/>
    </row>
    <row r="258" spans="1:7" x14ac:dyDescent="0.2">
      <c r="A258" s="207"/>
      <c r="B258" s="213" t="s">
        <v>162</v>
      </c>
      <c r="C258" s="370"/>
      <c r="D258" s="370"/>
      <c r="E258" s="370"/>
      <c r="F258" s="370"/>
      <c r="G258" s="571"/>
    </row>
    <row r="259" spans="1:7" x14ac:dyDescent="0.2">
      <c r="A259" s="207"/>
      <c r="B259" s="214" t="s">
        <v>381</v>
      </c>
      <c r="C259" s="370"/>
      <c r="D259" s="370"/>
      <c r="E259" s="370"/>
      <c r="F259" s="370"/>
      <c r="G259" s="571"/>
    </row>
    <row r="260" spans="1:7" ht="13.5" thickBot="1" x14ac:dyDescent="0.25">
      <c r="A260" s="207"/>
      <c r="B260" s="215" t="s">
        <v>163</v>
      </c>
      <c r="C260" s="370"/>
      <c r="D260" s="370"/>
      <c r="E260" s="370"/>
      <c r="F260" s="370"/>
      <c r="G260" s="593"/>
    </row>
    <row r="261" spans="1:7" ht="13.5" thickBot="1" x14ac:dyDescent="0.25">
      <c r="A261" s="207"/>
      <c r="B261" s="216" t="s">
        <v>295</v>
      </c>
      <c r="C261" s="372"/>
      <c r="D261" s="372"/>
      <c r="E261" s="372"/>
      <c r="F261" s="372"/>
      <c r="G261" s="593"/>
    </row>
    <row r="262" spans="1:7" ht="13.5" thickBot="1" x14ac:dyDescent="0.25">
      <c r="A262" s="207"/>
      <c r="B262" s="768" t="s">
        <v>191</v>
      </c>
      <c r="C262" s="377"/>
      <c r="D262" s="377"/>
      <c r="E262" s="377"/>
      <c r="F262" s="377"/>
      <c r="G262" s="593"/>
    </row>
    <row r="263" spans="1:7" ht="13.5" thickBot="1" x14ac:dyDescent="0.25">
      <c r="A263" s="207"/>
      <c r="B263" s="218" t="s">
        <v>49</v>
      </c>
      <c r="C263" s="583"/>
      <c r="D263" s="583"/>
      <c r="E263" s="583"/>
      <c r="F263" s="583"/>
      <c r="G263" s="593"/>
    </row>
    <row r="264" spans="1:7" ht="13.5" thickBot="1" x14ac:dyDescent="0.25">
      <c r="A264" s="207"/>
      <c r="B264" s="328" t="s">
        <v>389</v>
      </c>
      <c r="C264" s="378"/>
      <c r="D264" s="378"/>
      <c r="E264" s="378"/>
      <c r="F264" s="378"/>
      <c r="G264" s="593"/>
    </row>
    <row r="265" spans="1:7" ht="13.5" thickBot="1" x14ac:dyDescent="0.25">
      <c r="A265" s="207"/>
      <c r="B265" s="219" t="s">
        <v>50</v>
      </c>
      <c r="C265" s="379"/>
      <c r="D265" s="379"/>
      <c r="E265" s="379"/>
      <c r="F265" s="379"/>
      <c r="G265" s="593"/>
    </row>
    <row r="266" spans="1:7" x14ac:dyDescent="0.2">
      <c r="A266" s="207"/>
      <c r="B266" s="325" t="s">
        <v>357</v>
      </c>
      <c r="C266" s="582">
        <v>0</v>
      </c>
      <c r="D266" s="582">
        <v>2692</v>
      </c>
      <c r="E266" s="582">
        <v>2692</v>
      </c>
      <c r="F266" s="582">
        <v>2692</v>
      </c>
      <c r="G266" s="867">
        <f t="shared" si="55"/>
        <v>1</v>
      </c>
    </row>
    <row r="267" spans="1:7" ht="13.5" thickBot="1" x14ac:dyDescent="0.25">
      <c r="A267" s="207"/>
      <c r="B267" s="128" t="s">
        <v>385</v>
      </c>
      <c r="C267" s="828">
        <v>131294</v>
      </c>
      <c r="D267" s="828">
        <f>131294+102+1660+96+79</f>
        <v>133231</v>
      </c>
      <c r="E267" s="828">
        <f>131294+102+1660+96+79</f>
        <v>133231</v>
      </c>
      <c r="F267" s="828">
        <f>133231+9460+1111</f>
        <v>143802</v>
      </c>
      <c r="G267" s="593">
        <f t="shared" si="55"/>
        <v>1.0793433960564733</v>
      </c>
    </row>
    <row r="268" spans="1:7" ht="13.5" thickBot="1" x14ac:dyDescent="0.25">
      <c r="A268" s="207"/>
      <c r="B268" s="220" t="s">
        <v>43</v>
      </c>
      <c r="C268" s="379">
        <f t="shared" ref="C268:D268" si="64">SUM(C266:C267)</f>
        <v>131294</v>
      </c>
      <c r="D268" s="379">
        <f t="shared" si="64"/>
        <v>135923</v>
      </c>
      <c r="E268" s="379">
        <f t="shared" ref="E268:F268" si="65">SUM(E266:E267)</f>
        <v>135923</v>
      </c>
      <c r="F268" s="379">
        <f t="shared" si="65"/>
        <v>146494</v>
      </c>
      <c r="G268" s="1117">
        <f t="shared" si="55"/>
        <v>1.0777719738381288</v>
      </c>
    </row>
    <row r="269" spans="1:7" ht="13.5" thickBot="1" x14ac:dyDescent="0.25">
      <c r="A269" s="207"/>
      <c r="B269" s="190" t="s">
        <v>357</v>
      </c>
      <c r="C269" s="829"/>
      <c r="D269" s="829"/>
      <c r="E269" s="828"/>
      <c r="F269" s="828"/>
      <c r="G269" s="593"/>
    </row>
    <row r="270" spans="1:7" ht="13.5" thickBot="1" x14ac:dyDescent="0.25">
      <c r="A270" s="207"/>
      <c r="B270" s="220" t="s">
        <v>45</v>
      </c>
      <c r="C270" s="379">
        <f>SUM(C269)</f>
        <v>0</v>
      </c>
      <c r="D270" s="379">
        <f>SUM(D269)</f>
        <v>0</v>
      </c>
      <c r="E270" s="379">
        <f>SUM(E269)</f>
        <v>0</v>
      </c>
      <c r="F270" s="379">
        <f>SUM(F269)</f>
        <v>0</v>
      </c>
      <c r="G270" s="593"/>
    </row>
    <row r="271" spans="1:7" ht="15.75" thickBot="1" x14ac:dyDescent="0.3">
      <c r="A271" s="207"/>
      <c r="B271" s="222" t="s">
        <v>54</v>
      </c>
      <c r="C271" s="372">
        <f t="shared" ref="C271:D271" si="66">SUM(C263+C265+C268+C270)</f>
        <v>131294</v>
      </c>
      <c r="D271" s="372">
        <f t="shared" si="66"/>
        <v>135923</v>
      </c>
      <c r="E271" s="377">
        <f t="shared" ref="E271:F271" si="67">SUM(E263+E265+E268+E270)</f>
        <v>135923</v>
      </c>
      <c r="F271" s="377">
        <f t="shared" si="67"/>
        <v>146494</v>
      </c>
      <c r="G271" s="1117">
        <f t="shared" si="55"/>
        <v>1.0777719738381288</v>
      </c>
    </row>
    <row r="272" spans="1:7" x14ac:dyDescent="0.2">
      <c r="A272" s="207"/>
      <c r="B272" s="223" t="s">
        <v>276</v>
      </c>
      <c r="C272" s="584">
        <v>112809</v>
      </c>
      <c r="D272" s="584">
        <f>112809+87+85+70</f>
        <v>113051</v>
      </c>
      <c r="E272" s="584">
        <f>112809+87+85+70</f>
        <v>113051</v>
      </c>
      <c r="F272" s="584">
        <f>113051+8990+983</f>
        <v>123024</v>
      </c>
      <c r="G272" s="867">
        <f t="shared" si="55"/>
        <v>1.0882168224960416</v>
      </c>
    </row>
    <row r="273" spans="1:7" x14ac:dyDescent="0.2">
      <c r="A273" s="207"/>
      <c r="B273" s="223" t="s">
        <v>277</v>
      </c>
      <c r="C273" s="582">
        <v>15223</v>
      </c>
      <c r="D273" s="582">
        <f>15223+11+9</f>
        <v>15243</v>
      </c>
      <c r="E273" s="582">
        <f>15223+11+9</f>
        <v>15243</v>
      </c>
      <c r="F273" s="582">
        <f>15243+470+128</f>
        <v>15841</v>
      </c>
      <c r="G273" s="571">
        <f t="shared" si="55"/>
        <v>1.0392311224824509</v>
      </c>
    </row>
    <row r="274" spans="1:7" x14ac:dyDescent="0.2">
      <c r="A274" s="207"/>
      <c r="B274" s="223" t="s">
        <v>278</v>
      </c>
      <c r="C274" s="582">
        <v>2500</v>
      </c>
      <c r="D274" s="582">
        <f>2500+1707+610</f>
        <v>4817</v>
      </c>
      <c r="E274" s="582">
        <f>2500+1707+610</f>
        <v>4817</v>
      </c>
      <c r="F274" s="582">
        <f>2500+1707+610</f>
        <v>4817</v>
      </c>
      <c r="G274" s="571">
        <f t="shared" si="55"/>
        <v>1</v>
      </c>
    </row>
    <row r="275" spans="1:7" x14ac:dyDescent="0.2">
      <c r="A275" s="207"/>
      <c r="B275" s="224" t="s">
        <v>280</v>
      </c>
      <c r="C275" s="370"/>
      <c r="D275" s="370"/>
      <c r="E275" s="370"/>
      <c r="F275" s="370"/>
      <c r="G275" s="571"/>
    </row>
    <row r="276" spans="1:7" ht="13.5" thickBot="1" x14ac:dyDescent="0.25">
      <c r="A276" s="207"/>
      <c r="B276" s="225" t="s">
        <v>279</v>
      </c>
      <c r="C276" s="370"/>
      <c r="D276" s="370"/>
      <c r="E276" s="370"/>
      <c r="F276" s="370"/>
      <c r="G276" s="593"/>
    </row>
    <row r="277" spans="1:7" ht="13.5" thickBot="1" x14ac:dyDescent="0.25">
      <c r="A277" s="207"/>
      <c r="B277" s="226" t="s">
        <v>42</v>
      </c>
      <c r="C277" s="372">
        <f t="shared" ref="C277:D277" si="68">SUM(C272:C276)</f>
        <v>130532</v>
      </c>
      <c r="D277" s="372">
        <f t="shared" si="68"/>
        <v>133111</v>
      </c>
      <c r="E277" s="372">
        <f t="shared" ref="E277:F277" si="69">SUM(E272:E276)</f>
        <v>133111</v>
      </c>
      <c r="F277" s="372">
        <f t="shared" si="69"/>
        <v>143682</v>
      </c>
      <c r="G277" s="1117">
        <f t="shared" si="55"/>
        <v>1.0794149243864144</v>
      </c>
    </row>
    <row r="278" spans="1:7" x14ac:dyDescent="0.2">
      <c r="A278" s="207"/>
      <c r="B278" s="223" t="s">
        <v>1036</v>
      </c>
      <c r="C278" s="582">
        <v>762</v>
      </c>
      <c r="D278" s="582">
        <f>762+898+102+1050</f>
        <v>2812</v>
      </c>
      <c r="E278" s="582">
        <f>762+898+102+1050</f>
        <v>2812</v>
      </c>
      <c r="F278" s="582">
        <f>762+898+102+1050</f>
        <v>2812</v>
      </c>
      <c r="G278" s="867">
        <f t="shared" si="55"/>
        <v>1</v>
      </c>
    </row>
    <row r="279" spans="1:7" x14ac:dyDescent="0.2">
      <c r="A279" s="207"/>
      <c r="B279" s="223" t="s">
        <v>211</v>
      </c>
      <c r="C279" s="370"/>
      <c r="D279" s="370"/>
      <c r="E279" s="370"/>
      <c r="F279" s="370"/>
      <c r="G279" s="571"/>
    </row>
    <row r="280" spans="1:7" ht="13.5" thickBot="1" x14ac:dyDescent="0.25">
      <c r="A280" s="207"/>
      <c r="B280" s="225" t="s">
        <v>366</v>
      </c>
      <c r="C280" s="370"/>
      <c r="D280" s="370"/>
      <c r="E280" s="370"/>
      <c r="F280" s="370"/>
      <c r="G280" s="593"/>
    </row>
    <row r="281" spans="1:7" ht="13.5" thickBot="1" x14ac:dyDescent="0.25">
      <c r="A281" s="207"/>
      <c r="B281" s="227" t="s">
        <v>48</v>
      </c>
      <c r="C281" s="372">
        <f t="shared" ref="C281:D281" si="70">SUM(C278:C280)</f>
        <v>762</v>
      </c>
      <c r="D281" s="372">
        <f t="shared" si="70"/>
        <v>2812</v>
      </c>
      <c r="E281" s="372">
        <f t="shared" ref="E281:F281" si="71">SUM(E278:E280)</f>
        <v>2812</v>
      </c>
      <c r="F281" s="372">
        <f t="shared" si="71"/>
        <v>2812</v>
      </c>
      <c r="G281" s="1117">
        <f t="shared" si="55"/>
        <v>1</v>
      </c>
    </row>
    <row r="282" spans="1:7" ht="15.75" thickBot="1" x14ac:dyDescent="0.3">
      <c r="A282" s="204"/>
      <c r="B282" s="228" t="s">
        <v>89</v>
      </c>
      <c r="C282" s="377">
        <f t="shared" ref="C282:D282" si="72">SUM(C277+C281)</f>
        <v>131294</v>
      </c>
      <c r="D282" s="377">
        <f t="shared" si="72"/>
        <v>135923</v>
      </c>
      <c r="E282" s="377">
        <f t="shared" ref="E282:F282" si="73">SUM(E277+E281)</f>
        <v>135923</v>
      </c>
      <c r="F282" s="377">
        <f t="shared" si="73"/>
        <v>146494</v>
      </c>
      <c r="G282" s="1117">
        <f t="shared" si="55"/>
        <v>1.0777719738381288</v>
      </c>
    </row>
    <row r="283" spans="1:7" ht="15" x14ac:dyDescent="0.25">
      <c r="A283" s="170">
        <v>2360</v>
      </c>
      <c r="B283" s="230" t="s">
        <v>287</v>
      </c>
      <c r="C283" s="370"/>
      <c r="D283" s="370"/>
      <c r="E283" s="370"/>
      <c r="F283" s="370"/>
      <c r="G283" s="867"/>
    </row>
    <row r="284" spans="1:7" ht="12.75" customHeight="1" x14ac:dyDescent="0.2">
      <c r="A284" s="207"/>
      <c r="B284" s="208" t="s">
        <v>154</v>
      </c>
      <c r="C284" s="373"/>
      <c r="D284" s="373"/>
      <c r="E284" s="373"/>
      <c r="F284" s="373"/>
      <c r="G284" s="571"/>
    </row>
    <row r="285" spans="1:7" ht="13.5" thickBot="1" x14ac:dyDescent="0.25">
      <c r="A285" s="207"/>
      <c r="B285" s="209" t="s">
        <v>155</v>
      </c>
      <c r="C285" s="374"/>
      <c r="D285" s="374"/>
      <c r="E285" s="374">
        <v>350</v>
      </c>
      <c r="F285" s="374">
        <v>350</v>
      </c>
      <c r="G285" s="593">
        <f t="shared" ref="G285:G346" si="74">F285/E285</f>
        <v>1</v>
      </c>
    </row>
    <row r="286" spans="1:7" ht="13.5" thickBot="1" x14ac:dyDescent="0.25">
      <c r="A286" s="207"/>
      <c r="B286" s="210" t="s">
        <v>167</v>
      </c>
      <c r="C286" s="375"/>
      <c r="D286" s="375"/>
      <c r="E286" s="375">
        <v>350</v>
      </c>
      <c r="F286" s="375">
        <v>350</v>
      </c>
      <c r="G286" s="593">
        <f t="shared" si="74"/>
        <v>1</v>
      </c>
    </row>
    <row r="287" spans="1:7" x14ac:dyDescent="0.2">
      <c r="A287" s="207"/>
      <c r="B287" s="208" t="s">
        <v>157</v>
      </c>
      <c r="C287" s="370"/>
      <c r="D287" s="370"/>
      <c r="E287" s="370"/>
      <c r="F287" s="370"/>
      <c r="G287" s="867"/>
    </row>
    <row r="288" spans="1:7" x14ac:dyDescent="0.2">
      <c r="A288" s="207"/>
      <c r="B288" s="212" t="s">
        <v>158</v>
      </c>
      <c r="C288" s="376"/>
      <c r="D288" s="376"/>
      <c r="E288" s="376"/>
      <c r="F288" s="376"/>
      <c r="G288" s="571"/>
    </row>
    <row r="289" spans="1:7" x14ac:dyDescent="0.2">
      <c r="A289" s="207"/>
      <c r="B289" s="212" t="s">
        <v>159</v>
      </c>
      <c r="C289" s="376"/>
      <c r="D289" s="376"/>
      <c r="E289" s="376"/>
      <c r="F289" s="376"/>
      <c r="G289" s="571"/>
    </row>
    <row r="290" spans="1:7" x14ac:dyDescent="0.2">
      <c r="A290" s="207"/>
      <c r="B290" s="213" t="s">
        <v>160</v>
      </c>
      <c r="C290" s="370"/>
      <c r="D290" s="370"/>
      <c r="E290" s="370"/>
      <c r="F290" s="370"/>
      <c r="G290" s="571"/>
    </row>
    <row r="291" spans="1:7" x14ac:dyDescent="0.2">
      <c r="A291" s="207"/>
      <c r="B291" s="213" t="s">
        <v>161</v>
      </c>
      <c r="C291" s="370"/>
      <c r="D291" s="370"/>
      <c r="E291" s="370"/>
      <c r="F291" s="370"/>
      <c r="G291" s="571"/>
    </row>
    <row r="292" spans="1:7" x14ac:dyDescent="0.2">
      <c r="A292" s="207"/>
      <c r="B292" s="213" t="s">
        <v>162</v>
      </c>
      <c r="C292" s="370"/>
      <c r="D292" s="370"/>
      <c r="E292" s="370"/>
      <c r="F292" s="370"/>
      <c r="G292" s="571"/>
    </row>
    <row r="293" spans="1:7" x14ac:dyDescent="0.2">
      <c r="A293" s="207"/>
      <c r="B293" s="214" t="s">
        <v>381</v>
      </c>
      <c r="C293" s="370"/>
      <c r="D293" s="370"/>
      <c r="E293" s="370"/>
      <c r="F293" s="370"/>
      <c r="G293" s="571"/>
    </row>
    <row r="294" spans="1:7" ht="13.5" thickBot="1" x14ac:dyDescent="0.25">
      <c r="A294" s="207"/>
      <c r="B294" s="215" t="s">
        <v>163</v>
      </c>
      <c r="C294" s="371"/>
      <c r="D294" s="371"/>
      <c r="E294" s="371"/>
      <c r="F294" s="371"/>
      <c r="G294" s="593"/>
    </row>
    <row r="295" spans="1:7" ht="13.5" thickBot="1" x14ac:dyDescent="0.25">
      <c r="A295" s="207"/>
      <c r="B295" s="216" t="s">
        <v>295</v>
      </c>
      <c r="C295" s="377"/>
      <c r="D295" s="377"/>
      <c r="E295" s="377"/>
      <c r="F295" s="377"/>
      <c r="G295" s="593"/>
    </row>
    <row r="296" spans="1:7" ht="13.5" thickBot="1" x14ac:dyDescent="0.25">
      <c r="A296" s="207"/>
      <c r="B296" s="768" t="s">
        <v>191</v>
      </c>
      <c r="C296" s="377"/>
      <c r="D296" s="377"/>
      <c r="E296" s="377"/>
      <c r="F296" s="377"/>
      <c r="G296" s="593"/>
    </row>
    <row r="297" spans="1:7" ht="13.5" thickBot="1" x14ac:dyDescent="0.25">
      <c r="A297" s="207"/>
      <c r="B297" s="218" t="s">
        <v>49</v>
      </c>
      <c r="C297" s="583"/>
      <c r="D297" s="583"/>
      <c r="E297" s="583">
        <f>E286+E295+E296</f>
        <v>350</v>
      </c>
      <c r="F297" s="583">
        <f>F286+F295+F296</f>
        <v>350</v>
      </c>
      <c r="G297" s="593">
        <f t="shared" si="74"/>
        <v>1</v>
      </c>
    </row>
    <row r="298" spans="1:7" ht="13.5" thickBot="1" x14ac:dyDescent="0.25">
      <c r="A298" s="207"/>
      <c r="B298" s="328" t="s">
        <v>389</v>
      </c>
      <c r="C298" s="378"/>
      <c r="D298" s="378"/>
      <c r="E298" s="378"/>
      <c r="F298" s="378"/>
      <c r="G298" s="593"/>
    </row>
    <row r="299" spans="1:7" ht="13.5" thickBot="1" x14ac:dyDescent="0.25">
      <c r="A299" s="207"/>
      <c r="B299" s="219" t="s">
        <v>50</v>
      </c>
      <c r="C299" s="379"/>
      <c r="D299" s="379"/>
      <c r="E299" s="379"/>
      <c r="F299" s="379"/>
      <c r="G299" s="593"/>
    </row>
    <row r="300" spans="1:7" x14ac:dyDescent="0.2">
      <c r="A300" s="207"/>
      <c r="B300" s="325" t="s">
        <v>357</v>
      </c>
      <c r="C300" s="582"/>
      <c r="D300" s="582">
        <v>1730</v>
      </c>
      <c r="E300" s="582">
        <v>1730</v>
      </c>
      <c r="F300" s="582">
        <v>1730</v>
      </c>
      <c r="G300" s="867">
        <f t="shared" si="74"/>
        <v>1</v>
      </c>
    </row>
    <row r="301" spans="1:7" ht="13.5" thickBot="1" x14ac:dyDescent="0.25">
      <c r="A301" s="207"/>
      <c r="B301" s="128" t="s">
        <v>385</v>
      </c>
      <c r="C301" s="828">
        <v>127208</v>
      </c>
      <c r="D301" s="828">
        <f>127208+421+2000+396</f>
        <v>130025</v>
      </c>
      <c r="E301" s="828">
        <f>127208+421+2000+396</f>
        <v>130025</v>
      </c>
      <c r="F301" s="828">
        <f>130025+4625</f>
        <v>134650</v>
      </c>
      <c r="G301" s="1118">
        <f t="shared" si="74"/>
        <v>1.0355700826764085</v>
      </c>
    </row>
    <row r="302" spans="1:7" ht="13.5" thickBot="1" x14ac:dyDescent="0.25">
      <c r="A302" s="207"/>
      <c r="B302" s="220" t="s">
        <v>43</v>
      </c>
      <c r="C302" s="379">
        <f t="shared" ref="C302:D302" si="75">SUM(C300:C301)</f>
        <v>127208</v>
      </c>
      <c r="D302" s="379">
        <f t="shared" si="75"/>
        <v>131755</v>
      </c>
      <c r="E302" s="379">
        <f t="shared" ref="E302:F302" si="76">SUM(E300:E301)</f>
        <v>131755</v>
      </c>
      <c r="F302" s="379">
        <f t="shared" si="76"/>
        <v>136380</v>
      </c>
      <c r="G302" s="1117">
        <f t="shared" si="74"/>
        <v>1.0351030321429926</v>
      </c>
    </row>
    <row r="303" spans="1:7" ht="13.5" thickBot="1" x14ac:dyDescent="0.25">
      <c r="A303" s="207"/>
      <c r="B303" s="190" t="s">
        <v>357</v>
      </c>
      <c r="C303" s="378"/>
      <c r="D303" s="378"/>
      <c r="E303" s="378"/>
      <c r="F303" s="378"/>
      <c r="G303" s="593"/>
    </row>
    <row r="304" spans="1:7" ht="13.5" thickBot="1" x14ac:dyDescent="0.25">
      <c r="A304" s="207"/>
      <c r="B304" s="220" t="s">
        <v>45</v>
      </c>
      <c r="C304" s="379"/>
      <c r="D304" s="379"/>
      <c r="E304" s="379"/>
      <c r="F304" s="379"/>
      <c r="G304" s="593"/>
    </row>
    <row r="305" spans="1:7" ht="15.75" thickBot="1" x14ac:dyDescent="0.3">
      <c r="A305" s="207"/>
      <c r="B305" s="222" t="s">
        <v>54</v>
      </c>
      <c r="C305" s="372">
        <f t="shared" ref="C305:D305" si="77">SUM(C297+C299+C302+C304)</f>
        <v>127208</v>
      </c>
      <c r="D305" s="372">
        <f t="shared" si="77"/>
        <v>131755</v>
      </c>
      <c r="E305" s="377">
        <f>SUM(E297+E299+E302+E304)</f>
        <v>132105</v>
      </c>
      <c r="F305" s="377">
        <f>SUM(F297+F299+F302+F304)</f>
        <v>136730</v>
      </c>
      <c r="G305" s="1117">
        <f t="shared" si="74"/>
        <v>1.0350100299004579</v>
      </c>
    </row>
    <row r="306" spans="1:7" x14ac:dyDescent="0.2">
      <c r="A306" s="207"/>
      <c r="B306" s="223" t="s">
        <v>276</v>
      </c>
      <c r="C306" s="582">
        <v>109619</v>
      </c>
      <c r="D306" s="582">
        <f>109619+218+350</f>
        <v>110187</v>
      </c>
      <c r="E306" s="582">
        <f>109619+218+350</f>
        <v>110187</v>
      </c>
      <c r="F306" s="582">
        <f>110187+4160</f>
        <v>114347</v>
      </c>
      <c r="G306" s="867">
        <f t="shared" si="74"/>
        <v>1.0377540000181509</v>
      </c>
    </row>
    <row r="307" spans="1:7" x14ac:dyDescent="0.2">
      <c r="A307" s="207"/>
      <c r="B307" s="223" t="s">
        <v>277</v>
      </c>
      <c r="C307" s="582">
        <v>14808</v>
      </c>
      <c r="D307" s="582">
        <f>14808+188+46</f>
        <v>15042</v>
      </c>
      <c r="E307" s="582">
        <f>14808+188+46</f>
        <v>15042</v>
      </c>
      <c r="F307" s="582">
        <f>15042+465</f>
        <v>15507</v>
      </c>
      <c r="G307" s="571">
        <f t="shared" si="74"/>
        <v>1.0309134423613882</v>
      </c>
    </row>
    <row r="308" spans="1:7" x14ac:dyDescent="0.2">
      <c r="A308" s="207"/>
      <c r="B308" s="223" t="s">
        <v>278</v>
      </c>
      <c r="C308" s="582">
        <v>2400</v>
      </c>
      <c r="D308" s="582">
        <f>2400+1324+271+500</f>
        <v>4495</v>
      </c>
      <c r="E308" s="582">
        <f>4495+350</f>
        <v>4845</v>
      </c>
      <c r="F308" s="582">
        <f>4495+350</f>
        <v>4845</v>
      </c>
      <c r="G308" s="571">
        <f t="shared" si="74"/>
        <v>1</v>
      </c>
    </row>
    <row r="309" spans="1:7" x14ac:dyDescent="0.2">
      <c r="A309" s="207"/>
      <c r="B309" s="224" t="s">
        <v>280</v>
      </c>
      <c r="C309" s="370"/>
      <c r="D309" s="370"/>
      <c r="E309" s="370"/>
      <c r="F309" s="370"/>
      <c r="G309" s="571"/>
    </row>
    <row r="310" spans="1:7" ht="13.5" thickBot="1" x14ac:dyDescent="0.25">
      <c r="A310" s="207"/>
      <c r="B310" s="225" t="s">
        <v>279</v>
      </c>
      <c r="C310" s="370"/>
      <c r="D310" s="370"/>
      <c r="E310" s="370"/>
      <c r="F310" s="370"/>
      <c r="G310" s="593"/>
    </row>
    <row r="311" spans="1:7" ht="13.5" thickBot="1" x14ac:dyDescent="0.25">
      <c r="A311" s="207"/>
      <c r="B311" s="226" t="s">
        <v>42</v>
      </c>
      <c r="C311" s="372">
        <f t="shared" ref="C311:D311" si="78">SUM(C306:C310)</f>
        <v>126827</v>
      </c>
      <c r="D311" s="372">
        <f t="shared" si="78"/>
        <v>129724</v>
      </c>
      <c r="E311" s="372">
        <f t="shared" ref="E311:F311" si="79">SUM(E306:E310)</f>
        <v>130074</v>
      </c>
      <c r="F311" s="372">
        <f t="shared" si="79"/>
        <v>134699</v>
      </c>
      <c r="G311" s="1117">
        <f t="shared" si="74"/>
        <v>1.0355566831188401</v>
      </c>
    </row>
    <row r="312" spans="1:7" x14ac:dyDescent="0.2">
      <c r="A312" s="207"/>
      <c r="B312" s="223" t="s">
        <v>1036</v>
      </c>
      <c r="C312" s="582">
        <v>381</v>
      </c>
      <c r="D312" s="582">
        <f>381+150+1500</f>
        <v>2031</v>
      </c>
      <c r="E312" s="582">
        <f>381+150+1500</f>
        <v>2031</v>
      </c>
      <c r="F312" s="582">
        <f>381+150+1500</f>
        <v>2031</v>
      </c>
      <c r="G312" s="867">
        <f t="shared" si="74"/>
        <v>1</v>
      </c>
    </row>
    <row r="313" spans="1:7" x14ac:dyDescent="0.2">
      <c r="A313" s="207"/>
      <c r="B313" s="223" t="s">
        <v>211</v>
      </c>
      <c r="C313" s="370"/>
      <c r="D313" s="370"/>
      <c r="E313" s="370"/>
      <c r="F313" s="370"/>
      <c r="G313" s="571"/>
    </row>
    <row r="314" spans="1:7" ht="13.5" thickBot="1" x14ac:dyDescent="0.25">
      <c r="A314" s="207"/>
      <c r="B314" s="225" t="s">
        <v>366</v>
      </c>
      <c r="C314" s="370"/>
      <c r="D314" s="370"/>
      <c r="E314" s="370"/>
      <c r="F314" s="370"/>
      <c r="G314" s="593"/>
    </row>
    <row r="315" spans="1:7" ht="13.5" thickBot="1" x14ac:dyDescent="0.25">
      <c r="A315" s="207"/>
      <c r="B315" s="227" t="s">
        <v>48</v>
      </c>
      <c r="C315" s="372">
        <f t="shared" ref="C315:D315" si="80">SUM(C312:C314)</f>
        <v>381</v>
      </c>
      <c r="D315" s="372">
        <f t="shared" si="80"/>
        <v>2031</v>
      </c>
      <c r="E315" s="372">
        <f t="shared" ref="E315:F315" si="81">SUM(E312:E314)</f>
        <v>2031</v>
      </c>
      <c r="F315" s="372">
        <f t="shared" si="81"/>
        <v>2031</v>
      </c>
      <c r="G315" s="1117">
        <f t="shared" si="74"/>
        <v>1</v>
      </c>
    </row>
    <row r="316" spans="1:7" ht="15.75" thickBot="1" x14ac:dyDescent="0.3">
      <c r="A316" s="204"/>
      <c r="B316" s="228" t="s">
        <v>89</v>
      </c>
      <c r="C316" s="372">
        <f t="shared" ref="C316:D316" si="82">SUM(C311+C315)</f>
        <v>127208</v>
      </c>
      <c r="D316" s="372">
        <f t="shared" si="82"/>
        <v>131755</v>
      </c>
      <c r="E316" s="377">
        <f t="shared" ref="E316:F316" si="83">SUM(E311+E315)</f>
        <v>132105</v>
      </c>
      <c r="F316" s="377">
        <f t="shared" si="83"/>
        <v>136730</v>
      </c>
      <c r="G316" s="1117">
        <f t="shared" si="74"/>
        <v>1.0350100299004579</v>
      </c>
    </row>
    <row r="317" spans="1:7" ht="15" x14ac:dyDescent="0.25">
      <c r="A317" s="230">
        <v>2499</v>
      </c>
      <c r="B317" s="173" t="s">
        <v>288</v>
      </c>
      <c r="C317" s="383"/>
      <c r="D317" s="383"/>
      <c r="E317" s="383"/>
      <c r="F317" s="383"/>
      <c r="G317" s="867"/>
    </row>
    <row r="318" spans="1:7" ht="12.75" customHeight="1" x14ac:dyDescent="0.25">
      <c r="A318" s="230"/>
      <c r="B318" s="208" t="s">
        <v>154</v>
      </c>
      <c r="C318" s="373"/>
      <c r="D318" s="373"/>
      <c r="E318" s="373"/>
      <c r="F318" s="373"/>
      <c r="G318" s="571"/>
    </row>
    <row r="319" spans="1:7" ht="12.75" customHeight="1" thickBot="1" x14ac:dyDescent="0.3">
      <c r="A319" s="230"/>
      <c r="B319" s="209" t="s">
        <v>155</v>
      </c>
      <c r="C319" s="384"/>
      <c r="D319" s="384"/>
      <c r="E319" s="384">
        <f>E218+E286</f>
        <v>800</v>
      </c>
      <c r="F319" s="384">
        <f>F218+F286</f>
        <v>800</v>
      </c>
      <c r="G319" s="593">
        <f t="shared" si="74"/>
        <v>1</v>
      </c>
    </row>
    <row r="320" spans="1:7" ht="12.75" customHeight="1" thickBot="1" x14ac:dyDescent="0.3">
      <c r="A320" s="230"/>
      <c r="B320" s="210" t="s">
        <v>167</v>
      </c>
      <c r="C320" s="382"/>
      <c r="D320" s="382"/>
      <c r="E320" s="382">
        <v>800</v>
      </c>
      <c r="F320" s="382">
        <f>SUM(F319)</f>
        <v>800</v>
      </c>
      <c r="G320" s="593">
        <f t="shared" si="74"/>
        <v>1</v>
      </c>
    </row>
    <row r="321" spans="1:7" ht="12.75" customHeight="1" x14ac:dyDescent="0.25">
      <c r="A321" s="230"/>
      <c r="B321" s="208" t="s">
        <v>157</v>
      </c>
      <c r="C321" s="370"/>
      <c r="D321" s="370"/>
      <c r="E321" s="370"/>
      <c r="F321" s="370"/>
      <c r="G321" s="867"/>
    </row>
    <row r="322" spans="1:7" ht="12.75" customHeight="1" x14ac:dyDescent="0.25">
      <c r="A322" s="230"/>
      <c r="B322" s="212" t="s">
        <v>158</v>
      </c>
      <c r="C322" s="376"/>
      <c r="D322" s="376"/>
      <c r="E322" s="376"/>
      <c r="F322" s="376"/>
      <c r="G322" s="571"/>
    </row>
    <row r="323" spans="1:7" ht="12.75" customHeight="1" x14ac:dyDescent="0.25">
      <c r="A323" s="230"/>
      <c r="B323" s="212" t="s">
        <v>159</v>
      </c>
      <c r="C323" s="376"/>
      <c r="D323" s="376"/>
      <c r="E323" s="376"/>
      <c r="F323" s="376"/>
      <c r="G323" s="571"/>
    </row>
    <row r="324" spans="1:7" ht="12.75" customHeight="1" x14ac:dyDescent="0.25">
      <c r="A324" s="230"/>
      <c r="B324" s="213" t="s">
        <v>160</v>
      </c>
      <c r="C324" s="370"/>
      <c r="D324" s="370"/>
      <c r="E324" s="370"/>
      <c r="F324" s="370"/>
      <c r="G324" s="571"/>
    </row>
    <row r="325" spans="1:7" ht="12.75" customHeight="1" x14ac:dyDescent="0.25">
      <c r="A325" s="230"/>
      <c r="B325" s="213" t="s">
        <v>161</v>
      </c>
      <c r="C325" s="370"/>
      <c r="D325" s="370"/>
      <c r="E325" s="370"/>
      <c r="F325" s="370"/>
      <c r="G325" s="571"/>
    </row>
    <row r="326" spans="1:7" ht="13.5" customHeight="1" x14ac:dyDescent="0.25">
      <c r="A326" s="230"/>
      <c r="B326" s="213" t="s">
        <v>162</v>
      </c>
      <c r="C326" s="370"/>
      <c r="D326" s="370"/>
      <c r="E326" s="370"/>
      <c r="F326" s="370"/>
      <c r="G326" s="571"/>
    </row>
    <row r="327" spans="1:7" ht="12.75" customHeight="1" x14ac:dyDescent="0.25">
      <c r="A327" s="230"/>
      <c r="B327" s="213" t="s">
        <v>299</v>
      </c>
      <c r="C327" s="370"/>
      <c r="D327" s="370"/>
      <c r="E327" s="370"/>
      <c r="F327" s="370"/>
      <c r="G327" s="571"/>
    </row>
    <row r="328" spans="1:7" ht="12.75" customHeight="1" x14ac:dyDescent="0.25">
      <c r="A328" s="230"/>
      <c r="B328" s="214" t="s">
        <v>381</v>
      </c>
      <c r="C328" s="370"/>
      <c r="D328" s="370"/>
      <c r="E328" s="370"/>
      <c r="F328" s="370"/>
      <c r="G328" s="571"/>
    </row>
    <row r="329" spans="1:7" ht="12.75" customHeight="1" thickBot="1" x14ac:dyDescent="0.3">
      <c r="A329" s="230"/>
      <c r="B329" s="215" t="s">
        <v>163</v>
      </c>
      <c r="C329" s="370"/>
      <c r="D329" s="370"/>
      <c r="E329" s="370"/>
      <c r="F329" s="370"/>
      <c r="G329" s="593"/>
    </row>
    <row r="330" spans="1:7" ht="12.75" customHeight="1" thickBot="1" x14ac:dyDescent="0.3">
      <c r="A330" s="230"/>
      <c r="B330" s="216" t="s">
        <v>295</v>
      </c>
      <c r="C330" s="372"/>
      <c r="D330" s="372"/>
      <c r="E330" s="372"/>
      <c r="F330" s="372"/>
      <c r="G330" s="593"/>
    </row>
    <row r="331" spans="1:7" ht="12.75" customHeight="1" thickBot="1" x14ac:dyDescent="0.3">
      <c r="A331" s="230"/>
      <c r="B331" s="768" t="s">
        <v>191</v>
      </c>
      <c r="C331" s="372"/>
      <c r="D331" s="372"/>
      <c r="E331" s="377"/>
      <c r="F331" s="377"/>
      <c r="G331" s="593"/>
    </row>
    <row r="332" spans="1:7" ht="12.75" customHeight="1" thickBot="1" x14ac:dyDescent="0.3">
      <c r="A332" s="230"/>
      <c r="B332" s="218" t="s">
        <v>49</v>
      </c>
      <c r="C332" s="590"/>
      <c r="D332" s="590"/>
      <c r="E332" s="583">
        <f>E320+E330+E331</f>
        <v>800</v>
      </c>
      <c r="F332" s="583">
        <f>F320+F330+F331</f>
        <v>800</v>
      </c>
      <c r="G332" s="593">
        <f t="shared" si="74"/>
        <v>1</v>
      </c>
    </row>
    <row r="333" spans="1:7" ht="12.75" customHeight="1" thickBot="1" x14ac:dyDescent="0.3">
      <c r="A333" s="230"/>
      <c r="B333" s="328" t="s">
        <v>389</v>
      </c>
      <c r="C333" s="381"/>
      <c r="D333" s="381"/>
      <c r="E333" s="378"/>
      <c r="F333" s="378"/>
      <c r="G333" s="593"/>
    </row>
    <row r="334" spans="1:7" ht="12.75" customHeight="1" thickBot="1" x14ac:dyDescent="0.3">
      <c r="A334" s="230"/>
      <c r="B334" s="219" t="s">
        <v>50</v>
      </c>
      <c r="C334" s="387"/>
      <c r="D334" s="387"/>
      <c r="E334" s="379"/>
      <c r="F334" s="379"/>
      <c r="G334" s="593"/>
    </row>
    <row r="335" spans="1:7" ht="12.75" customHeight="1" x14ac:dyDescent="0.25">
      <c r="A335" s="230"/>
      <c r="B335" s="325" t="s">
        <v>357</v>
      </c>
      <c r="C335" s="380">
        <f>C26+C61+C95+C130+C164+C198+C232+C266+C300</f>
        <v>0</v>
      </c>
      <c r="D335" s="380">
        <f>D26+D61+D95+D130+D164+D198+D232+D266+D300</f>
        <v>15744</v>
      </c>
      <c r="E335" s="380">
        <f>E26+E61+E95+E130+E164+E198+E232+E266+E300</f>
        <v>15744</v>
      </c>
      <c r="F335" s="380">
        <f>F26+F61+F95+F130+F164+F198+F232+F266+F300</f>
        <v>15744</v>
      </c>
      <c r="G335" s="867">
        <f t="shared" si="74"/>
        <v>1</v>
      </c>
    </row>
    <row r="336" spans="1:7" ht="12.75" customHeight="1" thickBot="1" x14ac:dyDescent="0.3">
      <c r="A336" s="230"/>
      <c r="B336" s="128" t="s">
        <v>385</v>
      </c>
      <c r="C336" s="371">
        <f t="shared" ref="C336:D336" si="84">SUM(C27+C62+C96+C131+C165+C199+C233+C267+C301)</f>
        <v>1898216</v>
      </c>
      <c r="D336" s="371">
        <f t="shared" si="84"/>
        <v>1928375</v>
      </c>
      <c r="E336" s="371">
        <f t="shared" ref="E336:F336" si="85">SUM(E27+E62+E96+E131+E165+E199+E233+E267+E301)</f>
        <v>1929591</v>
      </c>
      <c r="F336" s="371">
        <f t="shared" si="85"/>
        <v>2015421</v>
      </c>
      <c r="G336" s="593">
        <f t="shared" si="74"/>
        <v>1.0444809288600538</v>
      </c>
    </row>
    <row r="337" spans="1:7" ht="12.75" customHeight="1" thickBot="1" x14ac:dyDescent="0.3">
      <c r="A337" s="230"/>
      <c r="B337" s="220" t="s">
        <v>43</v>
      </c>
      <c r="C337" s="379">
        <f>SUM(C335:C336)</f>
        <v>1898216</v>
      </c>
      <c r="D337" s="379">
        <f>SUM(D335:D336)</f>
        <v>1944119</v>
      </c>
      <c r="E337" s="379">
        <f>SUM(E335:E336)</f>
        <v>1945335</v>
      </c>
      <c r="F337" s="379">
        <f>SUM(F335:F336)</f>
        <v>2031165</v>
      </c>
      <c r="G337" s="1117">
        <f t="shared" si="74"/>
        <v>1.0441209354686982</v>
      </c>
    </row>
    <row r="338" spans="1:7" ht="12.75" customHeight="1" thickBot="1" x14ac:dyDescent="0.3">
      <c r="A338" s="230"/>
      <c r="B338" s="190" t="s">
        <v>357</v>
      </c>
      <c r="C338" s="378">
        <f>C29+C64+C98+C133+C167+C201+C235+C269+C303</f>
        <v>0</v>
      </c>
      <c r="D338" s="378">
        <f>D29+D64+D98+D133+D167+D201+D235+D269+D303</f>
        <v>0</v>
      </c>
      <c r="E338" s="378">
        <f>E29+E64+E98+E133+E167+E201+E235+E269+E303</f>
        <v>0</v>
      </c>
      <c r="F338" s="378">
        <f>F29+F64+F98+F133+F167+F201+F235+F269+F303</f>
        <v>0</v>
      </c>
      <c r="G338" s="593"/>
    </row>
    <row r="339" spans="1:7" ht="12.75" customHeight="1" thickBot="1" x14ac:dyDescent="0.3">
      <c r="A339" s="230"/>
      <c r="B339" s="220" t="s">
        <v>45</v>
      </c>
      <c r="C339" s="379">
        <f>SUM(C338)</f>
        <v>0</v>
      </c>
      <c r="D339" s="379">
        <f>SUM(D338)</f>
        <v>0</v>
      </c>
      <c r="E339" s="379">
        <f>SUM(E338)</f>
        <v>0</v>
      </c>
      <c r="F339" s="379">
        <f>SUM(F338)</f>
        <v>0</v>
      </c>
      <c r="G339" s="593"/>
    </row>
    <row r="340" spans="1:7" ht="12.75" customHeight="1" thickBot="1" x14ac:dyDescent="0.3">
      <c r="A340" s="230"/>
      <c r="B340" s="232" t="s">
        <v>54</v>
      </c>
      <c r="C340" s="387">
        <f t="shared" ref="C340:D340" si="86">SUM(C332+C334+C337+C339)</f>
        <v>1898216</v>
      </c>
      <c r="D340" s="387">
        <f t="shared" si="86"/>
        <v>1944119</v>
      </c>
      <c r="E340" s="379">
        <f>SUM(E332+E334+E337+E339)</f>
        <v>1946135</v>
      </c>
      <c r="F340" s="379">
        <f>SUM(F332+F334+F337+F339)</f>
        <v>2031965</v>
      </c>
      <c r="G340" s="1117">
        <f t="shared" si="74"/>
        <v>1.0441027986239393</v>
      </c>
    </row>
    <row r="341" spans="1:7" ht="15" x14ac:dyDescent="0.25">
      <c r="A341" s="230"/>
      <c r="B341" s="223" t="s">
        <v>276</v>
      </c>
      <c r="C341" s="370">
        <f>SUM(C32+C67+C101+C136+C170+C204+C238+C272+C306)</f>
        <v>1621201</v>
      </c>
      <c r="D341" s="370">
        <f>SUM(D32+D67+D101+D136+D170+D204+D238+D272+D306)</f>
        <v>1630611</v>
      </c>
      <c r="E341" s="370">
        <f>SUM(E32+E67+E101+E136+E170+E204+E238+E272+E306)</f>
        <v>1631687</v>
      </c>
      <c r="F341" s="370">
        <f>SUM(F32+F67+F101+F136+F170+F204+F238+F272+F306)</f>
        <v>1710886</v>
      </c>
      <c r="G341" s="867">
        <f t="shared" si="74"/>
        <v>1.0485381081052922</v>
      </c>
    </row>
    <row r="342" spans="1:7" x14ac:dyDescent="0.2">
      <c r="A342" s="207"/>
      <c r="B342" s="223" t="s">
        <v>277</v>
      </c>
      <c r="C342" s="370">
        <f t="shared" ref="C342:D342" si="87">SUM(C33+C68+C102+C137+C171+C205+C239+C273+C307)</f>
        <v>237110</v>
      </c>
      <c r="D342" s="370">
        <f t="shared" si="87"/>
        <v>238923</v>
      </c>
      <c r="E342" s="370">
        <f t="shared" ref="E342:F342" si="88">SUM(E33+E68+E102+E137+E171+E205+E239+E273+E307)</f>
        <v>239063</v>
      </c>
      <c r="F342" s="370">
        <f t="shared" si="88"/>
        <v>245694</v>
      </c>
      <c r="G342" s="571">
        <f t="shared" si="74"/>
        <v>1.0277374583268846</v>
      </c>
    </row>
    <row r="343" spans="1:7" x14ac:dyDescent="0.2">
      <c r="A343" s="207"/>
      <c r="B343" s="223" t="s">
        <v>278</v>
      </c>
      <c r="C343" s="370">
        <f>SUM(C34+C69+C103+C138+C172+C206+C240+C274+C308)</f>
        <v>33488</v>
      </c>
      <c r="D343" s="370">
        <f>SUM(D34+D69+D103+D138+D172+D206+D240+D274+D308)</f>
        <v>55117</v>
      </c>
      <c r="E343" s="370">
        <f>SUM(E34+E69+E103+E138+E172+E206+E240+E274+E308)</f>
        <v>55916</v>
      </c>
      <c r="F343" s="370">
        <f>SUM(F34+F69+F103+F138+F172+F206+F240+F274+F308)</f>
        <v>55916</v>
      </c>
      <c r="G343" s="571">
        <f t="shared" si="74"/>
        <v>1</v>
      </c>
    </row>
    <row r="344" spans="1:7" x14ac:dyDescent="0.2">
      <c r="A344" s="207"/>
      <c r="B344" s="224" t="s">
        <v>280</v>
      </c>
      <c r="C344" s="370"/>
      <c r="D344" s="370"/>
      <c r="E344" s="370"/>
      <c r="F344" s="370"/>
      <c r="G344" s="571"/>
    </row>
    <row r="345" spans="1:7" ht="13.5" thickBot="1" x14ac:dyDescent="0.25">
      <c r="A345" s="207"/>
      <c r="B345" s="225" t="s">
        <v>279</v>
      </c>
      <c r="C345" s="370"/>
      <c r="D345" s="370"/>
      <c r="E345" s="370">
        <f>E208</f>
        <v>1</v>
      </c>
      <c r="F345" s="370">
        <f>F208</f>
        <v>1</v>
      </c>
      <c r="G345" s="593">
        <f t="shared" si="74"/>
        <v>1</v>
      </c>
    </row>
    <row r="346" spans="1:7" ht="13.5" thickBot="1" x14ac:dyDescent="0.25">
      <c r="A346" s="207"/>
      <c r="B346" s="226" t="s">
        <v>42</v>
      </c>
      <c r="C346" s="372">
        <f t="shared" ref="C346:D346" si="89">SUM(C341:C345)</f>
        <v>1891799</v>
      </c>
      <c r="D346" s="372">
        <f t="shared" si="89"/>
        <v>1924651</v>
      </c>
      <c r="E346" s="372">
        <f t="shared" ref="E346:F346" si="90">SUM(E341:E345)</f>
        <v>1926667</v>
      </c>
      <c r="F346" s="372">
        <f t="shared" si="90"/>
        <v>2012497</v>
      </c>
      <c r="G346" s="1117">
        <f t="shared" si="74"/>
        <v>1.0445484351992327</v>
      </c>
    </row>
    <row r="347" spans="1:7" x14ac:dyDescent="0.2">
      <c r="A347" s="207"/>
      <c r="B347" s="223" t="s">
        <v>210</v>
      </c>
      <c r="C347" s="370">
        <f>SUM(C312+C278+C244+C210+C176+C142+C107+C73+C38)</f>
        <v>6417</v>
      </c>
      <c r="D347" s="370">
        <f>SUM(D312+D278+D244+D210+D176+D142+D107+D73+D38)</f>
        <v>19468</v>
      </c>
      <c r="E347" s="370">
        <f>SUM(E312+E278+E244+E210+E176+E142+E107+E73+E38)</f>
        <v>19468</v>
      </c>
      <c r="F347" s="370">
        <f>SUM(F312+F278+F244+F210+F176+F142+F107+F73+F38)</f>
        <v>19468</v>
      </c>
      <c r="G347" s="867">
        <f t="shared" ref="G347:G410" si="91">F347/E347</f>
        <v>1</v>
      </c>
    </row>
    <row r="348" spans="1:7" x14ac:dyDescent="0.2">
      <c r="A348" s="207"/>
      <c r="B348" s="223" t="s">
        <v>211</v>
      </c>
      <c r="C348" s="370"/>
      <c r="D348" s="370"/>
      <c r="E348" s="370"/>
      <c r="F348" s="370"/>
      <c r="G348" s="571"/>
    </row>
    <row r="349" spans="1:7" ht="13.5" thickBot="1" x14ac:dyDescent="0.25">
      <c r="A349" s="207"/>
      <c r="B349" s="225" t="s">
        <v>366</v>
      </c>
      <c r="C349" s="371"/>
      <c r="D349" s="371"/>
      <c r="E349" s="371"/>
      <c r="F349" s="371"/>
      <c r="G349" s="593"/>
    </row>
    <row r="350" spans="1:7" ht="13.5" thickBot="1" x14ac:dyDescent="0.25">
      <c r="A350" s="207"/>
      <c r="B350" s="227" t="s">
        <v>48</v>
      </c>
      <c r="C350" s="372">
        <f t="shared" ref="C350:D350" si="92">SUM(C347:C349)</f>
        <v>6417</v>
      </c>
      <c r="D350" s="372">
        <f t="shared" si="92"/>
        <v>19468</v>
      </c>
      <c r="E350" s="377">
        <f t="shared" ref="E350:F350" si="93">SUM(E347:E349)</f>
        <v>19468</v>
      </c>
      <c r="F350" s="377">
        <f t="shared" si="93"/>
        <v>19468</v>
      </c>
      <c r="G350" s="1117">
        <f t="shared" si="91"/>
        <v>1</v>
      </c>
    </row>
    <row r="351" spans="1:7" ht="15.75" thickBot="1" x14ac:dyDescent="0.3">
      <c r="A351" s="204"/>
      <c r="B351" s="228" t="s">
        <v>89</v>
      </c>
      <c r="C351" s="372">
        <f t="shared" ref="C351:D351" si="94">SUM(C346+C350)</f>
        <v>1898216</v>
      </c>
      <c r="D351" s="372">
        <f t="shared" si="94"/>
        <v>1944119</v>
      </c>
      <c r="E351" s="377">
        <f t="shared" ref="E351:F351" si="95">SUM(E346+E350)</f>
        <v>1946135</v>
      </c>
      <c r="F351" s="377">
        <f t="shared" si="95"/>
        <v>2031965</v>
      </c>
      <c r="G351" s="1117">
        <f t="shared" si="91"/>
        <v>1.0441027986239393</v>
      </c>
    </row>
    <row r="352" spans="1:7" ht="15" x14ac:dyDescent="0.25">
      <c r="A352" s="172">
        <v>2795</v>
      </c>
      <c r="B352" s="833" t="s">
        <v>15</v>
      </c>
      <c r="C352" s="385"/>
      <c r="D352" s="385"/>
      <c r="E352" s="385"/>
      <c r="F352" s="385"/>
      <c r="G352" s="867"/>
    </row>
    <row r="353" spans="1:7" ht="12.6" customHeight="1" x14ac:dyDescent="0.2">
      <c r="A353" s="207"/>
      <c r="B353" s="208" t="s">
        <v>154</v>
      </c>
      <c r="C353" s="373"/>
      <c r="D353" s="373"/>
      <c r="E353" s="373"/>
      <c r="F353" s="373"/>
      <c r="G353" s="571"/>
    </row>
    <row r="354" spans="1:7" ht="13.5" thickBot="1" x14ac:dyDescent="0.25">
      <c r="A354" s="207"/>
      <c r="B354" s="209" t="s">
        <v>155</v>
      </c>
      <c r="C354" s="371"/>
      <c r="D354" s="371"/>
      <c r="E354" s="371"/>
      <c r="F354" s="371"/>
      <c r="G354" s="593"/>
    </row>
    <row r="355" spans="1:7" ht="13.5" thickBot="1" x14ac:dyDescent="0.25">
      <c r="A355" s="207"/>
      <c r="B355" s="210" t="s">
        <v>167</v>
      </c>
      <c r="C355" s="386"/>
      <c r="D355" s="386"/>
      <c r="E355" s="386"/>
      <c r="F355" s="386"/>
      <c r="G355" s="593"/>
    </row>
    <row r="356" spans="1:7" x14ac:dyDescent="0.2">
      <c r="A356" s="207"/>
      <c r="B356" s="208" t="s">
        <v>157</v>
      </c>
      <c r="C356" s="370">
        <f t="shared" ref="C356:D356" si="96">SUM(C357:C358)</f>
        <v>54300</v>
      </c>
      <c r="D356" s="370">
        <f t="shared" si="96"/>
        <v>74869</v>
      </c>
      <c r="E356" s="370">
        <f t="shared" ref="E356:F356" si="97">SUM(E357:E358)</f>
        <v>91095</v>
      </c>
      <c r="F356" s="370">
        <f t="shared" si="97"/>
        <v>104264</v>
      </c>
      <c r="G356" s="867">
        <f t="shared" si="91"/>
        <v>1.1445633679126186</v>
      </c>
    </row>
    <row r="357" spans="1:7" x14ac:dyDescent="0.2">
      <c r="A357" s="207"/>
      <c r="B357" s="212" t="s">
        <v>158</v>
      </c>
      <c r="C357" s="376"/>
      <c r="D357" s="376"/>
      <c r="E357" s="376">
        <v>16226</v>
      </c>
      <c r="F357" s="376">
        <f>16226+13169</f>
        <v>29395</v>
      </c>
      <c r="G357" s="571">
        <f t="shared" si="91"/>
        <v>1.8115986688031553</v>
      </c>
    </row>
    <row r="358" spans="1:7" x14ac:dyDescent="0.2">
      <c r="A358" s="207"/>
      <c r="B358" s="212" t="s">
        <v>159</v>
      </c>
      <c r="C358" s="376">
        <v>54300</v>
      </c>
      <c r="D358" s="376">
        <f>54300+20569</f>
        <v>74869</v>
      </c>
      <c r="E358" s="376">
        <f>54300+20569</f>
        <v>74869</v>
      </c>
      <c r="F358" s="376">
        <f>54300+20569</f>
        <v>74869</v>
      </c>
      <c r="G358" s="571">
        <f t="shared" si="91"/>
        <v>1</v>
      </c>
    </row>
    <row r="359" spans="1:7" x14ac:dyDescent="0.2">
      <c r="A359" s="207"/>
      <c r="B359" s="213" t="s">
        <v>160</v>
      </c>
      <c r="C359" s="370">
        <v>3836</v>
      </c>
      <c r="D359" s="370">
        <v>3836</v>
      </c>
      <c r="E359" s="370">
        <v>3836</v>
      </c>
      <c r="F359" s="370">
        <f>3836+4465</f>
        <v>8301</v>
      </c>
      <c r="G359" s="571">
        <f t="shared" si="91"/>
        <v>2.1639728884254432</v>
      </c>
    </row>
    <row r="360" spans="1:7" x14ac:dyDescent="0.2">
      <c r="A360" s="207"/>
      <c r="B360" s="213" t="s">
        <v>161</v>
      </c>
      <c r="C360" s="370">
        <f>149081-17469</f>
        <v>131612</v>
      </c>
      <c r="D360" s="370">
        <f>149081-17469</f>
        <v>131612</v>
      </c>
      <c r="E360" s="370">
        <f>149081-17469</f>
        <v>131612</v>
      </c>
      <c r="F360" s="370">
        <f>149081-17469</f>
        <v>131612</v>
      </c>
      <c r="G360" s="571">
        <f t="shared" si="91"/>
        <v>1</v>
      </c>
    </row>
    <row r="361" spans="1:7" x14ac:dyDescent="0.2">
      <c r="A361" s="207"/>
      <c r="B361" s="213" t="s">
        <v>162</v>
      </c>
      <c r="C361" s="370">
        <f>55948-4716</f>
        <v>51232</v>
      </c>
      <c r="D361" s="370">
        <f>51232+5554</f>
        <v>56786</v>
      </c>
      <c r="E361" s="370">
        <f>56786+4381</f>
        <v>61167</v>
      </c>
      <c r="F361" s="370">
        <f>61167+3758</f>
        <v>64925</v>
      </c>
      <c r="G361" s="571">
        <f t="shared" si="91"/>
        <v>1.0614383572841566</v>
      </c>
    </row>
    <row r="362" spans="1:7" x14ac:dyDescent="0.2">
      <c r="A362" s="207"/>
      <c r="B362" s="214" t="s">
        <v>381</v>
      </c>
      <c r="C362" s="370"/>
      <c r="D362" s="370"/>
      <c r="E362" s="370"/>
      <c r="F362" s="370"/>
      <c r="G362" s="571"/>
    </row>
    <row r="363" spans="1:7" ht="13.5" thickBot="1" x14ac:dyDescent="0.25">
      <c r="A363" s="207"/>
      <c r="B363" s="215" t="s">
        <v>163</v>
      </c>
      <c r="C363" s="370">
        <v>16000</v>
      </c>
      <c r="D363" s="370">
        <v>16000</v>
      </c>
      <c r="E363" s="370">
        <f>16000+2510</f>
        <v>18510</v>
      </c>
      <c r="F363" s="370">
        <f>18510+17257</f>
        <v>35767</v>
      </c>
      <c r="G363" s="593">
        <f t="shared" si="91"/>
        <v>1.9323068611561318</v>
      </c>
    </row>
    <row r="364" spans="1:7" ht="13.5" thickBot="1" x14ac:dyDescent="0.25">
      <c r="A364" s="207"/>
      <c r="B364" s="216" t="s">
        <v>295</v>
      </c>
      <c r="C364" s="372">
        <f t="shared" ref="C364:D364" si="98">SUM(C356+C359+C360+C361+C363+C362)</f>
        <v>256980</v>
      </c>
      <c r="D364" s="372">
        <f t="shared" si="98"/>
        <v>283103</v>
      </c>
      <c r="E364" s="372">
        <f t="shared" ref="E364:F364" si="99">SUM(E356+E359+E360+E361+E363+E362)</f>
        <v>306220</v>
      </c>
      <c r="F364" s="372">
        <f t="shared" si="99"/>
        <v>344869</v>
      </c>
      <c r="G364" s="1117">
        <f t="shared" si="91"/>
        <v>1.1262131800666189</v>
      </c>
    </row>
    <row r="365" spans="1:7" ht="13.5" thickBot="1" x14ac:dyDescent="0.25">
      <c r="A365" s="207"/>
      <c r="B365" s="768" t="s">
        <v>191</v>
      </c>
      <c r="C365" s="377"/>
      <c r="D365" s="377"/>
      <c r="E365" s="377"/>
      <c r="F365" s="377"/>
      <c r="G365" s="593"/>
    </row>
    <row r="366" spans="1:7" ht="13.5" thickBot="1" x14ac:dyDescent="0.25">
      <c r="A366" s="207"/>
      <c r="B366" s="218" t="s">
        <v>49</v>
      </c>
      <c r="C366" s="591">
        <f t="shared" ref="C366:D366" si="100">SUM(C364+C355)</f>
        <v>256980</v>
      </c>
      <c r="D366" s="591">
        <f t="shared" si="100"/>
        <v>283103</v>
      </c>
      <c r="E366" s="591">
        <f t="shared" ref="E366:F366" si="101">SUM(E364+E355)</f>
        <v>306220</v>
      </c>
      <c r="F366" s="591">
        <f t="shared" si="101"/>
        <v>344869</v>
      </c>
      <c r="G366" s="1117">
        <f t="shared" si="91"/>
        <v>1.1262131800666189</v>
      </c>
    </row>
    <row r="367" spans="1:7" ht="13.5" thickBot="1" x14ac:dyDescent="0.25">
      <c r="A367" s="207"/>
      <c r="B367" s="328" t="s">
        <v>340</v>
      </c>
      <c r="C367" s="378"/>
      <c r="D367" s="378"/>
      <c r="E367" s="378"/>
      <c r="F367" s="378">
        <v>750</v>
      </c>
      <c r="G367" s="593"/>
    </row>
    <row r="368" spans="1:7" ht="13.5" thickBot="1" x14ac:dyDescent="0.25">
      <c r="A368" s="207"/>
      <c r="B368" s="219" t="s">
        <v>50</v>
      </c>
      <c r="C368" s="379"/>
      <c r="D368" s="379"/>
      <c r="E368" s="379"/>
      <c r="F368" s="379">
        <f>F367</f>
        <v>750</v>
      </c>
      <c r="G368" s="593"/>
    </row>
    <row r="369" spans="1:7" x14ac:dyDescent="0.2">
      <c r="A369" s="207"/>
      <c r="B369" s="325" t="s">
        <v>357</v>
      </c>
      <c r="C369" s="380">
        <v>0</v>
      </c>
      <c r="D369" s="380">
        <v>1033</v>
      </c>
      <c r="E369" s="380">
        <v>1033</v>
      </c>
      <c r="F369" s="380">
        <v>1033</v>
      </c>
      <c r="G369" s="867">
        <f t="shared" si="91"/>
        <v>1</v>
      </c>
    </row>
    <row r="370" spans="1:7" x14ac:dyDescent="0.2">
      <c r="A370" s="207"/>
      <c r="B370" s="110" t="s">
        <v>371</v>
      </c>
      <c r="C370" s="380">
        <v>0</v>
      </c>
      <c r="D370" s="380">
        <v>0</v>
      </c>
      <c r="E370" s="380">
        <v>0</v>
      </c>
      <c r="F370" s="380">
        <v>0</v>
      </c>
      <c r="G370" s="571"/>
    </row>
    <row r="371" spans="1:7" x14ac:dyDescent="0.2">
      <c r="A371" s="207"/>
      <c r="B371" s="628" t="s">
        <v>385</v>
      </c>
      <c r="C371" s="370">
        <v>2276579</v>
      </c>
      <c r="D371" s="370">
        <f>2276579+444301-26123+3884+134051</f>
        <v>2832692</v>
      </c>
      <c r="E371" s="370">
        <f>2832692+14696+2572-10341</f>
        <v>2839619</v>
      </c>
      <c r="F371" s="370">
        <f>2839619+1843-28711-22629-10500</f>
        <v>2779622</v>
      </c>
      <c r="G371" s="571">
        <f t="shared" si="91"/>
        <v>0.9788714612770234</v>
      </c>
    </row>
    <row r="372" spans="1:7" ht="13.5" thickBot="1" x14ac:dyDescent="0.25">
      <c r="A372" s="207"/>
      <c r="B372" s="629" t="s">
        <v>388</v>
      </c>
      <c r="C372" s="825">
        <v>661487</v>
      </c>
      <c r="D372" s="825">
        <v>661487</v>
      </c>
      <c r="E372" s="825">
        <v>661487</v>
      </c>
      <c r="F372" s="825">
        <f>661487+10953</f>
        <v>672440</v>
      </c>
      <c r="G372" s="593">
        <f t="shared" si="91"/>
        <v>1.016558148535043</v>
      </c>
    </row>
    <row r="373" spans="1:7" ht="13.5" thickBot="1" x14ac:dyDescent="0.25">
      <c r="A373" s="207"/>
      <c r="B373" s="220" t="s">
        <v>43</v>
      </c>
      <c r="C373" s="379">
        <f>SUM(C369:C372)</f>
        <v>2938066</v>
      </c>
      <c r="D373" s="379">
        <f>SUM(D369:D372)</f>
        <v>3495212</v>
      </c>
      <c r="E373" s="379">
        <f>SUM(E369:E372)</f>
        <v>3502139</v>
      </c>
      <c r="F373" s="379">
        <f>SUM(F369:F372)</f>
        <v>3453095</v>
      </c>
      <c r="G373" s="1117">
        <f t="shared" si="91"/>
        <v>0.98599598702393021</v>
      </c>
    </row>
    <row r="374" spans="1:7" ht="13.5" thickBot="1" x14ac:dyDescent="0.25">
      <c r="A374" s="207"/>
      <c r="B374" s="190" t="s">
        <v>357</v>
      </c>
      <c r="C374" s="378"/>
      <c r="D374" s="378"/>
      <c r="E374" s="378"/>
      <c r="F374" s="378"/>
      <c r="G374" s="593"/>
    </row>
    <row r="375" spans="1:7" ht="13.5" thickBot="1" x14ac:dyDescent="0.25">
      <c r="A375" s="207"/>
      <c r="B375" s="220" t="s">
        <v>45</v>
      </c>
      <c r="C375" s="379"/>
      <c r="D375" s="379"/>
      <c r="E375" s="379"/>
      <c r="F375" s="379"/>
      <c r="G375" s="593"/>
    </row>
    <row r="376" spans="1:7" ht="15.75" thickBot="1" x14ac:dyDescent="0.3">
      <c r="A376" s="207"/>
      <c r="B376" s="222" t="s">
        <v>54</v>
      </c>
      <c r="C376" s="372">
        <f>SUM(C366+C368+C373)+C375</f>
        <v>3195046</v>
      </c>
      <c r="D376" s="372">
        <f>SUM(D366+D368+D373)+D375</f>
        <v>3778315</v>
      </c>
      <c r="E376" s="377">
        <f>SUM(E366+E368+E373)+E375</f>
        <v>3808359</v>
      </c>
      <c r="F376" s="377">
        <f>SUM(F366+F368+F373)+F375</f>
        <v>3798714</v>
      </c>
      <c r="G376" s="1117">
        <f t="shared" si="91"/>
        <v>0.99746741312990717</v>
      </c>
    </row>
    <row r="377" spans="1:7" x14ac:dyDescent="0.2">
      <c r="A377" s="207"/>
      <c r="B377" s="223" t="s">
        <v>276</v>
      </c>
      <c r="C377" s="370">
        <v>980094</v>
      </c>
      <c r="D377" s="370">
        <f>980094+1033+1594+3437</f>
        <v>986158</v>
      </c>
      <c r="E377" s="370">
        <f>986158+10269+2258+517</f>
        <v>999202</v>
      </c>
      <c r="F377" s="370">
        <f>999202+1631+609+16000</f>
        <v>1017442</v>
      </c>
      <c r="G377" s="867">
        <f t="shared" si="91"/>
        <v>1.0182545671445813</v>
      </c>
    </row>
    <row r="378" spans="1:7" x14ac:dyDescent="0.2">
      <c r="A378" s="207"/>
      <c r="B378" s="223" t="s">
        <v>277</v>
      </c>
      <c r="C378" s="370">
        <v>151708</v>
      </c>
      <c r="D378" s="370">
        <f>151708+1049+447</f>
        <v>153204</v>
      </c>
      <c r="E378" s="370">
        <f>153204+1683+294+217</f>
        <v>155398</v>
      </c>
      <c r="F378" s="370">
        <f>155398+212+79-16000</f>
        <v>139689</v>
      </c>
      <c r="G378" s="571">
        <f t="shared" si="91"/>
        <v>0.89891118289810679</v>
      </c>
    </row>
    <row r="379" spans="1:7" x14ac:dyDescent="0.2">
      <c r="A379" s="207"/>
      <c r="B379" s="223" t="s">
        <v>278</v>
      </c>
      <c r="C379" s="370">
        <f>1833449-53903</f>
        <v>1779546</v>
      </c>
      <c r="D379" s="370">
        <f>1779546+373639</f>
        <v>2153185</v>
      </c>
      <c r="E379" s="370">
        <f>2153185+2744+12061+1838</f>
        <v>2169828</v>
      </c>
      <c r="F379" s="370">
        <f>2169828+10000-22629-10500+10953+40267</f>
        <v>2197919</v>
      </c>
      <c r="G379" s="571">
        <f t="shared" si="91"/>
        <v>1.0129461874397419</v>
      </c>
    </row>
    <row r="380" spans="1:7" x14ac:dyDescent="0.2">
      <c r="A380" s="207"/>
      <c r="B380" s="224" t="s">
        <v>280</v>
      </c>
      <c r="C380" s="370"/>
      <c r="D380" s="370"/>
      <c r="E380" s="370"/>
      <c r="F380" s="370"/>
      <c r="G380" s="571"/>
    </row>
    <row r="381" spans="1:7" ht="13.5" thickBot="1" x14ac:dyDescent="0.25">
      <c r="A381" s="207"/>
      <c r="B381" s="225" t="s">
        <v>279</v>
      </c>
      <c r="C381" s="370"/>
      <c r="D381" s="370"/>
      <c r="E381" s="370"/>
      <c r="F381" s="370"/>
      <c r="G381" s="593"/>
    </row>
    <row r="382" spans="1:7" ht="13.5" thickBot="1" x14ac:dyDescent="0.25">
      <c r="A382" s="207"/>
      <c r="B382" s="226" t="s">
        <v>42</v>
      </c>
      <c r="C382" s="372">
        <f t="shared" ref="C382:D382" si="102">SUM(C377:C381)</f>
        <v>2911348</v>
      </c>
      <c r="D382" s="372">
        <f t="shared" si="102"/>
        <v>3292547</v>
      </c>
      <c r="E382" s="372">
        <f t="shared" ref="E382:F382" si="103">SUM(E377:E381)</f>
        <v>3324428</v>
      </c>
      <c r="F382" s="372">
        <f t="shared" si="103"/>
        <v>3355050</v>
      </c>
      <c r="G382" s="603">
        <f t="shared" si="91"/>
        <v>1.0092112086650695</v>
      </c>
    </row>
    <row r="383" spans="1:7" x14ac:dyDescent="0.2">
      <c r="A383" s="207"/>
      <c r="B383" s="1060" t="s">
        <v>210</v>
      </c>
      <c r="C383" s="788">
        <f>SUM(C384:C409)</f>
        <v>210131</v>
      </c>
      <c r="D383" s="788">
        <f>SUM(D384:D415)</f>
        <v>345120</v>
      </c>
      <c r="E383" s="788">
        <f>SUM(E384:E415)</f>
        <v>278130</v>
      </c>
      <c r="F383" s="788">
        <f>SUM(F384:F415)</f>
        <v>261634</v>
      </c>
      <c r="G383" s="1059">
        <f t="shared" si="91"/>
        <v>0.94068960558012438</v>
      </c>
    </row>
    <row r="384" spans="1:7" x14ac:dyDescent="0.2">
      <c r="A384" s="207"/>
      <c r="B384" s="294" t="s">
        <v>1329</v>
      </c>
      <c r="C384" s="789">
        <v>7600</v>
      </c>
      <c r="D384" s="789">
        <v>7600</v>
      </c>
      <c r="E384" s="789">
        <v>7600</v>
      </c>
      <c r="F384" s="789">
        <v>7600</v>
      </c>
      <c r="G384" s="571">
        <f t="shared" si="91"/>
        <v>1</v>
      </c>
    </row>
    <row r="385" spans="1:7" x14ac:dyDescent="0.2">
      <c r="A385" s="207"/>
      <c r="B385" s="294" t="s">
        <v>1315</v>
      </c>
      <c r="C385" s="789"/>
      <c r="D385" s="789"/>
      <c r="E385" s="789">
        <v>1675</v>
      </c>
      <c r="F385" s="789">
        <v>1675</v>
      </c>
      <c r="G385" s="571">
        <f t="shared" si="91"/>
        <v>1</v>
      </c>
    </row>
    <row r="386" spans="1:7" x14ac:dyDescent="0.2">
      <c r="A386" s="207"/>
      <c r="B386" s="1056" t="s">
        <v>1289</v>
      </c>
      <c r="C386" s="789">
        <v>629</v>
      </c>
      <c r="D386" s="789">
        <v>629</v>
      </c>
      <c r="E386" s="789">
        <v>629</v>
      </c>
      <c r="F386" s="789">
        <v>629</v>
      </c>
      <c r="G386" s="571">
        <f t="shared" si="91"/>
        <v>1</v>
      </c>
    </row>
    <row r="387" spans="1:7" x14ac:dyDescent="0.2">
      <c r="A387" s="207"/>
      <c r="B387" s="1056" t="s">
        <v>1290</v>
      </c>
      <c r="C387" s="789">
        <v>630</v>
      </c>
      <c r="D387" s="789">
        <v>630</v>
      </c>
      <c r="E387" s="789">
        <v>630</v>
      </c>
      <c r="F387" s="789">
        <v>630</v>
      </c>
      <c r="G387" s="571">
        <f t="shared" si="91"/>
        <v>1</v>
      </c>
    </row>
    <row r="388" spans="1:7" x14ac:dyDescent="0.2">
      <c r="A388" s="207"/>
      <c r="B388" s="1056" t="s">
        <v>1291</v>
      </c>
      <c r="C388" s="789">
        <v>699</v>
      </c>
      <c r="D388" s="789">
        <v>699</v>
      </c>
      <c r="E388" s="789">
        <v>699</v>
      </c>
      <c r="F388" s="789">
        <v>999</v>
      </c>
      <c r="G388" s="571">
        <f t="shared" si="91"/>
        <v>1.4291845493562232</v>
      </c>
    </row>
    <row r="389" spans="1:7" x14ac:dyDescent="0.2">
      <c r="A389" s="207"/>
      <c r="B389" s="1056" t="s">
        <v>1292</v>
      </c>
      <c r="C389" s="789">
        <v>48694</v>
      </c>
      <c r="D389" s="789">
        <v>48694</v>
      </c>
      <c r="E389" s="789">
        <f>48694-421</f>
        <v>48273</v>
      </c>
      <c r="F389" s="789">
        <f>48273-13818</f>
        <v>34455</v>
      </c>
      <c r="G389" s="571">
        <f t="shared" si="91"/>
        <v>0.71375302964390031</v>
      </c>
    </row>
    <row r="390" spans="1:7" x14ac:dyDescent="0.2">
      <c r="A390" s="207"/>
      <c r="B390" s="1056" t="s">
        <v>1293</v>
      </c>
      <c r="C390" s="789">
        <v>543</v>
      </c>
      <c r="D390" s="789">
        <v>543</v>
      </c>
      <c r="E390" s="789">
        <v>543</v>
      </c>
      <c r="F390" s="789">
        <v>543</v>
      </c>
      <c r="G390" s="571">
        <f t="shared" si="91"/>
        <v>1</v>
      </c>
    </row>
    <row r="391" spans="1:7" x14ac:dyDescent="0.2">
      <c r="A391" s="207"/>
      <c r="B391" s="1056" t="s">
        <v>1294</v>
      </c>
      <c r="C391" s="789">
        <v>10019</v>
      </c>
      <c r="D391" s="789">
        <v>10019</v>
      </c>
      <c r="E391" s="789">
        <v>10019</v>
      </c>
      <c r="F391" s="789">
        <v>10019</v>
      </c>
      <c r="G391" s="571">
        <f t="shared" si="91"/>
        <v>1</v>
      </c>
    </row>
    <row r="392" spans="1:7" x14ac:dyDescent="0.2">
      <c r="A392" s="207"/>
      <c r="B392" s="1056" t="s">
        <v>1295</v>
      </c>
      <c r="C392" s="789">
        <v>9779</v>
      </c>
      <c r="D392" s="789">
        <v>9779</v>
      </c>
      <c r="E392" s="789">
        <v>9779</v>
      </c>
      <c r="F392" s="789">
        <f>9779-4000</f>
        <v>5779</v>
      </c>
      <c r="G392" s="571">
        <f t="shared" si="91"/>
        <v>0.5909602208814807</v>
      </c>
    </row>
    <row r="393" spans="1:7" x14ac:dyDescent="0.2">
      <c r="A393" s="207"/>
      <c r="B393" s="1056" t="s">
        <v>1296</v>
      </c>
      <c r="C393" s="789">
        <v>5173</v>
      </c>
      <c r="D393" s="789">
        <v>5173</v>
      </c>
      <c r="E393" s="789">
        <v>5173</v>
      </c>
      <c r="F393" s="789">
        <v>5173</v>
      </c>
      <c r="G393" s="571">
        <f t="shared" si="91"/>
        <v>1</v>
      </c>
    </row>
    <row r="394" spans="1:7" x14ac:dyDescent="0.2">
      <c r="A394" s="207"/>
      <c r="B394" s="1056" t="s">
        <v>1297</v>
      </c>
      <c r="C394" s="789">
        <v>699</v>
      </c>
      <c r="D394" s="789">
        <v>699</v>
      </c>
      <c r="E394" s="789">
        <f>699+600</f>
        <v>1299</v>
      </c>
      <c r="F394" s="789">
        <f>699+600</f>
        <v>1299</v>
      </c>
      <c r="G394" s="571">
        <f t="shared" si="91"/>
        <v>1</v>
      </c>
    </row>
    <row r="395" spans="1:7" x14ac:dyDescent="0.2">
      <c r="A395" s="207"/>
      <c r="B395" s="1056" t="s">
        <v>1298</v>
      </c>
      <c r="C395" s="789">
        <v>12700</v>
      </c>
      <c r="D395" s="789">
        <v>12700</v>
      </c>
      <c r="E395" s="789">
        <f>12700</f>
        <v>12700</v>
      </c>
      <c r="F395" s="789">
        <f>12700</f>
        <v>12700</v>
      </c>
      <c r="G395" s="571">
        <f t="shared" si="91"/>
        <v>1</v>
      </c>
    </row>
    <row r="396" spans="1:7" x14ac:dyDescent="0.2">
      <c r="A396" s="207"/>
      <c r="B396" s="1056" t="s">
        <v>1348</v>
      </c>
      <c r="C396" s="789"/>
      <c r="D396" s="789"/>
      <c r="E396" s="789">
        <v>20000</v>
      </c>
      <c r="F396" s="789">
        <v>0</v>
      </c>
      <c r="G396" s="571">
        <f t="shared" si="91"/>
        <v>0</v>
      </c>
    </row>
    <row r="397" spans="1:7" x14ac:dyDescent="0.2">
      <c r="A397" s="207"/>
      <c r="B397" s="1056" t="s">
        <v>1299</v>
      </c>
      <c r="C397" s="790">
        <v>60228</v>
      </c>
      <c r="D397" s="790">
        <v>60228</v>
      </c>
      <c r="E397" s="790">
        <f>60228-20000-609</f>
        <v>39619</v>
      </c>
      <c r="F397" s="790">
        <f>39619-14670</f>
        <v>24949</v>
      </c>
      <c r="G397" s="571">
        <f t="shared" si="91"/>
        <v>0.62972311264797198</v>
      </c>
    </row>
    <row r="398" spans="1:7" x14ac:dyDescent="0.2">
      <c r="A398" s="207"/>
      <c r="B398" s="1056" t="s">
        <v>1300</v>
      </c>
      <c r="C398" s="790">
        <v>489</v>
      </c>
      <c r="D398" s="790">
        <v>489</v>
      </c>
      <c r="E398" s="790">
        <v>489</v>
      </c>
      <c r="F398" s="790">
        <v>489</v>
      </c>
      <c r="G398" s="571">
        <f t="shared" si="91"/>
        <v>1</v>
      </c>
    </row>
    <row r="399" spans="1:7" x14ac:dyDescent="0.2">
      <c r="A399" s="207"/>
      <c r="B399" s="1056" t="s">
        <v>1370</v>
      </c>
      <c r="C399" s="790">
        <v>1118</v>
      </c>
      <c r="D399" s="790">
        <v>1118</v>
      </c>
      <c r="E399" s="790">
        <v>1118</v>
      </c>
      <c r="F399" s="790">
        <f>1118+100</f>
        <v>1218</v>
      </c>
      <c r="G399" s="571">
        <f t="shared" si="91"/>
        <v>1.0894454382826475</v>
      </c>
    </row>
    <row r="400" spans="1:7" x14ac:dyDescent="0.2">
      <c r="A400" s="207"/>
      <c r="B400" s="1056" t="s">
        <v>1301</v>
      </c>
      <c r="C400" s="790">
        <v>2023</v>
      </c>
      <c r="D400" s="790">
        <v>2023</v>
      </c>
      <c r="E400" s="790">
        <v>2023</v>
      </c>
      <c r="F400" s="790">
        <v>2023</v>
      </c>
      <c r="G400" s="571">
        <f t="shared" si="91"/>
        <v>1</v>
      </c>
    </row>
    <row r="401" spans="1:7" x14ac:dyDescent="0.2">
      <c r="A401" s="207"/>
      <c r="B401" s="1056" t="s">
        <v>1302</v>
      </c>
      <c r="C401" s="790">
        <v>1707</v>
      </c>
      <c r="D401" s="790">
        <v>1707</v>
      </c>
      <c r="E401" s="790">
        <v>1707</v>
      </c>
      <c r="F401" s="790">
        <v>1707</v>
      </c>
      <c r="G401" s="571">
        <f t="shared" si="91"/>
        <v>1</v>
      </c>
    </row>
    <row r="402" spans="1:7" x14ac:dyDescent="0.2">
      <c r="A402" s="207"/>
      <c r="B402" s="1056" t="s">
        <v>1303</v>
      </c>
      <c r="C402" s="376">
        <v>9301</v>
      </c>
      <c r="D402" s="376">
        <v>9301</v>
      </c>
      <c r="E402" s="789">
        <v>9301</v>
      </c>
      <c r="F402" s="789">
        <v>9301</v>
      </c>
      <c r="G402" s="571">
        <f t="shared" si="91"/>
        <v>1</v>
      </c>
    </row>
    <row r="403" spans="1:7" x14ac:dyDescent="0.2">
      <c r="A403" s="207"/>
      <c r="B403" s="1056" t="s">
        <v>1304</v>
      </c>
      <c r="C403" s="376">
        <v>38100</v>
      </c>
      <c r="D403" s="376">
        <f>38100+492</f>
        <v>38592</v>
      </c>
      <c r="E403" s="789">
        <f>38100+492</f>
        <v>38592</v>
      </c>
      <c r="F403" s="789">
        <f>38592+8890</f>
        <v>47482</v>
      </c>
      <c r="G403" s="571">
        <f t="shared" si="91"/>
        <v>1.2303586235489221</v>
      </c>
    </row>
    <row r="404" spans="1:7" x14ac:dyDescent="0.2">
      <c r="A404" s="207"/>
      <c r="B404" s="1056" t="s">
        <v>1305</v>
      </c>
      <c r="C404" s="376"/>
      <c r="D404" s="376">
        <v>3884</v>
      </c>
      <c r="E404" s="789">
        <v>3884</v>
      </c>
      <c r="F404" s="789">
        <v>3884</v>
      </c>
      <c r="G404" s="571">
        <f t="shared" si="91"/>
        <v>1</v>
      </c>
    </row>
    <row r="405" spans="1:7" x14ac:dyDescent="0.2">
      <c r="A405" s="207"/>
      <c r="B405" s="1056" t="s">
        <v>1306</v>
      </c>
      <c r="C405" s="376"/>
      <c r="D405" s="376">
        <v>2011</v>
      </c>
      <c r="E405" s="789">
        <v>2011</v>
      </c>
      <c r="F405" s="789">
        <v>2011</v>
      </c>
      <c r="G405" s="571">
        <f t="shared" si="91"/>
        <v>1</v>
      </c>
    </row>
    <row r="406" spans="1:7" x14ac:dyDescent="0.2">
      <c r="A406" s="207"/>
      <c r="B406" s="1056" t="s">
        <v>1307</v>
      </c>
      <c r="C406" s="376"/>
      <c r="D406" s="376">
        <v>24000</v>
      </c>
      <c r="E406" s="789">
        <v>24000</v>
      </c>
      <c r="F406" s="789">
        <v>24000</v>
      </c>
      <c r="G406" s="571">
        <f t="shared" si="91"/>
        <v>1</v>
      </c>
    </row>
    <row r="407" spans="1:7" x14ac:dyDescent="0.2">
      <c r="A407" s="207"/>
      <c r="B407" s="1056" t="s">
        <v>1369</v>
      </c>
      <c r="C407" s="376"/>
      <c r="D407" s="376"/>
      <c r="E407" s="789"/>
      <c r="F407" s="789">
        <v>15494</v>
      </c>
      <c r="G407" s="571"/>
    </row>
    <row r="408" spans="1:7" x14ac:dyDescent="0.2">
      <c r="A408" s="207"/>
      <c r="B408" s="1056" t="s">
        <v>1308</v>
      </c>
      <c r="C408" s="376"/>
      <c r="D408" s="376">
        <v>6074</v>
      </c>
      <c r="E408" s="789">
        <v>6074</v>
      </c>
      <c r="F408" s="789">
        <f>6074+368</f>
        <v>6442</v>
      </c>
      <c r="G408" s="571">
        <f t="shared" si="91"/>
        <v>1.060586104708594</v>
      </c>
    </row>
    <row r="409" spans="1:7" x14ac:dyDescent="0.2">
      <c r="A409" s="207"/>
      <c r="B409" s="1056" t="s">
        <v>1284</v>
      </c>
      <c r="C409" s="376"/>
      <c r="D409" s="376">
        <v>11000</v>
      </c>
      <c r="E409" s="789">
        <v>11000</v>
      </c>
      <c r="F409" s="789">
        <v>11000</v>
      </c>
      <c r="G409" s="571">
        <f t="shared" si="91"/>
        <v>1</v>
      </c>
    </row>
    <row r="410" spans="1:7" x14ac:dyDescent="0.2">
      <c r="A410" s="207"/>
      <c r="B410" s="294" t="s">
        <v>1286</v>
      </c>
      <c r="C410" s="376"/>
      <c r="D410" s="376">
        <v>7281</v>
      </c>
      <c r="E410" s="789">
        <v>7281</v>
      </c>
      <c r="F410" s="789">
        <v>7281</v>
      </c>
      <c r="G410" s="571">
        <f t="shared" si="91"/>
        <v>1</v>
      </c>
    </row>
    <row r="411" spans="1:7" x14ac:dyDescent="0.2">
      <c r="A411" s="207"/>
      <c r="B411" s="294" t="s">
        <v>1287</v>
      </c>
      <c r="C411" s="376"/>
      <c r="D411" s="376">
        <v>14338</v>
      </c>
      <c r="E411" s="789">
        <f>14338-14338</f>
        <v>0</v>
      </c>
      <c r="F411" s="789">
        <f>14338-14338</f>
        <v>0</v>
      </c>
      <c r="G411" s="571"/>
    </row>
    <row r="412" spans="1:7" x14ac:dyDescent="0.2">
      <c r="A412" s="207"/>
      <c r="B412" s="294" t="s">
        <v>1288</v>
      </c>
      <c r="C412" s="376"/>
      <c r="D412" s="376">
        <v>46801</v>
      </c>
      <c r="E412" s="789">
        <f>46801-46801</f>
        <v>0</v>
      </c>
      <c r="F412" s="789">
        <f>46801-46801</f>
        <v>0</v>
      </c>
      <c r="G412" s="571"/>
    </row>
    <row r="413" spans="1:7" x14ac:dyDescent="0.2">
      <c r="A413" s="207"/>
      <c r="B413" s="294" t="s">
        <v>1347</v>
      </c>
      <c r="C413" s="376"/>
      <c r="D413" s="376">
        <v>6092</v>
      </c>
      <c r="E413" s="789">
        <f>6092-2000-34</f>
        <v>4058</v>
      </c>
      <c r="F413" s="789">
        <f>4058-639</f>
        <v>3419</v>
      </c>
      <c r="G413" s="571">
        <f t="shared" ref="G413:G476" si="104">F413/E413</f>
        <v>0.84253326761951697</v>
      </c>
    </row>
    <row r="414" spans="1:7" x14ac:dyDescent="0.2">
      <c r="A414" s="207"/>
      <c r="B414" s="294" t="s">
        <v>1371</v>
      </c>
      <c r="C414" s="376"/>
      <c r="D414" s="376"/>
      <c r="E414" s="789"/>
      <c r="F414" s="789">
        <v>12848</v>
      </c>
      <c r="G414" s="571"/>
    </row>
    <row r="415" spans="1:7" x14ac:dyDescent="0.2">
      <c r="A415" s="207"/>
      <c r="B415" s="294" t="s">
        <v>1285</v>
      </c>
      <c r="C415" s="376"/>
      <c r="D415" s="376">
        <v>13016</v>
      </c>
      <c r="E415" s="789">
        <f>13016-600-4390-72</f>
        <v>7954</v>
      </c>
      <c r="F415" s="789">
        <f>7954-1369</f>
        <v>6585</v>
      </c>
      <c r="G415" s="571">
        <f t="shared" si="104"/>
        <v>0.82788534070907716</v>
      </c>
    </row>
    <row r="416" spans="1:7" x14ac:dyDescent="0.2">
      <c r="A416" s="207"/>
      <c r="B416" s="1060" t="s">
        <v>211</v>
      </c>
      <c r="C416" s="788">
        <f>SUM(C417:C430)</f>
        <v>73567</v>
      </c>
      <c r="D416" s="788">
        <f>SUM(D417:D436)</f>
        <v>140648</v>
      </c>
      <c r="E416" s="788">
        <f>SUM(E417:E436)</f>
        <v>205801</v>
      </c>
      <c r="F416" s="788">
        <f>SUM(F417:F436)</f>
        <v>182030</v>
      </c>
      <c r="G416" s="1059">
        <f t="shared" si="104"/>
        <v>0.88449521625259353</v>
      </c>
    </row>
    <row r="417" spans="1:7" x14ac:dyDescent="0.2">
      <c r="A417" s="207"/>
      <c r="B417" s="294" t="s">
        <v>1328</v>
      </c>
      <c r="C417" s="790">
        <v>2000</v>
      </c>
      <c r="D417" s="790">
        <v>2000</v>
      </c>
      <c r="E417" s="790">
        <v>2000</v>
      </c>
      <c r="F417" s="790">
        <f>2000+300</f>
        <v>2300</v>
      </c>
      <c r="G417" s="571">
        <f t="shared" si="104"/>
        <v>1.1499999999999999</v>
      </c>
    </row>
    <row r="418" spans="1:7" x14ac:dyDescent="0.2">
      <c r="A418" s="207"/>
      <c r="B418" s="294" t="s">
        <v>1315</v>
      </c>
      <c r="C418" s="790">
        <v>1675</v>
      </c>
      <c r="D418" s="790">
        <v>1675</v>
      </c>
      <c r="E418" s="790">
        <f>1675-1675</f>
        <v>0</v>
      </c>
      <c r="F418" s="790">
        <f>1675-1675</f>
        <v>0</v>
      </c>
      <c r="G418" s="571"/>
    </row>
    <row r="419" spans="1:7" x14ac:dyDescent="0.2">
      <c r="A419" s="207"/>
      <c r="B419" s="294" t="s">
        <v>1319</v>
      </c>
      <c r="C419" s="790">
        <v>13894</v>
      </c>
      <c r="D419" s="790">
        <v>13894</v>
      </c>
      <c r="E419" s="790">
        <v>13894</v>
      </c>
      <c r="F419" s="790">
        <v>13894</v>
      </c>
      <c r="G419" s="571">
        <f t="shared" si="104"/>
        <v>1</v>
      </c>
    </row>
    <row r="420" spans="1:7" x14ac:dyDescent="0.2">
      <c r="A420" s="207"/>
      <c r="B420" s="294" t="s">
        <v>1318</v>
      </c>
      <c r="C420" s="861">
        <v>7038</v>
      </c>
      <c r="D420" s="861">
        <v>7038</v>
      </c>
      <c r="E420" s="790">
        <v>7038</v>
      </c>
      <c r="F420" s="790">
        <f>7038+1000</f>
        <v>8038</v>
      </c>
      <c r="G420" s="571">
        <f t="shared" si="104"/>
        <v>1.1420858198351804</v>
      </c>
    </row>
    <row r="421" spans="1:7" x14ac:dyDescent="0.2">
      <c r="A421" s="207"/>
      <c r="B421" s="294" t="s">
        <v>1316</v>
      </c>
      <c r="C421" s="861">
        <v>15621</v>
      </c>
      <c r="D421" s="861">
        <v>15621</v>
      </c>
      <c r="E421" s="790">
        <v>15621</v>
      </c>
      <c r="F421" s="790">
        <v>15621</v>
      </c>
      <c r="G421" s="571">
        <f t="shared" si="104"/>
        <v>1</v>
      </c>
    </row>
    <row r="422" spans="1:7" x14ac:dyDescent="0.2">
      <c r="A422" s="207"/>
      <c r="B422" s="294" t="s">
        <v>1317</v>
      </c>
      <c r="C422" s="861">
        <v>9001</v>
      </c>
      <c r="D422" s="861">
        <v>9001</v>
      </c>
      <c r="E422" s="790">
        <v>9001</v>
      </c>
      <c r="F422" s="790">
        <f>9001-1300</f>
        <v>7701</v>
      </c>
      <c r="G422" s="571">
        <f t="shared" si="104"/>
        <v>0.85557160315520497</v>
      </c>
    </row>
    <row r="423" spans="1:7" x14ac:dyDescent="0.2">
      <c r="A423" s="207"/>
      <c r="B423" s="294" t="s">
        <v>1320</v>
      </c>
      <c r="C423" s="861">
        <v>2694</v>
      </c>
      <c r="D423" s="861">
        <v>2694</v>
      </c>
      <c r="E423" s="790">
        <v>2694</v>
      </c>
      <c r="F423" s="790">
        <v>2694</v>
      </c>
      <c r="G423" s="571">
        <f t="shared" si="104"/>
        <v>1</v>
      </c>
    </row>
    <row r="424" spans="1:7" x14ac:dyDescent="0.2">
      <c r="A424" s="207"/>
      <c r="B424" s="294" t="s">
        <v>1321</v>
      </c>
      <c r="C424" s="861">
        <v>13585</v>
      </c>
      <c r="D424" s="861">
        <v>13585</v>
      </c>
      <c r="E424" s="790">
        <v>74724</v>
      </c>
      <c r="F424" s="790">
        <f>74724-16500</f>
        <v>58224</v>
      </c>
      <c r="G424" s="571">
        <f t="shared" si="104"/>
        <v>0.77918740966757671</v>
      </c>
    </row>
    <row r="425" spans="1:7" x14ac:dyDescent="0.2">
      <c r="A425" s="207"/>
      <c r="B425" s="294" t="s">
        <v>1322</v>
      </c>
      <c r="C425" s="861">
        <v>978</v>
      </c>
      <c r="D425" s="861">
        <v>978</v>
      </c>
      <c r="E425" s="790">
        <v>978</v>
      </c>
      <c r="F425" s="790">
        <v>978</v>
      </c>
      <c r="G425" s="571">
        <f t="shared" si="104"/>
        <v>1</v>
      </c>
    </row>
    <row r="426" spans="1:7" x14ac:dyDescent="0.2">
      <c r="A426" s="207"/>
      <c r="B426" s="294" t="s">
        <v>1323</v>
      </c>
      <c r="C426" s="861">
        <v>6131</v>
      </c>
      <c r="D426" s="861">
        <v>6131</v>
      </c>
      <c r="E426" s="790">
        <v>6131</v>
      </c>
      <c r="F426" s="790">
        <v>6131</v>
      </c>
      <c r="G426" s="571">
        <f t="shared" si="104"/>
        <v>1</v>
      </c>
    </row>
    <row r="427" spans="1:7" x14ac:dyDescent="0.2">
      <c r="A427" s="207"/>
      <c r="B427" s="792" t="s">
        <v>1324</v>
      </c>
      <c r="C427" s="861">
        <v>950</v>
      </c>
      <c r="D427" s="861">
        <v>950</v>
      </c>
      <c r="E427" s="790">
        <v>950</v>
      </c>
      <c r="F427" s="790">
        <v>950</v>
      </c>
      <c r="G427" s="571">
        <f t="shared" si="104"/>
        <v>1</v>
      </c>
    </row>
    <row r="428" spans="1:7" x14ac:dyDescent="0.2">
      <c r="A428" s="207"/>
      <c r="B428" s="792" t="s">
        <v>1325</v>
      </c>
      <c r="C428" s="861"/>
      <c r="D428" s="861">
        <v>14201</v>
      </c>
      <c r="E428" s="790">
        <v>14201</v>
      </c>
      <c r="F428" s="790">
        <v>14201</v>
      </c>
      <c r="G428" s="571">
        <f t="shared" si="104"/>
        <v>1</v>
      </c>
    </row>
    <row r="429" spans="1:7" x14ac:dyDescent="0.2">
      <c r="A429" s="207"/>
      <c r="B429" s="792" t="s">
        <v>1326</v>
      </c>
      <c r="C429" s="861"/>
      <c r="D429" s="861">
        <v>500</v>
      </c>
      <c r="E429" s="790">
        <v>500</v>
      </c>
      <c r="F429" s="790">
        <v>500</v>
      </c>
      <c r="G429" s="571">
        <f t="shared" si="104"/>
        <v>1</v>
      </c>
    </row>
    <row r="430" spans="1:7" x14ac:dyDescent="0.2">
      <c r="A430" s="207"/>
      <c r="B430" s="792" t="s">
        <v>1327</v>
      </c>
      <c r="C430" s="861"/>
      <c r="D430" s="861">
        <v>5857</v>
      </c>
      <c r="E430" s="790">
        <v>5857</v>
      </c>
      <c r="F430" s="790">
        <v>5857</v>
      </c>
      <c r="G430" s="571">
        <f t="shared" si="104"/>
        <v>1</v>
      </c>
    </row>
    <row r="431" spans="1:7" x14ac:dyDescent="0.2">
      <c r="A431" s="207"/>
      <c r="B431" s="294" t="s">
        <v>1309</v>
      </c>
      <c r="C431" s="861"/>
      <c r="D431" s="861">
        <v>8346</v>
      </c>
      <c r="E431" s="790">
        <v>8346</v>
      </c>
      <c r="F431" s="790">
        <f>8346-1618</f>
        <v>6728</v>
      </c>
      <c r="G431" s="571">
        <f t="shared" si="104"/>
        <v>0.80613467529355376</v>
      </c>
    </row>
    <row r="432" spans="1:7" x14ac:dyDescent="0.2">
      <c r="A432" s="207"/>
      <c r="B432" s="294" t="s">
        <v>1310</v>
      </c>
      <c r="C432" s="861"/>
      <c r="D432" s="861">
        <v>25210</v>
      </c>
      <c r="E432" s="790">
        <v>31600</v>
      </c>
      <c r="F432" s="790">
        <f>31600-5653</f>
        <v>25947</v>
      </c>
      <c r="G432" s="571">
        <f t="shared" si="104"/>
        <v>0.82110759493670882</v>
      </c>
    </row>
    <row r="433" spans="1:7" x14ac:dyDescent="0.2">
      <c r="A433" s="207"/>
      <c r="B433" s="294" t="s">
        <v>1311</v>
      </c>
      <c r="C433" s="861"/>
      <c r="D433" s="861">
        <v>2783</v>
      </c>
      <c r="E433" s="790">
        <v>2082</v>
      </c>
      <c r="F433" s="790">
        <v>2082</v>
      </c>
      <c r="G433" s="571">
        <f t="shared" si="104"/>
        <v>1</v>
      </c>
    </row>
    <row r="434" spans="1:7" x14ac:dyDescent="0.2">
      <c r="A434" s="207"/>
      <c r="B434" s="294" t="s">
        <v>1312</v>
      </c>
      <c r="C434" s="861"/>
      <c r="D434" s="861">
        <v>3682</v>
      </c>
      <c r="E434" s="790">
        <v>3682</v>
      </c>
      <c r="F434" s="790">
        <v>3682</v>
      </c>
      <c r="G434" s="571">
        <f t="shared" si="104"/>
        <v>1</v>
      </c>
    </row>
    <row r="435" spans="1:7" ht="24" x14ac:dyDescent="0.2">
      <c r="A435" s="207"/>
      <c r="B435" s="1057" t="s">
        <v>1313</v>
      </c>
      <c r="C435" s="861"/>
      <c r="D435" s="1058">
        <v>1524</v>
      </c>
      <c r="E435" s="1127">
        <v>1524</v>
      </c>
      <c r="F435" s="1127">
        <v>1524</v>
      </c>
      <c r="G435" s="571">
        <f t="shared" si="104"/>
        <v>1</v>
      </c>
    </row>
    <row r="436" spans="1:7" ht="13.5" thickBot="1" x14ac:dyDescent="0.25">
      <c r="A436" s="207"/>
      <c r="B436" s="294" t="s">
        <v>1314</v>
      </c>
      <c r="C436" s="861"/>
      <c r="D436" s="861">
        <v>4978</v>
      </c>
      <c r="E436" s="790">
        <v>4978</v>
      </c>
      <c r="F436" s="790">
        <v>4978</v>
      </c>
      <c r="G436" s="571">
        <f t="shared" si="104"/>
        <v>1</v>
      </c>
    </row>
    <row r="437" spans="1:7" ht="13.5" thickBot="1" x14ac:dyDescent="0.25">
      <c r="A437" s="207"/>
      <c r="B437" s="227" t="s">
        <v>48</v>
      </c>
      <c r="C437" s="793">
        <f>SUM(C383+C416)</f>
        <v>283698</v>
      </c>
      <c r="D437" s="793">
        <f>SUM(D383+D416)</f>
        <v>485768</v>
      </c>
      <c r="E437" s="793">
        <f>SUM(E383+E416)</f>
        <v>483931</v>
      </c>
      <c r="F437" s="793">
        <f>SUM(F383+F416)</f>
        <v>443664</v>
      </c>
      <c r="G437" s="603">
        <f t="shared" si="104"/>
        <v>0.91679185669031327</v>
      </c>
    </row>
    <row r="438" spans="1:7" ht="15.75" thickBot="1" x14ac:dyDescent="0.3">
      <c r="A438" s="204"/>
      <c r="B438" s="228" t="s">
        <v>89</v>
      </c>
      <c r="C438" s="377">
        <f>SUM(C382+C437)</f>
        <v>3195046</v>
      </c>
      <c r="D438" s="377">
        <f>SUM(D382+D437)</f>
        <v>3778315</v>
      </c>
      <c r="E438" s="377">
        <f>SUM(E382+E437)</f>
        <v>3808359</v>
      </c>
      <c r="F438" s="377">
        <f>SUM(F382+F437)</f>
        <v>3798714</v>
      </c>
      <c r="G438" s="1117">
        <f t="shared" si="104"/>
        <v>0.99746741312990717</v>
      </c>
    </row>
    <row r="439" spans="1:7" ht="15" x14ac:dyDescent="0.25">
      <c r="A439" s="170">
        <v>2799</v>
      </c>
      <c r="B439" s="173" t="s">
        <v>61</v>
      </c>
      <c r="C439" s="376"/>
      <c r="D439" s="376"/>
      <c r="E439" s="376"/>
      <c r="F439" s="376"/>
      <c r="G439" s="867"/>
    </row>
    <row r="440" spans="1:7" x14ac:dyDescent="0.2">
      <c r="A440" s="207"/>
      <c r="B440" s="208" t="s">
        <v>154</v>
      </c>
      <c r="C440" s="373"/>
      <c r="D440" s="373"/>
      <c r="E440" s="373"/>
      <c r="F440" s="373"/>
      <c r="G440" s="571"/>
    </row>
    <row r="441" spans="1:7" ht="13.5" thickBot="1" x14ac:dyDescent="0.25">
      <c r="A441" s="207"/>
      <c r="B441" s="209" t="s">
        <v>155</v>
      </c>
      <c r="C441" s="384"/>
      <c r="D441" s="384"/>
      <c r="E441" s="384">
        <f>E320+E355</f>
        <v>800</v>
      </c>
      <c r="F441" s="384">
        <f>F320+F355</f>
        <v>800</v>
      </c>
      <c r="G441" s="593">
        <f t="shared" si="104"/>
        <v>1</v>
      </c>
    </row>
    <row r="442" spans="1:7" ht="13.5" thickBot="1" x14ac:dyDescent="0.25">
      <c r="A442" s="207"/>
      <c r="B442" s="210" t="s">
        <v>167</v>
      </c>
      <c r="C442" s="382"/>
      <c r="D442" s="382"/>
      <c r="E442" s="382">
        <f>E440+E441</f>
        <v>800</v>
      </c>
      <c r="F442" s="382">
        <f>F440+F441</f>
        <v>800</v>
      </c>
      <c r="G442" s="593">
        <f t="shared" si="104"/>
        <v>1</v>
      </c>
    </row>
    <row r="443" spans="1:7" x14ac:dyDescent="0.2">
      <c r="A443" s="207"/>
      <c r="B443" s="208" t="s">
        <v>157</v>
      </c>
      <c r="C443" s="370">
        <f t="shared" ref="C443:D443" si="105">SUM(C444:C445)</f>
        <v>54300</v>
      </c>
      <c r="D443" s="370">
        <f t="shared" si="105"/>
        <v>74869</v>
      </c>
      <c r="E443" s="370">
        <f t="shared" ref="E443:F443" si="106">SUM(E444:E445)</f>
        <v>91095</v>
      </c>
      <c r="F443" s="370">
        <f t="shared" si="106"/>
        <v>104264</v>
      </c>
      <c r="G443" s="867">
        <f t="shared" si="104"/>
        <v>1.1445633679126186</v>
      </c>
    </row>
    <row r="444" spans="1:7" x14ac:dyDescent="0.2">
      <c r="A444" s="207"/>
      <c r="B444" s="212" t="s">
        <v>158</v>
      </c>
      <c r="C444" s="376">
        <f>SUM(C357+C322)</f>
        <v>0</v>
      </c>
      <c r="D444" s="376">
        <f>SUM(D357+D322)</f>
        <v>0</v>
      </c>
      <c r="E444" s="376">
        <f>SUM(E357+E322)</f>
        <v>16226</v>
      </c>
      <c r="F444" s="376">
        <f>SUM(F357+F322)</f>
        <v>29395</v>
      </c>
      <c r="G444" s="571">
        <f t="shared" si="104"/>
        <v>1.8115986688031553</v>
      </c>
    </row>
    <row r="445" spans="1:7" x14ac:dyDescent="0.2">
      <c r="A445" s="207"/>
      <c r="B445" s="212" t="s">
        <v>159</v>
      </c>
      <c r="C445" s="376">
        <f>SUM(C358)</f>
        <v>54300</v>
      </c>
      <c r="D445" s="376">
        <f>SUM(D358)</f>
        <v>74869</v>
      </c>
      <c r="E445" s="376">
        <f>SUM(E358)</f>
        <v>74869</v>
      </c>
      <c r="F445" s="376">
        <f>SUM(F358)</f>
        <v>74869</v>
      </c>
      <c r="G445" s="571">
        <f t="shared" si="104"/>
        <v>1</v>
      </c>
    </row>
    <row r="446" spans="1:7" x14ac:dyDescent="0.2">
      <c r="A446" s="207"/>
      <c r="B446" s="213" t="s">
        <v>160</v>
      </c>
      <c r="C446" s="370">
        <f>SUM(C329+C359)</f>
        <v>3836</v>
      </c>
      <c r="D446" s="370">
        <f>SUM(D329+D359)</f>
        <v>3836</v>
      </c>
      <c r="E446" s="370">
        <f>SUM(E329+E359)</f>
        <v>3836</v>
      </c>
      <c r="F446" s="370">
        <f>SUM(F329+F359)</f>
        <v>8301</v>
      </c>
      <c r="G446" s="571">
        <f t="shared" si="104"/>
        <v>2.1639728884254432</v>
      </c>
    </row>
    <row r="447" spans="1:7" x14ac:dyDescent="0.2">
      <c r="A447" s="207"/>
      <c r="B447" s="213" t="s">
        <v>161</v>
      </c>
      <c r="C447" s="370">
        <f t="shared" ref="C447:F448" si="107">SUM(C360)</f>
        <v>131612</v>
      </c>
      <c r="D447" s="370">
        <f t="shared" si="107"/>
        <v>131612</v>
      </c>
      <c r="E447" s="370">
        <f t="shared" si="107"/>
        <v>131612</v>
      </c>
      <c r="F447" s="370">
        <f t="shared" si="107"/>
        <v>131612</v>
      </c>
      <c r="G447" s="571">
        <f t="shared" si="104"/>
        <v>1</v>
      </c>
    </row>
    <row r="448" spans="1:7" x14ac:dyDescent="0.2">
      <c r="A448" s="207"/>
      <c r="B448" s="213" t="s">
        <v>162</v>
      </c>
      <c r="C448" s="370">
        <f t="shared" si="107"/>
        <v>51232</v>
      </c>
      <c r="D448" s="370">
        <f t="shared" si="107"/>
        <v>56786</v>
      </c>
      <c r="E448" s="370">
        <f t="shared" si="107"/>
        <v>61167</v>
      </c>
      <c r="F448" s="370">
        <f t="shared" si="107"/>
        <v>64925</v>
      </c>
      <c r="G448" s="571">
        <f t="shared" si="104"/>
        <v>1.0614383572841566</v>
      </c>
    </row>
    <row r="449" spans="1:7" x14ac:dyDescent="0.2">
      <c r="A449" s="207"/>
      <c r="B449" s="213" t="s">
        <v>299</v>
      </c>
      <c r="C449" s="370">
        <f>C332</f>
        <v>0</v>
      </c>
      <c r="D449" s="370">
        <f>D332</f>
        <v>0</v>
      </c>
      <c r="E449" s="370">
        <f>E327</f>
        <v>0</v>
      </c>
      <c r="F449" s="370">
        <f>F327</f>
        <v>0</v>
      </c>
      <c r="G449" s="571"/>
    </row>
    <row r="450" spans="1:7" x14ac:dyDescent="0.2">
      <c r="A450" s="207"/>
      <c r="B450" s="214" t="s">
        <v>381</v>
      </c>
      <c r="C450" s="370">
        <f>SUM(C367+C333)</f>
        <v>0</v>
      </c>
      <c r="D450" s="370">
        <f>SUM(D367+D333)</f>
        <v>0</v>
      </c>
      <c r="E450" s="370">
        <f>SUM(E367+E333)</f>
        <v>0</v>
      </c>
      <c r="F450" s="370">
        <f>SUM(F362+F333)</f>
        <v>0</v>
      </c>
      <c r="G450" s="571"/>
    </row>
    <row r="451" spans="1:7" ht="13.5" thickBot="1" x14ac:dyDescent="0.25">
      <c r="A451" s="207"/>
      <c r="B451" s="215" t="s">
        <v>163</v>
      </c>
      <c r="C451" s="370">
        <f>SUM(C363)</f>
        <v>16000</v>
      </c>
      <c r="D451" s="370">
        <f>SUM(D363)</f>
        <v>16000</v>
      </c>
      <c r="E451" s="370">
        <f>SUM(E363)</f>
        <v>18510</v>
      </c>
      <c r="F451" s="370">
        <f>SUM(F363)</f>
        <v>35767</v>
      </c>
      <c r="G451" s="593">
        <f t="shared" si="104"/>
        <v>1.9323068611561318</v>
      </c>
    </row>
    <row r="452" spans="1:7" ht="13.5" thickBot="1" x14ac:dyDescent="0.25">
      <c r="A452" s="207"/>
      <c r="B452" s="216" t="s">
        <v>295</v>
      </c>
      <c r="C452" s="372">
        <f t="shared" ref="C452:D452" si="108">SUM(C443+C446+C447+C448+C451+C449+C450)</f>
        <v>256980</v>
      </c>
      <c r="D452" s="372">
        <f t="shared" si="108"/>
        <v>283103</v>
      </c>
      <c r="E452" s="372">
        <f>SUM(E443+E446+E447+E448+E451+E449+E450)</f>
        <v>306220</v>
      </c>
      <c r="F452" s="372">
        <f>SUM(F443+F446+F447+F448+F451+F449+F450)</f>
        <v>344869</v>
      </c>
      <c r="G452" s="1117">
        <f t="shared" si="104"/>
        <v>1.1262131800666189</v>
      </c>
    </row>
    <row r="453" spans="1:7" ht="13.5" thickBot="1" x14ac:dyDescent="0.25">
      <c r="A453" s="207"/>
      <c r="B453" s="768" t="s">
        <v>191</v>
      </c>
      <c r="C453" s="372"/>
      <c r="D453" s="372"/>
      <c r="E453" s="377"/>
      <c r="F453" s="377"/>
      <c r="G453" s="593"/>
    </row>
    <row r="454" spans="1:7" ht="13.5" thickBot="1" x14ac:dyDescent="0.25">
      <c r="A454" s="207"/>
      <c r="B454" s="218" t="s">
        <v>49</v>
      </c>
      <c r="C454" s="590">
        <f t="shared" ref="C454:D454" si="109">SUM(C452+C442)</f>
        <v>256980</v>
      </c>
      <c r="D454" s="590">
        <f t="shared" si="109"/>
        <v>283103</v>
      </c>
      <c r="E454" s="583">
        <f>SUM(E452+E442)</f>
        <v>307020</v>
      </c>
      <c r="F454" s="583">
        <f>SUM(F452+F442)</f>
        <v>345669</v>
      </c>
      <c r="G454" s="1117">
        <f t="shared" si="104"/>
        <v>1.1258843072112565</v>
      </c>
    </row>
    <row r="455" spans="1:7" x14ac:dyDescent="0.2">
      <c r="A455" s="207"/>
      <c r="B455" s="330" t="s">
        <v>389</v>
      </c>
      <c r="C455" s="380"/>
      <c r="D455" s="380"/>
      <c r="E455" s="380"/>
      <c r="F455" s="380"/>
      <c r="G455" s="867"/>
    </row>
    <row r="456" spans="1:7" ht="13.5" thickBot="1" x14ac:dyDescent="0.25">
      <c r="A456" s="207"/>
      <c r="B456" s="328" t="s">
        <v>390</v>
      </c>
      <c r="C456" s="378"/>
      <c r="D456" s="378"/>
      <c r="E456" s="378"/>
      <c r="F456" s="378">
        <f>F368</f>
        <v>750</v>
      </c>
      <c r="G456" s="593"/>
    </row>
    <row r="457" spans="1:7" ht="13.5" thickBot="1" x14ac:dyDescent="0.25">
      <c r="A457" s="207"/>
      <c r="B457" s="219" t="s">
        <v>50</v>
      </c>
      <c r="C457" s="387">
        <f t="shared" ref="C457:D457" si="110">SUM(C455:C456)</f>
        <v>0</v>
      </c>
      <c r="D457" s="387">
        <f t="shared" si="110"/>
        <v>0</v>
      </c>
      <c r="E457" s="379">
        <f t="shared" ref="E457:F457" si="111">SUM(E455:E456)</f>
        <v>0</v>
      </c>
      <c r="F457" s="379">
        <f t="shared" si="111"/>
        <v>750</v>
      </c>
      <c r="G457" s="593"/>
    </row>
    <row r="458" spans="1:7" x14ac:dyDescent="0.2">
      <c r="A458" s="207"/>
      <c r="B458" s="325" t="s">
        <v>357</v>
      </c>
      <c r="C458" s="380">
        <f>C335+C369</f>
        <v>0</v>
      </c>
      <c r="D458" s="380">
        <f>D335+D369</f>
        <v>16777</v>
      </c>
      <c r="E458" s="380">
        <f>E335+E369</f>
        <v>16777</v>
      </c>
      <c r="F458" s="380">
        <f>F335+F369</f>
        <v>16777</v>
      </c>
      <c r="G458" s="867">
        <f t="shared" si="104"/>
        <v>1</v>
      </c>
    </row>
    <row r="459" spans="1:7" x14ac:dyDescent="0.2">
      <c r="A459" s="207"/>
      <c r="B459" s="110" t="s">
        <v>371</v>
      </c>
      <c r="C459" s="380">
        <f>C370</f>
        <v>0</v>
      </c>
      <c r="D459" s="380">
        <f>D370</f>
        <v>0</v>
      </c>
      <c r="E459" s="380">
        <f>E370</f>
        <v>0</v>
      </c>
      <c r="F459" s="380">
        <f>F370</f>
        <v>0</v>
      </c>
      <c r="G459" s="571"/>
    </row>
    <row r="460" spans="1:7" x14ac:dyDescent="0.2">
      <c r="A460" s="207"/>
      <c r="B460" s="110" t="s">
        <v>385</v>
      </c>
      <c r="C460" s="370">
        <f>SUM(C336+C371)</f>
        <v>4174795</v>
      </c>
      <c r="D460" s="370">
        <f>SUM(D336+D371)</f>
        <v>4761067</v>
      </c>
      <c r="E460" s="370">
        <f>SUM(E336+E371)</f>
        <v>4769210</v>
      </c>
      <c r="F460" s="370">
        <f>SUM(F336+F371)</f>
        <v>4795043</v>
      </c>
      <c r="G460" s="571">
        <f t="shared" si="104"/>
        <v>1.0054166203627015</v>
      </c>
    </row>
    <row r="461" spans="1:7" ht="13.5" thickBot="1" x14ac:dyDescent="0.25">
      <c r="A461" s="207"/>
      <c r="B461" s="128" t="s">
        <v>388</v>
      </c>
      <c r="C461" s="371">
        <f>SUM(C372)</f>
        <v>661487</v>
      </c>
      <c r="D461" s="371">
        <f>SUM(D372)</f>
        <v>661487</v>
      </c>
      <c r="E461" s="371">
        <f>SUM(E372)</f>
        <v>661487</v>
      </c>
      <c r="F461" s="371">
        <f>SUM(F372)</f>
        <v>672440</v>
      </c>
      <c r="G461" s="593">
        <f t="shared" si="104"/>
        <v>1.016558148535043</v>
      </c>
    </row>
    <row r="462" spans="1:7" ht="13.5" thickBot="1" x14ac:dyDescent="0.25">
      <c r="A462" s="207"/>
      <c r="B462" s="220" t="s">
        <v>43</v>
      </c>
      <c r="C462" s="379">
        <f>SUM(C458:C461)</f>
        <v>4836282</v>
      </c>
      <c r="D462" s="379">
        <f>SUM(D458:D461)</f>
        <v>5439331</v>
      </c>
      <c r="E462" s="379">
        <f>SUM(E458:E461)</f>
        <v>5447474</v>
      </c>
      <c r="F462" s="379">
        <f>SUM(F458:F461)</f>
        <v>5484260</v>
      </c>
      <c r="G462" s="1117">
        <f t="shared" si="104"/>
        <v>1.006752854625832</v>
      </c>
    </row>
    <row r="463" spans="1:7" ht="13.5" thickBot="1" x14ac:dyDescent="0.25">
      <c r="A463" s="207"/>
      <c r="B463" s="190" t="s">
        <v>357</v>
      </c>
      <c r="C463" s="378">
        <f>C338+C374</f>
        <v>0</v>
      </c>
      <c r="D463" s="378">
        <f>D338+D374</f>
        <v>0</v>
      </c>
      <c r="E463" s="378">
        <f>E338+E374</f>
        <v>0</v>
      </c>
      <c r="F463" s="378">
        <f>F338+F374</f>
        <v>0</v>
      </c>
      <c r="G463" s="593"/>
    </row>
    <row r="464" spans="1:7" ht="13.5" thickBot="1" x14ac:dyDescent="0.25">
      <c r="A464" s="207"/>
      <c r="B464" s="220" t="s">
        <v>45</v>
      </c>
      <c r="C464" s="379">
        <f t="shared" ref="C464:D464" si="112">SUM(C463)</f>
        <v>0</v>
      </c>
      <c r="D464" s="379">
        <f t="shared" si="112"/>
        <v>0</v>
      </c>
      <c r="E464" s="379">
        <f t="shared" ref="E464:F464" si="113">SUM(E463)</f>
        <v>0</v>
      </c>
      <c r="F464" s="379">
        <f t="shared" si="113"/>
        <v>0</v>
      </c>
      <c r="G464" s="593"/>
    </row>
    <row r="465" spans="1:7" ht="15.75" thickBot="1" x14ac:dyDescent="0.3">
      <c r="A465" s="207"/>
      <c r="B465" s="222" t="s">
        <v>54</v>
      </c>
      <c r="C465" s="372">
        <f>SUM(C454+C457+C462+C464)</f>
        <v>5093262</v>
      </c>
      <c r="D465" s="372">
        <f>SUM(D454+D457+D462+D464)</f>
        <v>5722434</v>
      </c>
      <c r="E465" s="377">
        <f>SUM(E454+E457+E462+E464)</f>
        <v>5754494</v>
      </c>
      <c r="F465" s="377">
        <f>SUM(F454+F457+F462+F464)</f>
        <v>5830679</v>
      </c>
      <c r="G465" s="593">
        <f t="shared" si="104"/>
        <v>1.0132392179051712</v>
      </c>
    </row>
    <row r="466" spans="1:7" x14ac:dyDescent="0.2">
      <c r="A466" s="207"/>
      <c r="B466" s="223" t="s">
        <v>276</v>
      </c>
      <c r="C466" s="370">
        <f t="shared" ref="C466:F468" si="114">SUM(C377+C341)</f>
        <v>2601295</v>
      </c>
      <c r="D466" s="370">
        <f t="shared" si="114"/>
        <v>2616769</v>
      </c>
      <c r="E466" s="370">
        <f t="shared" si="114"/>
        <v>2630889</v>
      </c>
      <c r="F466" s="370">
        <f t="shared" si="114"/>
        <v>2728328</v>
      </c>
      <c r="G466" s="867">
        <f t="shared" si="104"/>
        <v>1.0370365302374978</v>
      </c>
    </row>
    <row r="467" spans="1:7" x14ac:dyDescent="0.2">
      <c r="A467" s="207"/>
      <c r="B467" s="223" t="s">
        <v>277</v>
      </c>
      <c r="C467" s="370">
        <f t="shared" si="114"/>
        <v>388818</v>
      </c>
      <c r="D467" s="370">
        <f t="shared" si="114"/>
        <v>392127</v>
      </c>
      <c r="E467" s="370">
        <f t="shared" si="114"/>
        <v>394461</v>
      </c>
      <c r="F467" s="370">
        <f t="shared" si="114"/>
        <v>385383</v>
      </c>
      <c r="G467" s="571">
        <f t="shared" si="104"/>
        <v>0.97698631803904568</v>
      </c>
    </row>
    <row r="468" spans="1:7" x14ac:dyDescent="0.2">
      <c r="A468" s="207"/>
      <c r="B468" s="223" t="s">
        <v>278</v>
      </c>
      <c r="C468" s="370">
        <f t="shared" si="114"/>
        <v>1813034</v>
      </c>
      <c r="D468" s="370">
        <f t="shared" si="114"/>
        <v>2208302</v>
      </c>
      <c r="E468" s="370">
        <f t="shared" si="114"/>
        <v>2225744</v>
      </c>
      <c r="F468" s="370">
        <f t="shared" si="114"/>
        <v>2253835</v>
      </c>
      <c r="G468" s="571">
        <f t="shared" si="104"/>
        <v>1.0126209483211006</v>
      </c>
    </row>
    <row r="469" spans="1:7" x14ac:dyDescent="0.2">
      <c r="A469" s="207"/>
      <c r="B469" s="224" t="s">
        <v>280</v>
      </c>
      <c r="C469" s="370">
        <f>SUM(C349)</f>
        <v>0</v>
      </c>
      <c r="D469" s="370">
        <f>SUM(D349)</f>
        <v>0</v>
      </c>
      <c r="E469" s="370">
        <f>SUM(E349)</f>
        <v>0</v>
      </c>
      <c r="F469" s="370">
        <f>SUM(F349)</f>
        <v>0</v>
      </c>
      <c r="G469" s="571"/>
    </row>
    <row r="470" spans="1:7" ht="13.5" thickBot="1" x14ac:dyDescent="0.25">
      <c r="A470" s="207"/>
      <c r="B470" s="225" t="s">
        <v>279</v>
      </c>
      <c r="C470" s="370">
        <f>SUM(C381+C345)</f>
        <v>0</v>
      </c>
      <c r="D470" s="370">
        <f>SUM(D381+D345)</f>
        <v>0</v>
      </c>
      <c r="E470" s="370">
        <f>SUM(E381+E345)</f>
        <v>1</v>
      </c>
      <c r="F470" s="370">
        <f>SUM(F381+F345)</f>
        <v>1</v>
      </c>
      <c r="G470" s="593">
        <f t="shared" si="104"/>
        <v>1</v>
      </c>
    </row>
    <row r="471" spans="1:7" ht="13.5" thickBot="1" x14ac:dyDescent="0.25">
      <c r="A471" s="207"/>
      <c r="B471" s="226" t="s">
        <v>42</v>
      </c>
      <c r="C471" s="372">
        <f t="shared" ref="C471:D471" si="115">SUM(C466:C470)</f>
        <v>4803147</v>
      </c>
      <c r="D471" s="372">
        <f t="shared" si="115"/>
        <v>5217198</v>
      </c>
      <c r="E471" s="372">
        <f t="shared" ref="E471:F471" si="116">SUM(E466:E470)</f>
        <v>5251095</v>
      </c>
      <c r="F471" s="372">
        <f t="shared" si="116"/>
        <v>5367547</v>
      </c>
      <c r="G471" s="1117">
        <f t="shared" si="104"/>
        <v>1.0221767079056845</v>
      </c>
    </row>
    <row r="472" spans="1:7" x14ac:dyDescent="0.2">
      <c r="A472" s="207"/>
      <c r="B472" s="223" t="s">
        <v>210</v>
      </c>
      <c r="C472" s="370">
        <f>SUM(C383+C347)</f>
        <v>216548</v>
      </c>
      <c r="D472" s="370">
        <f>SUM(D383+D347)</f>
        <v>364588</v>
      </c>
      <c r="E472" s="370">
        <f>SUM(E383+E347)</f>
        <v>297598</v>
      </c>
      <c r="F472" s="370">
        <f>SUM(F383+F347)</f>
        <v>281102</v>
      </c>
      <c r="G472" s="867">
        <f t="shared" si="104"/>
        <v>0.94456951995645133</v>
      </c>
    </row>
    <row r="473" spans="1:7" x14ac:dyDescent="0.2">
      <c r="A473" s="207"/>
      <c r="B473" s="223" t="s">
        <v>211</v>
      </c>
      <c r="C473" s="370">
        <f>SUM(C348+C416)</f>
        <v>73567</v>
      </c>
      <c r="D473" s="370">
        <f>SUM(D348+D416)</f>
        <v>140648</v>
      </c>
      <c r="E473" s="370">
        <f>SUM(E348+E416)</f>
        <v>205801</v>
      </c>
      <c r="F473" s="370">
        <f>SUM(F348+F416)</f>
        <v>182030</v>
      </c>
      <c r="G473" s="571">
        <f t="shared" si="104"/>
        <v>0.88449521625259353</v>
      </c>
    </row>
    <row r="474" spans="1:7" ht="13.5" thickBot="1" x14ac:dyDescent="0.25">
      <c r="A474" s="207"/>
      <c r="B474" s="225" t="s">
        <v>366</v>
      </c>
      <c r="C474" s="371"/>
      <c r="D474" s="371"/>
      <c r="E474" s="371"/>
      <c r="F474" s="371"/>
      <c r="G474" s="593"/>
    </row>
    <row r="475" spans="1:7" ht="13.5" thickBot="1" x14ac:dyDescent="0.25">
      <c r="A475" s="207"/>
      <c r="B475" s="227" t="s">
        <v>48</v>
      </c>
      <c r="C475" s="377">
        <f t="shared" ref="C475:D475" si="117">SUM(C472:C474)</f>
        <v>290115</v>
      </c>
      <c r="D475" s="377">
        <f t="shared" si="117"/>
        <v>505236</v>
      </c>
      <c r="E475" s="377">
        <f t="shared" ref="E475:F475" si="118">SUM(E472:E474)</f>
        <v>503399</v>
      </c>
      <c r="F475" s="377">
        <f t="shared" si="118"/>
        <v>463132</v>
      </c>
      <c r="G475" s="1117">
        <f t="shared" si="104"/>
        <v>0.92000977355934355</v>
      </c>
    </row>
    <row r="476" spans="1:7" ht="15.75" thickBot="1" x14ac:dyDescent="0.3">
      <c r="A476" s="204"/>
      <c r="B476" s="228" t="s">
        <v>89</v>
      </c>
      <c r="C476" s="372">
        <f t="shared" ref="C476:D476" si="119">SUM(C471+C475)</f>
        <v>5093262</v>
      </c>
      <c r="D476" s="372">
        <f t="shared" si="119"/>
        <v>5722434</v>
      </c>
      <c r="E476" s="377">
        <f t="shared" ref="E476:F476" si="120">SUM(E471+E475)</f>
        <v>5754494</v>
      </c>
      <c r="F476" s="377">
        <f t="shared" si="120"/>
        <v>5830679</v>
      </c>
      <c r="G476" s="1117">
        <f t="shared" si="104"/>
        <v>1.0132392179051712</v>
      </c>
    </row>
    <row r="477" spans="1:7" ht="15" x14ac:dyDescent="0.25">
      <c r="A477" s="170">
        <v>2850</v>
      </c>
      <c r="B477" s="834" t="s">
        <v>289</v>
      </c>
      <c r="C477" s="370"/>
      <c r="D477" s="370"/>
      <c r="E477" s="370"/>
      <c r="F477" s="370"/>
      <c r="G477" s="867"/>
    </row>
    <row r="478" spans="1:7" ht="12.6" customHeight="1" x14ac:dyDescent="0.2">
      <c r="A478" s="207"/>
      <c r="B478" s="208" t="s">
        <v>154</v>
      </c>
      <c r="C478" s="373"/>
      <c r="D478" s="373"/>
      <c r="E478" s="373"/>
      <c r="F478" s="373"/>
      <c r="G478" s="571"/>
    </row>
    <row r="479" spans="1:7" ht="13.5" thickBot="1" x14ac:dyDescent="0.25">
      <c r="A479" s="207"/>
      <c r="B479" s="209" t="s">
        <v>155</v>
      </c>
      <c r="C479" s="388"/>
      <c r="D479" s="388"/>
      <c r="E479" s="388"/>
      <c r="F479" s="388"/>
      <c r="G479" s="593"/>
    </row>
    <row r="480" spans="1:7" ht="13.5" thickBot="1" x14ac:dyDescent="0.25">
      <c r="A480" s="207"/>
      <c r="B480" s="210" t="s">
        <v>167</v>
      </c>
      <c r="C480" s="389"/>
      <c r="D480" s="389"/>
      <c r="E480" s="1115"/>
      <c r="F480" s="1115"/>
      <c r="G480" s="593"/>
    </row>
    <row r="481" spans="1:7" x14ac:dyDescent="0.2">
      <c r="A481" s="207"/>
      <c r="B481" s="208" t="s">
        <v>157</v>
      </c>
      <c r="C481" s="370">
        <f t="shared" ref="C481:F481" si="121">SUM(C482)</f>
        <v>7299</v>
      </c>
      <c r="D481" s="370">
        <f t="shared" si="121"/>
        <v>7299</v>
      </c>
      <c r="E481" s="370">
        <f t="shared" si="121"/>
        <v>7299</v>
      </c>
      <c r="F481" s="370">
        <f t="shared" si="121"/>
        <v>7299</v>
      </c>
      <c r="G481" s="867">
        <f t="shared" ref="G481:G540" si="122">F481/E481</f>
        <v>1</v>
      </c>
    </row>
    <row r="482" spans="1:7" x14ac:dyDescent="0.2">
      <c r="A482" s="207"/>
      <c r="B482" s="212" t="s">
        <v>158</v>
      </c>
      <c r="C482" s="376">
        <v>7299</v>
      </c>
      <c r="D482" s="376">
        <v>7299</v>
      </c>
      <c r="E482" s="376">
        <v>7299</v>
      </c>
      <c r="F482" s="376">
        <v>7299</v>
      </c>
      <c r="G482" s="571">
        <f t="shared" si="122"/>
        <v>1</v>
      </c>
    </row>
    <row r="483" spans="1:7" x14ac:dyDescent="0.2">
      <c r="A483" s="207"/>
      <c r="B483" s="212" t="s">
        <v>159</v>
      </c>
      <c r="C483" s="376"/>
      <c r="D483" s="376"/>
      <c r="E483" s="376"/>
      <c r="F483" s="376"/>
      <c r="G483" s="571"/>
    </row>
    <row r="484" spans="1:7" x14ac:dyDescent="0.2">
      <c r="A484" s="207"/>
      <c r="B484" s="213" t="s">
        <v>160</v>
      </c>
      <c r="C484" s="370"/>
      <c r="D484" s="370"/>
      <c r="E484" s="370"/>
      <c r="F484" s="370"/>
      <c r="G484" s="571"/>
    </row>
    <row r="485" spans="1:7" x14ac:dyDescent="0.2">
      <c r="A485" s="207"/>
      <c r="B485" s="213" t="s">
        <v>161</v>
      </c>
      <c r="C485" s="370">
        <v>13612</v>
      </c>
      <c r="D485" s="370">
        <v>13612</v>
      </c>
      <c r="E485" s="370">
        <v>13612</v>
      </c>
      <c r="F485" s="370">
        <f>13612+1799</f>
        <v>15411</v>
      </c>
      <c r="G485" s="571">
        <f t="shared" si="122"/>
        <v>1.1321627975315898</v>
      </c>
    </row>
    <row r="486" spans="1:7" x14ac:dyDescent="0.2">
      <c r="A486" s="207"/>
      <c r="B486" s="213" t="s">
        <v>162</v>
      </c>
      <c r="C486" s="370">
        <v>5646</v>
      </c>
      <c r="D486" s="370">
        <v>5646</v>
      </c>
      <c r="E486" s="370">
        <v>5646</v>
      </c>
      <c r="F486" s="370">
        <f>5646-297</f>
        <v>5349</v>
      </c>
      <c r="G486" s="571">
        <f t="shared" si="122"/>
        <v>0.94739638682252925</v>
      </c>
    </row>
    <row r="487" spans="1:7" x14ac:dyDescent="0.2">
      <c r="A487" s="207"/>
      <c r="B487" s="213" t="s">
        <v>299</v>
      </c>
      <c r="C487" s="370"/>
      <c r="D487" s="370"/>
      <c r="E487" s="370"/>
      <c r="F487" s="370"/>
      <c r="G487" s="571"/>
    </row>
    <row r="488" spans="1:7" x14ac:dyDescent="0.2">
      <c r="A488" s="207"/>
      <c r="B488" s="214" t="s">
        <v>381</v>
      </c>
      <c r="C488" s="370"/>
      <c r="D488" s="370"/>
      <c r="E488" s="370"/>
      <c r="F488" s="370"/>
      <c r="G488" s="571"/>
    </row>
    <row r="489" spans="1:7" ht="13.5" thickBot="1" x14ac:dyDescent="0.25">
      <c r="A489" s="207"/>
      <c r="B489" s="215" t="s">
        <v>163</v>
      </c>
      <c r="C489" s="370"/>
      <c r="D489" s="370"/>
      <c r="E489" s="370"/>
      <c r="F489" s="370"/>
      <c r="G489" s="593"/>
    </row>
    <row r="490" spans="1:7" ht="13.5" thickBot="1" x14ac:dyDescent="0.25">
      <c r="A490" s="207"/>
      <c r="B490" s="216" t="s">
        <v>295</v>
      </c>
      <c r="C490" s="372">
        <f t="shared" ref="C490:D490" si="123">SUM(C481+C484+C485+C486+C489+C487)</f>
        <v>26557</v>
      </c>
      <c r="D490" s="372">
        <f t="shared" si="123"/>
        <v>26557</v>
      </c>
      <c r="E490" s="372">
        <f t="shared" ref="E490:F490" si="124">SUM(E481+E484+E485+E486+E489+E487)</f>
        <v>26557</v>
      </c>
      <c r="F490" s="372">
        <f t="shared" si="124"/>
        <v>28059</v>
      </c>
      <c r="G490" s="1117">
        <f t="shared" si="122"/>
        <v>1.0565575931016304</v>
      </c>
    </row>
    <row r="491" spans="1:7" ht="13.5" thickBot="1" x14ac:dyDescent="0.25">
      <c r="A491" s="207"/>
      <c r="B491" s="768" t="s">
        <v>191</v>
      </c>
      <c r="C491" s="377"/>
      <c r="D491" s="377"/>
      <c r="E491" s="377"/>
      <c r="F491" s="377"/>
      <c r="G491" s="593"/>
    </row>
    <row r="492" spans="1:7" ht="13.5" thickBot="1" x14ac:dyDescent="0.25">
      <c r="A492" s="207"/>
      <c r="B492" s="218" t="s">
        <v>49</v>
      </c>
      <c r="C492" s="583">
        <f t="shared" ref="C492:D492" si="125">SUM(C490+C480)</f>
        <v>26557</v>
      </c>
      <c r="D492" s="583">
        <f t="shared" si="125"/>
        <v>26557</v>
      </c>
      <c r="E492" s="583">
        <f t="shared" ref="E492:F492" si="126">SUM(E490+E480)</f>
        <v>26557</v>
      </c>
      <c r="F492" s="583">
        <f t="shared" si="126"/>
        <v>28059</v>
      </c>
      <c r="G492" s="1117">
        <f t="shared" si="122"/>
        <v>1.0565575931016304</v>
      </c>
    </row>
    <row r="493" spans="1:7" ht="13.5" thickBot="1" x14ac:dyDescent="0.25">
      <c r="A493" s="207"/>
      <c r="B493" s="219" t="s">
        <v>50</v>
      </c>
      <c r="C493" s="378"/>
      <c r="D493" s="378"/>
      <c r="E493" s="378"/>
      <c r="F493" s="378"/>
      <c r="G493" s="593"/>
    </row>
    <row r="494" spans="1:7" x14ac:dyDescent="0.2">
      <c r="A494" s="207"/>
      <c r="B494" s="325" t="s">
        <v>357</v>
      </c>
      <c r="C494" s="380">
        <v>0</v>
      </c>
      <c r="D494" s="380">
        <v>7035</v>
      </c>
      <c r="E494" s="380">
        <v>7035</v>
      </c>
      <c r="F494" s="380">
        <v>7035</v>
      </c>
      <c r="G494" s="867">
        <f t="shared" si="122"/>
        <v>1</v>
      </c>
    </row>
    <row r="495" spans="1:7" x14ac:dyDescent="0.2">
      <c r="A495" s="207"/>
      <c r="B495" s="110" t="s">
        <v>371</v>
      </c>
      <c r="C495" s="380"/>
      <c r="D495" s="380"/>
      <c r="E495" s="380"/>
      <c r="F495" s="380"/>
      <c r="G495" s="571"/>
    </row>
    <row r="496" spans="1:7" x14ac:dyDescent="0.2">
      <c r="A496" s="207"/>
      <c r="B496" s="110" t="s">
        <v>385</v>
      </c>
      <c r="C496" s="370">
        <v>967236</v>
      </c>
      <c r="D496" s="370">
        <f>967236+4210+2020+4478</f>
        <v>977944</v>
      </c>
      <c r="E496" s="370">
        <f>977944+3847+6404</f>
        <v>988195</v>
      </c>
      <c r="F496" s="370">
        <f>988195+2224+49246+1625</f>
        <v>1041290</v>
      </c>
      <c r="G496" s="571">
        <f t="shared" si="122"/>
        <v>1.0537292740805206</v>
      </c>
    </row>
    <row r="497" spans="1:7" ht="13.5" thickBot="1" x14ac:dyDescent="0.25">
      <c r="A497" s="207"/>
      <c r="B497" s="128" t="s">
        <v>388</v>
      </c>
      <c r="C497" s="371">
        <v>38688</v>
      </c>
      <c r="D497" s="371">
        <v>38688</v>
      </c>
      <c r="E497" s="371">
        <v>38688</v>
      </c>
      <c r="F497" s="371">
        <v>38688</v>
      </c>
      <c r="G497" s="593">
        <f t="shared" si="122"/>
        <v>1</v>
      </c>
    </row>
    <row r="498" spans="1:7" ht="13.5" thickBot="1" x14ac:dyDescent="0.25">
      <c r="A498" s="207"/>
      <c r="B498" s="220" t="s">
        <v>43</v>
      </c>
      <c r="C498" s="387">
        <f>SUM(C494:C497)</f>
        <v>1005924</v>
      </c>
      <c r="D498" s="387">
        <f>SUM(D494:D497)</f>
        <v>1023667</v>
      </c>
      <c r="E498" s="379">
        <f>SUM(E494:E497)</f>
        <v>1033918</v>
      </c>
      <c r="F498" s="379">
        <f>SUM(F494:F497)</f>
        <v>1087013</v>
      </c>
      <c r="G498" s="1117">
        <f t="shared" si="122"/>
        <v>1.0513532020914618</v>
      </c>
    </row>
    <row r="499" spans="1:7" ht="13.5" thickBot="1" x14ac:dyDescent="0.25">
      <c r="A499" s="207"/>
      <c r="B499" s="190" t="s">
        <v>357</v>
      </c>
      <c r="C499" s="378"/>
      <c r="D499" s="378"/>
      <c r="E499" s="378"/>
      <c r="F499" s="378"/>
      <c r="G499" s="593"/>
    </row>
    <row r="500" spans="1:7" ht="13.5" thickBot="1" x14ac:dyDescent="0.25">
      <c r="A500" s="207"/>
      <c r="B500" s="220" t="s">
        <v>45</v>
      </c>
      <c r="C500" s="379"/>
      <c r="D500" s="379"/>
      <c r="E500" s="379"/>
      <c r="F500" s="379"/>
      <c r="G500" s="593"/>
    </row>
    <row r="501" spans="1:7" ht="15.75" thickBot="1" x14ac:dyDescent="0.3">
      <c r="A501" s="207"/>
      <c r="B501" s="222" t="s">
        <v>54</v>
      </c>
      <c r="C501" s="377">
        <f>SUM(C492+C493+C498)+C500</f>
        <v>1032481</v>
      </c>
      <c r="D501" s="377">
        <f>SUM(D492+D493+D498)+D500</f>
        <v>1050224</v>
      </c>
      <c r="E501" s="377">
        <f>SUM(E492+E493+E498)+E500</f>
        <v>1060475</v>
      </c>
      <c r="F501" s="377">
        <f>SUM(F492+F493+F498)+F500</f>
        <v>1115072</v>
      </c>
      <c r="G501" s="1117">
        <f t="shared" si="122"/>
        <v>1.051483533322332</v>
      </c>
    </row>
    <row r="502" spans="1:7" ht="12.75" customHeight="1" x14ac:dyDescent="0.2">
      <c r="A502" s="207"/>
      <c r="B502" s="223" t="s">
        <v>276</v>
      </c>
      <c r="C502" s="370">
        <v>820030</v>
      </c>
      <c r="D502" s="370">
        <f>820030+3726+216+3963</f>
        <v>827935</v>
      </c>
      <c r="E502" s="370">
        <f>827935+3405+5667</f>
        <v>837007</v>
      </c>
      <c r="F502" s="370">
        <f>837007+1968+41200+1438</f>
        <v>881613</v>
      </c>
      <c r="G502" s="867">
        <f t="shared" si="122"/>
        <v>1.0532922663729216</v>
      </c>
    </row>
    <row r="503" spans="1:7" x14ac:dyDescent="0.2">
      <c r="A503" s="207"/>
      <c r="B503" s="223" t="s">
        <v>277</v>
      </c>
      <c r="C503" s="370">
        <v>123732</v>
      </c>
      <c r="D503" s="370">
        <f>123732+484+795+515</f>
        <v>125526</v>
      </c>
      <c r="E503" s="370">
        <f>125526+442+737</f>
        <v>126705</v>
      </c>
      <c r="F503" s="370">
        <f>126705+256+8046+187</f>
        <v>135194</v>
      </c>
      <c r="G503" s="571">
        <f t="shared" si="122"/>
        <v>1.0669981452981334</v>
      </c>
    </row>
    <row r="504" spans="1:7" x14ac:dyDescent="0.2">
      <c r="A504" s="207"/>
      <c r="B504" s="223" t="s">
        <v>278</v>
      </c>
      <c r="C504" s="370">
        <v>84409</v>
      </c>
      <c r="D504" s="370">
        <f>84409+6024+1620</f>
        <v>92053</v>
      </c>
      <c r="E504" s="370">
        <f>84409+6024+1620</f>
        <v>92053</v>
      </c>
      <c r="F504" s="370">
        <f>84409+6024+1620+1502</f>
        <v>93555</v>
      </c>
      <c r="G504" s="571">
        <f t="shared" si="122"/>
        <v>1.0163166871258948</v>
      </c>
    </row>
    <row r="505" spans="1:7" x14ac:dyDescent="0.2">
      <c r="A505" s="207"/>
      <c r="B505" s="224" t="s">
        <v>280</v>
      </c>
      <c r="C505" s="370"/>
      <c r="D505" s="370"/>
      <c r="E505" s="370"/>
      <c r="F505" s="370"/>
      <c r="G505" s="571"/>
    </row>
    <row r="506" spans="1:7" ht="13.5" thickBot="1" x14ac:dyDescent="0.25">
      <c r="A506" s="207"/>
      <c r="B506" s="225" t="s">
        <v>279</v>
      </c>
      <c r="C506" s="370">
        <v>0</v>
      </c>
      <c r="D506" s="370">
        <v>0</v>
      </c>
      <c r="E506" s="370">
        <v>0</v>
      </c>
      <c r="F506" s="370">
        <v>0</v>
      </c>
      <c r="G506" s="593"/>
    </row>
    <row r="507" spans="1:7" ht="13.5" thickBot="1" x14ac:dyDescent="0.25">
      <c r="A507" s="207"/>
      <c r="B507" s="226" t="s">
        <v>42</v>
      </c>
      <c r="C507" s="372">
        <f t="shared" ref="C507:D507" si="127">SUM(C502:C506)</f>
        <v>1028171</v>
      </c>
      <c r="D507" s="372">
        <f t="shared" si="127"/>
        <v>1045514</v>
      </c>
      <c r="E507" s="372">
        <f t="shared" ref="E507:F507" si="128">SUM(E502:E506)</f>
        <v>1055765</v>
      </c>
      <c r="F507" s="372">
        <f t="shared" si="128"/>
        <v>1110362</v>
      </c>
      <c r="G507" s="1117">
        <f t="shared" si="122"/>
        <v>1.0517132126941129</v>
      </c>
    </row>
    <row r="508" spans="1:7" x14ac:dyDescent="0.2">
      <c r="A508" s="207"/>
      <c r="B508" s="223" t="s">
        <v>1036</v>
      </c>
      <c r="C508" s="370">
        <v>4310</v>
      </c>
      <c r="D508" s="370">
        <f>4310+400</f>
        <v>4710</v>
      </c>
      <c r="E508" s="370">
        <f>4310+400</f>
        <v>4710</v>
      </c>
      <c r="F508" s="370">
        <f>4310+400</f>
        <v>4710</v>
      </c>
      <c r="G508" s="867">
        <f t="shared" si="122"/>
        <v>1</v>
      </c>
    </row>
    <row r="509" spans="1:7" x14ac:dyDescent="0.2">
      <c r="A509" s="207"/>
      <c r="B509" s="223" t="s">
        <v>211</v>
      </c>
      <c r="C509" s="370"/>
      <c r="D509" s="370"/>
      <c r="E509" s="370"/>
      <c r="F509" s="370"/>
      <c r="G509" s="571"/>
    </row>
    <row r="510" spans="1:7" ht="13.5" thickBot="1" x14ac:dyDescent="0.25">
      <c r="A510" s="207"/>
      <c r="B510" s="225" t="s">
        <v>366</v>
      </c>
      <c r="C510" s="370"/>
      <c r="D510" s="370"/>
      <c r="E510" s="370"/>
      <c r="F510" s="370"/>
      <c r="G510" s="593"/>
    </row>
    <row r="511" spans="1:7" ht="13.5" thickBot="1" x14ac:dyDescent="0.25">
      <c r="A511" s="207"/>
      <c r="B511" s="227" t="s">
        <v>48</v>
      </c>
      <c r="C511" s="372">
        <f t="shared" ref="C511:D511" si="129">SUM(C508:C510)</f>
        <v>4310</v>
      </c>
      <c r="D511" s="372">
        <f t="shared" si="129"/>
        <v>4710</v>
      </c>
      <c r="E511" s="372">
        <f t="shared" ref="E511:F511" si="130">SUM(E508:E510)</f>
        <v>4710</v>
      </c>
      <c r="F511" s="372">
        <f t="shared" si="130"/>
        <v>4710</v>
      </c>
      <c r="G511" s="1117">
        <f t="shared" si="122"/>
        <v>1</v>
      </c>
    </row>
    <row r="512" spans="1:7" ht="15.75" thickBot="1" x14ac:dyDescent="0.3">
      <c r="A512" s="204"/>
      <c r="B512" s="228" t="s">
        <v>89</v>
      </c>
      <c r="C512" s="377">
        <f t="shared" ref="C512:D512" si="131">SUM(C507+C511)</f>
        <v>1032481</v>
      </c>
      <c r="D512" s="377">
        <f t="shared" si="131"/>
        <v>1050224</v>
      </c>
      <c r="E512" s="377">
        <f t="shared" ref="E512:F512" si="132">SUM(E507+E511)</f>
        <v>1060475</v>
      </c>
      <c r="F512" s="377">
        <f t="shared" si="132"/>
        <v>1115072</v>
      </c>
      <c r="G512" s="1117">
        <f t="shared" si="122"/>
        <v>1.051483533322332</v>
      </c>
    </row>
    <row r="513" spans="1:7" ht="15" x14ac:dyDescent="0.25">
      <c r="A513" s="170">
        <v>2875</v>
      </c>
      <c r="B513" s="173" t="s">
        <v>260</v>
      </c>
      <c r="C513" s="370"/>
      <c r="D513" s="370"/>
      <c r="E513" s="370"/>
      <c r="F513" s="370"/>
      <c r="G513" s="867"/>
    </row>
    <row r="514" spans="1:7" ht="12.6" customHeight="1" x14ac:dyDescent="0.2">
      <c r="A514" s="207"/>
      <c r="B514" s="208" t="s">
        <v>154</v>
      </c>
      <c r="C514" s="373"/>
      <c r="D514" s="373"/>
      <c r="E514" s="373"/>
      <c r="F514" s="373"/>
      <c r="G514" s="571"/>
    </row>
    <row r="515" spans="1:7" ht="13.5" thickBot="1" x14ac:dyDescent="0.25">
      <c r="A515" s="207"/>
      <c r="B515" s="209" t="s">
        <v>155</v>
      </c>
      <c r="C515" s="371"/>
      <c r="D515" s="371"/>
      <c r="E515" s="371"/>
      <c r="F515" s="371">
        <v>500</v>
      </c>
      <c r="G515" s="593"/>
    </row>
    <row r="516" spans="1:7" ht="13.5" thickBot="1" x14ac:dyDescent="0.25">
      <c r="A516" s="207"/>
      <c r="B516" s="210" t="s">
        <v>167</v>
      </c>
      <c r="C516" s="386"/>
      <c r="D516" s="386"/>
      <c r="E516" s="386"/>
      <c r="F516" s="386">
        <f>SUM(F515)</f>
        <v>500</v>
      </c>
      <c r="G516" s="593"/>
    </row>
    <row r="517" spans="1:7" x14ac:dyDescent="0.2">
      <c r="A517" s="207"/>
      <c r="B517" s="208" t="s">
        <v>157</v>
      </c>
      <c r="C517" s="370"/>
      <c r="D517" s="370"/>
      <c r="E517" s="370"/>
      <c r="F517" s="370"/>
      <c r="G517" s="867"/>
    </row>
    <row r="518" spans="1:7" x14ac:dyDescent="0.2">
      <c r="A518" s="207"/>
      <c r="B518" s="212" t="s">
        <v>158</v>
      </c>
      <c r="C518" s="376"/>
      <c r="D518" s="376"/>
      <c r="E518" s="376"/>
      <c r="F518" s="376"/>
      <c r="G518" s="571"/>
    </row>
    <row r="519" spans="1:7" x14ac:dyDescent="0.2">
      <c r="A519" s="207"/>
      <c r="B519" s="212" t="s">
        <v>159</v>
      </c>
      <c r="C519" s="376"/>
      <c r="D519" s="376"/>
      <c r="E519" s="376"/>
      <c r="F519" s="376"/>
      <c r="G519" s="571"/>
    </row>
    <row r="520" spans="1:7" x14ac:dyDescent="0.2">
      <c r="A520" s="207"/>
      <c r="B520" s="213" t="s">
        <v>160</v>
      </c>
      <c r="C520" s="370"/>
      <c r="D520" s="370"/>
      <c r="E520" s="370"/>
      <c r="F520" s="370"/>
      <c r="G520" s="571"/>
    </row>
    <row r="521" spans="1:7" x14ac:dyDescent="0.2">
      <c r="A521" s="207"/>
      <c r="B521" s="213" t="s">
        <v>161</v>
      </c>
      <c r="C521" s="370">
        <v>48230</v>
      </c>
      <c r="D521" s="370">
        <v>48230</v>
      </c>
      <c r="E521" s="370">
        <v>48230</v>
      </c>
      <c r="F521" s="370">
        <v>48230</v>
      </c>
      <c r="G521" s="571">
        <f t="shared" si="122"/>
        <v>1</v>
      </c>
    </row>
    <row r="522" spans="1:7" x14ac:dyDescent="0.2">
      <c r="A522" s="207"/>
      <c r="B522" s="213" t="s">
        <v>162</v>
      </c>
      <c r="C522" s="370">
        <v>10431</v>
      </c>
      <c r="D522" s="370">
        <v>10431</v>
      </c>
      <c r="E522" s="370">
        <v>10431</v>
      </c>
      <c r="F522" s="370">
        <v>10431</v>
      </c>
      <c r="G522" s="571">
        <f t="shared" si="122"/>
        <v>1</v>
      </c>
    </row>
    <row r="523" spans="1:7" x14ac:dyDescent="0.2">
      <c r="A523" s="207"/>
      <c r="B523" s="213" t="s">
        <v>299</v>
      </c>
      <c r="C523" s="370">
        <v>9000</v>
      </c>
      <c r="D523" s="370">
        <v>9000</v>
      </c>
      <c r="E523" s="370">
        <v>9000</v>
      </c>
      <c r="F523" s="370">
        <f>9000+5733</f>
        <v>14733</v>
      </c>
      <c r="G523" s="571">
        <f t="shared" si="122"/>
        <v>1.637</v>
      </c>
    </row>
    <row r="524" spans="1:7" x14ac:dyDescent="0.2">
      <c r="A524" s="207"/>
      <c r="B524" s="214" t="s">
        <v>381</v>
      </c>
      <c r="C524" s="370"/>
      <c r="D524" s="370"/>
      <c r="E524" s="370"/>
      <c r="F524" s="370"/>
      <c r="G524" s="571"/>
    </row>
    <row r="525" spans="1:7" ht="13.5" thickBot="1" x14ac:dyDescent="0.25">
      <c r="A525" s="207"/>
      <c r="B525" s="215" t="s">
        <v>163</v>
      </c>
      <c r="C525" s="370"/>
      <c r="D525" s="370"/>
      <c r="E525" s="370"/>
      <c r="F525" s="370">
        <v>1001</v>
      </c>
      <c r="G525" s="593"/>
    </row>
    <row r="526" spans="1:7" ht="13.5" thickBot="1" x14ac:dyDescent="0.25">
      <c r="A526" s="207"/>
      <c r="B526" s="216" t="s">
        <v>295</v>
      </c>
      <c r="C526" s="372">
        <f t="shared" ref="C526:D526" si="133">SUM(C517+C520+C521+C522+C525+C523)</f>
        <v>67661</v>
      </c>
      <c r="D526" s="372">
        <f t="shared" si="133"/>
        <v>67661</v>
      </c>
      <c r="E526" s="372">
        <f t="shared" ref="E526:F526" si="134">SUM(E517+E520+E521+E522+E525+E523)</f>
        <v>67661</v>
      </c>
      <c r="F526" s="372">
        <f t="shared" si="134"/>
        <v>74395</v>
      </c>
      <c r="G526" s="1117">
        <f t="shared" si="122"/>
        <v>1.099525576033461</v>
      </c>
    </row>
    <row r="527" spans="1:7" ht="13.5" thickBot="1" x14ac:dyDescent="0.25">
      <c r="A527" s="207"/>
      <c r="B527" s="768" t="s">
        <v>191</v>
      </c>
      <c r="C527" s="377"/>
      <c r="D527" s="377"/>
      <c r="E527" s="377">
        <v>6119</v>
      </c>
      <c r="F527" s="377">
        <v>6119</v>
      </c>
      <c r="G527" s="593">
        <f t="shared" si="122"/>
        <v>1</v>
      </c>
    </row>
    <row r="528" spans="1:7" ht="13.5" thickBot="1" x14ac:dyDescent="0.25">
      <c r="A528" s="207"/>
      <c r="B528" s="218" t="s">
        <v>49</v>
      </c>
      <c r="C528" s="590">
        <f t="shared" ref="C528:D528" si="135">SUM(C526+C516)</f>
        <v>67661</v>
      </c>
      <c r="D528" s="590">
        <f t="shared" si="135"/>
        <v>67661</v>
      </c>
      <c r="E528" s="583">
        <f>SUM(E526+E516)+E527</f>
        <v>73780</v>
      </c>
      <c r="F528" s="583">
        <f>SUM(F526+F516)+F527</f>
        <v>81014</v>
      </c>
      <c r="G528" s="1117">
        <f t="shared" si="122"/>
        <v>1.098048251558688</v>
      </c>
    </row>
    <row r="529" spans="1:7" ht="13.5" thickBot="1" x14ac:dyDescent="0.25">
      <c r="A529" s="207"/>
      <c r="B529" s="215" t="s">
        <v>200</v>
      </c>
      <c r="C529" s="378"/>
      <c r="D529" s="378"/>
      <c r="E529" s="378"/>
      <c r="F529" s="378"/>
      <c r="G529" s="593"/>
    </row>
    <row r="530" spans="1:7" ht="13.5" thickBot="1" x14ac:dyDescent="0.25">
      <c r="A530" s="207"/>
      <c r="B530" s="219" t="s">
        <v>50</v>
      </c>
      <c r="C530" s="784"/>
      <c r="D530" s="784"/>
      <c r="E530" s="1116"/>
      <c r="F530" s="1116"/>
      <c r="G530" s="593"/>
    </row>
    <row r="531" spans="1:7" x14ac:dyDescent="0.2">
      <c r="A531" s="207"/>
      <c r="B531" s="325" t="s">
        <v>357</v>
      </c>
      <c r="C531" s="783"/>
      <c r="D531" s="783">
        <v>9445</v>
      </c>
      <c r="E531" s="783">
        <v>9445</v>
      </c>
      <c r="F531" s="783">
        <v>9445</v>
      </c>
      <c r="G531" s="867">
        <f t="shared" si="122"/>
        <v>1</v>
      </c>
    </row>
    <row r="532" spans="1:7" ht="13.5" thickBot="1" x14ac:dyDescent="0.25">
      <c r="A532" s="207"/>
      <c r="B532" s="128" t="s">
        <v>385</v>
      </c>
      <c r="C532" s="371">
        <v>1199667</v>
      </c>
      <c r="D532" s="371">
        <f>1199667+56621+10483+32824+10097+1400</f>
        <v>1311092</v>
      </c>
      <c r="E532" s="371">
        <f>1311092+57599+961+12683</f>
        <v>1382335</v>
      </c>
      <c r="F532" s="371">
        <f>1382335+27983+3039</f>
        <v>1413357</v>
      </c>
      <c r="G532" s="593">
        <f t="shared" si="122"/>
        <v>1.0224417380736217</v>
      </c>
    </row>
    <row r="533" spans="1:7" ht="13.5" thickBot="1" x14ac:dyDescent="0.25">
      <c r="A533" s="207"/>
      <c r="B533" s="220" t="s">
        <v>43</v>
      </c>
      <c r="C533" s="379">
        <f t="shared" ref="C533:D533" si="136">SUM(C531:C532)</f>
        <v>1199667</v>
      </c>
      <c r="D533" s="379">
        <f t="shared" si="136"/>
        <v>1320537</v>
      </c>
      <c r="E533" s="379">
        <f t="shared" ref="E533:F533" si="137">SUM(E531:E532)</f>
        <v>1391780</v>
      </c>
      <c r="F533" s="379">
        <f t="shared" si="137"/>
        <v>1422802</v>
      </c>
      <c r="G533" s="1117">
        <f t="shared" si="122"/>
        <v>1.0222894422969147</v>
      </c>
    </row>
    <row r="534" spans="1:7" ht="13.5" thickBot="1" x14ac:dyDescent="0.25">
      <c r="A534" s="207"/>
      <c r="B534" s="190" t="s">
        <v>357</v>
      </c>
      <c r="C534" s="378"/>
      <c r="D534" s="378"/>
      <c r="E534" s="378"/>
      <c r="F534" s="378"/>
      <c r="G534" s="593"/>
    </row>
    <row r="535" spans="1:7" ht="13.5" thickBot="1" x14ac:dyDescent="0.25">
      <c r="A535" s="207"/>
      <c r="B535" s="220" t="s">
        <v>45</v>
      </c>
      <c r="C535" s="379"/>
      <c r="D535" s="379"/>
      <c r="E535" s="379"/>
      <c r="F535" s="379"/>
      <c r="G535" s="593"/>
    </row>
    <row r="536" spans="1:7" ht="15.75" thickBot="1" x14ac:dyDescent="0.3">
      <c r="A536" s="207"/>
      <c r="B536" s="222" t="s">
        <v>54</v>
      </c>
      <c r="C536" s="372">
        <f>SUM(C530+C533+C535)+C528</f>
        <v>1267328</v>
      </c>
      <c r="D536" s="372">
        <f>SUM(D530+D533+D535)+D528</f>
        <v>1388198</v>
      </c>
      <c r="E536" s="377">
        <f>SUM(E530+E533+E535)+E528</f>
        <v>1465560</v>
      </c>
      <c r="F536" s="377">
        <f>SUM(F530+F533+F535)+F528</f>
        <v>1503816</v>
      </c>
      <c r="G536" s="1117">
        <f t="shared" si="122"/>
        <v>1.0261033325145337</v>
      </c>
    </row>
    <row r="537" spans="1:7" x14ac:dyDescent="0.2">
      <c r="A537" s="207"/>
      <c r="B537" s="223" t="s">
        <v>276</v>
      </c>
      <c r="C537" s="370">
        <v>821656</v>
      </c>
      <c r="D537" s="370">
        <f>821656+50107+9277+1054+8936</f>
        <v>891030</v>
      </c>
      <c r="E537" s="370">
        <f>891030+50973+850+9531+1600</f>
        <v>953984</v>
      </c>
      <c r="F537" s="370">
        <f>953984+24764+2690+3030</f>
        <v>984468</v>
      </c>
      <c r="G537" s="867">
        <f t="shared" si="122"/>
        <v>1.0319544143298001</v>
      </c>
    </row>
    <row r="538" spans="1:7" x14ac:dyDescent="0.2">
      <c r="A538" s="207"/>
      <c r="B538" s="223" t="s">
        <v>277</v>
      </c>
      <c r="C538" s="370">
        <v>131226</v>
      </c>
      <c r="D538" s="370">
        <f>131226+6514+1206+478+1161</f>
        <v>140585</v>
      </c>
      <c r="E538" s="370">
        <f>140585+6626+111+1239</f>
        <v>148561</v>
      </c>
      <c r="F538" s="370">
        <f>148561+3219+349-3030</f>
        <v>149099</v>
      </c>
      <c r="G538" s="571">
        <f t="shared" si="122"/>
        <v>1.0036214080411414</v>
      </c>
    </row>
    <row r="539" spans="1:7" x14ac:dyDescent="0.2">
      <c r="A539" s="207"/>
      <c r="B539" s="223" t="s">
        <v>278</v>
      </c>
      <c r="C539" s="370">
        <v>301219</v>
      </c>
      <c r="D539" s="370">
        <f>301219+7913+32824</f>
        <v>341956</v>
      </c>
      <c r="E539" s="370">
        <f>341956+1913+4519</f>
        <v>348388</v>
      </c>
      <c r="F539" s="370">
        <f>348388+7234</f>
        <v>355622</v>
      </c>
      <c r="G539" s="571">
        <f t="shared" si="122"/>
        <v>1.0207642054261341</v>
      </c>
    </row>
    <row r="540" spans="1:7" x14ac:dyDescent="0.2">
      <c r="A540" s="207"/>
      <c r="B540" s="224" t="s">
        <v>280</v>
      </c>
      <c r="C540" s="370">
        <v>345</v>
      </c>
      <c r="D540" s="370">
        <v>345</v>
      </c>
      <c r="E540" s="370">
        <v>345</v>
      </c>
      <c r="F540" s="370">
        <v>345</v>
      </c>
      <c r="G540" s="571">
        <f t="shared" si="122"/>
        <v>1</v>
      </c>
    </row>
    <row r="541" spans="1:7" ht="13.5" thickBot="1" x14ac:dyDescent="0.25">
      <c r="A541" s="207"/>
      <c r="B541" s="225" t="s">
        <v>279</v>
      </c>
      <c r="C541" s="370"/>
      <c r="D541" s="370"/>
      <c r="E541" s="370"/>
      <c r="F541" s="370"/>
      <c r="G541" s="593"/>
    </row>
    <row r="542" spans="1:7" ht="13.5" thickBot="1" x14ac:dyDescent="0.25">
      <c r="A542" s="207"/>
      <c r="B542" s="226" t="s">
        <v>42</v>
      </c>
      <c r="C542" s="372">
        <f t="shared" ref="C542:D542" si="138">SUM(C537:C541)</f>
        <v>1254446</v>
      </c>
      <c r="D542" s="372">
        <f t="shared" si="138"/>
        <v>1373916</v>
      </c>
      <c r="E542" s="372">
        <f t="shared" ref="E542:F542" si="139">SUM(E537:E541)</f>
        <v>1451278</v>
      </c>
      <c r="F542" s="372">
        <f t="shared" si="139"/>
        <v>1489534</v>
      </c>
      <c r="G542" s="1117">
        <f t="shared" ref="G542:G604" si="140">F542/E542</f>
        <v>1.0263602149278084</v>
      </c>
    </row>
    <row r="543" spans="1:7" x14ac:dyDescent="0.2">
      <c r="A543" s="207"/>
      <c r="B543" s="223" t="s">
        <v>1036</v>
      </c>
      <c r="C543" s="370">
        <v>12882</v>
      </c>
      <c r="D543" s="370">
        <f>12882+1400</f>
        <v>14282</v>
      </c>
      <c r="E543" s="370">
        <f>12882+1400</f>
        <v>14282</v>
      </c>
      <c r="F543" s="370">
        <f>12882+1400</f>
        <v>14282</v>
      </c>
      <c r="G543" s="867">
        <f t="shared" si="140"/>
        <v>1</v>
      </c>
    </row>
    <row r="544" spans="1:7" x14ac:dyDescent="0.2">
      <c r="A544" s="207"/>
      <c r="B544" s="223" t="s">
        <v>211</v>
      </c>
      <c r="C544" s="370"/>
      <c r="D544" s="370"/>
      <c r="E544" s="370"/>
      <c r="F544" s="370"/>
      <c r="G544" s="571"/>
    </row>
    <row r="545" spans="1:7" ht="13.5" thickBot="1" x14ac:dyDescent="0.25">
      <c r="A545" s="207"/>
      <c r="B545" s="225" t="s">
        <v>366</v>
      </c>
      <c r="C545" s="370"/>
      <c r="D545" s="370"/>
      <c r="E545" s="370"/>
      <c r="F545" s="370"/>
      <c r="G545" s="593"/>
    </row>
    <row r="546" spans="1:7" ht="13.5" thickBot="1" x14ac:dyDescent="0.25">
      <c r="A546" s="207"/>
      <c r="B546" s="227" t="s">
        <v>48</v>
      </c>
      <c r="C546" s="372">
        <f t="shared" ref="C546:D546" si="141">SUM(C543:C545)</f>
        <v>12882</v>
      </c>
      <c r="D546" s="372">
        <f t="shared" si="141"/>
        <v>14282</v>
      </c>
      <c r="E546" s="372">
        <f t="shared" ref="E546:F546" si="142">SUM(E543:E545)</f>
        <v>14282</v>
      </c>
      <c r="F546" s="372">
        <f t="shared" si="142"/>
        <v>14282</v>
      </c>
      <c r="G546" s="1117">
        <f t="shared" si="140"/>
        <v>1</v>
      </c>
    </row>
    <row r="547" spans="1:7" ht="15.75" thickBot="1" x14ac:dyDescent="0.3">
      <c r="A547" s="204"/>
      <c r="B547" s="228" t="s">
        <v>89</v>
      </c>
      <c r="C547" s="372">
        <f t="shared" ref="C547:D547" si="143">SUM(C542+C546)</f>
        <v>1267328</v>
      </c>
      <c r="D547" s="372">
        <f t="shared" si="143"/>
        <v>1388198</v>
      </c>
      <c r="E547" s="377">
        <f t="shared" ref="E547:F547" si="144">SUM(E542+E546)</f>
        <v>1465560</v>
      </c>
      <c r="F547" s="377">
        <f t="shared" si="144"/>
        <v>1503816</v>
      </c>
      <c r="G547" s="1117">
        <f t="shared" si="140"/>
        <v>1.0261033325145337</v>
      </c>
    </row>
    <row r="548" spans="1:7" ht="15" x14ac:dyDescent="0.25">
      <c r="A548" s="170">
        <v>2898</v>
      </c>
      <c r="B548" s="230" t="s">
        <v>290</v>
      </c>
      <c r="C548" s="383"/>
      <c r="D548" s="383"/>
      <c r="E548" s="383"/>
      <c r="F548" s="383"/>
      <c r="G548" s="867"/>
    </row>
    <row r="549" spans="1:7" x14ac:dyDescent="0.2">
      <c r="A549" s="207"/>
      <c r="B549" s="208" t="s">
        <v>154</v>
      </c>
      <c r="C549" s="373"/>
      <c r="D549" s="373"/>
      <c r="E549" s="373"/>
      <c r="F549" s="373"/>
      <c r="G549" s="571"/>
    </row>
    <row r="550" spans="1:7" ht="13.5" thickBot="1" x14ac:dyDescent="0.25">
      <c r="A550" s="207"/>
      <c r="B550" s="209" t="s">
        <v>155</v>
      </c>
      <c r="C550" s="371"/>
      <c r="D550" s="371"/>
      <c r="E550" s="371"/>
      <c r="F550" s="371">
        <f>F479+F515</f>
        <v>500</v>
      </c>
      <c r="G550" s="593"/>
    </row>
    <row r="551" spans="1:7" ht="13.5" thickBot="1" x14ac:dyDescent="0.25">
      <c r="A551" s="207"/>
      <c r="B551" s="210" t="s">
        <v>167</v>
      </c>
      <c r="C551" s="386"/>
      <c r="D551" s="386"/>
      <c r="E551" s="386"/>
      <c r="F551" s="386">
        <f>SUM(F550)</f>
        <v>500</v>
      </c>
      <c r="G551" s="593"/>
    </row>
    <row r="552" spans="1:7" x14ac:dyDescent="0.2">
      <c r="A552" s="207"/>
      <c r="B552" s="208" t="s">
        <v>157</v>
      </c>
      <c r="C552" s="370">
        <f t="shared" ref="C552:D552" si="145">SUM(C517+C481)</f>
        <v>7299</v>
      </c>
      <c r="D552" s="370">
        <f t="shared" si="145"/>
        <v>7299</v>
      </c>
      <c r="E552" s="370">
        <f t="shared" ref="E552:F552" si="146">SUM(E517+E481)</f>
        <v>7299</v>
      </c>
      <c r="F552" s="370">
        <f t="shared" si="146"/>
        <v>7299</v>
      </c>
      <c r="G552" s="867">
        <f t="shared" si="140"/>
        <v>1</v>
      </c>
    </row>
    <row r="553" spans="1:7" x14ac:dyDescent="0.2">
      <c r="A553" s="207"/>
      <c r="B553" s="212" t="s">
        <v>158</v>
      </c>
      <c r="C553" s="376">
        <f t="shared" ref="C553:D553" si="147">SUM(C518+C482)</f>
        <v>7299</v>
      </c>
      <c r="D553" s="376">
        <f t="shared" si="147"/>
        <v>7299</v>
      </c>
      <c r="E553" s="376">
        <f t="shared" ref="E553:F553" si="148">SUM(E518+E482)</f>
        <v>7299</v>
      </c>
      <c r="F553" s="376">
        <f t="shared" si="148"/>
        <v>7299</v>
      </c>
      <c r="G553" s="571">
        <f t="shared" si="140"/>
        <v>1</v>
      </c>
    </row>
    <row r="554" spans="1:7" x14ac:dyDescent="0.2">
      <c r="A554" s="207"/>
      <c r="B554" s="212" t="s">
        <v>159</v>
      </c>
      <c r="C554" s="376"/>
      <c r="D554" s="376"/>
      <c r="E554" s="376"/>
      <c r="F554" s="376"/>
      <c r="G554" s="571"/>
    </row>
    <row r="555" spans="1:7" x14ac:dyDescent="0.2">
      <c r="A555" s="207"/>
      <c r="B555" s="213" t="s">
        <v>160</v>
      </c>
      <c r="C555" s="370"/>
      <c r="D555" s="370"/>
      <c r="E555" s="370"/>
      <c r="F555" s="370"/>
      <c r="G555" s="571"/>
    </row>
    <row r="556" spans="1:7" x14ac:dyDescent="0.2">
      <c r="A556" s="207"/>
      <c r="B556" s="213" t="s">
        <v>161</v>
      </c>
      <c r="C556" s="370">
        <f t="shared" ref="C556:D556" si="149">SUM(C521+C485)</f>
        <v>61842</v>
      </c>
      <c r="D556" s="370">
        <f t="shared" si="149"/>
        <v>61842</v>
      </c>
      <c r="E556" s="370">
        <f t="shared" ref="E556:F556" si="150">SUM(E521+E485)</f>
        <v>61842</v>
      </c>
      <c r="F556" s="370">
        <f t="shared" si="150"/>
        <v>63641</v>
      </c>
      <c r="G556" s="571">
        <f t="shared" si="140"/>
        <v>1.0290902622812974</v>
      </c>
    </row>
    <row r="557" spans="1:7" x14ac:dyDescent="0.2">
      <c r="A557" s="207"/>
      <c r="B557" s="213" t="s">
        <v>162</v>
      </c>
      <c r="C557" s="370">
        <f t="shared" ref="C557:D557" si="151">SUM(C522+C486)</f>
        <v>16077</v>
      </c>
      <c r="D557" s="370">
        <f t="shared" si="151"/>
        <v>16077</v>
      </c>
      <c r="E557" s="370">
        <f t="shared" ref="E557:F557" si="152">SUM(E522+E486)</f>
        <v>16077</v>
      </c>
      <c r="F557" s="370">
        <f t="shared" si="152"/>
        <v>15780</v>
      </c>
      <c r="G557" s="571">
        <f t="shared" si="140"/>
        <v>0.98152640417988435</v>
      </c>
    </row>
    <row r="558" spans="1:7" x14ac:dyDescent="0.2">
      <c r="A558" s="207"/>
      <c r="B558" s="213" t="s">
        <v>299</v>
      </c>
      <c r="C558" s="370">
        <f t="shared" ref="C558:D558" si="153">SUM(C487+C523)</f>
        <v>9000</v>
      </c>
      <c r="D558" s="370">
        <f t="shared" si="153"/>
        <v>9000</v>
      </c>
      <c r="E558" s="370">
        <f t="shared" ref="E558:F558" si="154">SUM(E487+E523)</f>
        <v>9000</v>
      </c>
      <c r="F558" s="370">
        <f t="shared" si="154"/>
        <v>14733</v>
      </c>
      <c r="G558" s="571">
        <f t="shared" si="140"/>
        <v>1.637</v>
      </c>
    </row>
    <row r="559" spans="1:7" x14ac:dyDescent="0.2">
      <c r="A559" s="207"/>
      <c r="B559" s="214" t="s">
        <v>381</v>
      </c>
      <c r="C559" s="370">
        <f t="shared" ref="C559:D559" si="155">SUM(C524+C488)</f>
        <v>0</v>
      </c>
      <c r="D559" s="370">
        <f t="shared" si="155"/>
        <v>0</v>
      </c>
      <c r="E559" s="370">
        <f t="shared" ref="E559:F559" si="156">SUM(E524+E488)</f>
        <v>0</v>
      </c>
      <c r="F559" s="370">
        <f t="shared" si="156"/>
        <v>0</v>
      </c>
      <c r="G559" s="571"/>
    </row>
    <row r="560" spans="1:7" ht="13.5" thickBot="1" x14ac:dyDescent="0.25">
      <c r="A560" s="207"/>
      <c r="B560" s="215" t="s">
        <v>163</v>
      </c>
      <c r="C560" s="370">
        <f t="shared" ref="C560:D560" si="157">SUM(C525+C489)</f>
        <v>0</v>
      </c>
      <c r="D560" s="370">
        <f t="shared" si="157"/>
        <v>0</v>
      </c>
      <c r="E560" s="370">
        <f t="shared" ref="E560:F560" si="158">SUM(E525+E489)</f>
        <v>0</v>
      </c>
      <c r="F560" s="370">
        <f t="shared" si="158"/>
        <v>1001</v>
      </c>
      <c r="G560" s="593"/>
    </row>
    <row r="561" spans="1:7" ht="13.5" thickBot="1" x14ac:dyDescent="0.25">
      <c r="A561" s="207"/>
      <c r="B561" s="216" t="s">
        <v>295</v>
      </c>
      <c r="C561" s="372">
        <f t="shared" ref="C561:D561" si="159">SUM(C552+C555+C556+C557+C560+C558)</f>
        <v>94218</v>
      </c>
      <c r="D561" s="372">
        <f t="shared" si="159"/>
        <v>94218</v>
      </c>
      <c r="E561" s="372">
        <f t="shared" ref="E561:F561" si="160">SUM(E552+E555+E556+E557+E560+E558)</f>
        <v>94218</v>
      </c>
      <c r="F561" s="372">
        <f t="shared" si="160"/>
        <v>102454</v>
      </c>
      <c r="G561" s="1117">
        <f t="shared" si="140"/>
        <v>1.0874142945084804</v>
      </c>
    </row>
    <row r="562" spans="1:7" ht="13.5" thickBot="1" x14ac:dyDescent="0.25">
      <c r="A562" s="207"/>
      <c r="B562" s="768" t="s">
        <v>191</v>
      </c>
      <c r="C562" s="372"/>
      <c r="D562" s="372"/>
      <c r="E562" s="377">
        <f>E491+E527</f>
        <v>6119</v>
      </c>
      <c r="F562" s="377">
        <f>F491+F527</f>
        <v>6119</v>
      </c>
      <c r="G562" s="593">
        <f t="shared" si="140"/>
        <v>1</v>
      </c>
    </row>
    <row r="563" spans="1:7" ht="13.5" thickBot="1" x14ac:dyDescent="0.25">
      <c r="A563" s="207"/>
      <c r="B563" s="218" t="s">
        <v>49</v>
      </c>
      <c r="C563" s="590">
        <f t="shared" ref="C563:D563" si="161">SUM(C561+C551)</f>
        <v>94218</v>
      </c>
      <c r="D563" s="590">
        <f t="shared" si="161"/>
        <v>94218</v>
      </c>
      <c r="E563" s="583">
        <f>SUM(E561+E551)+E562</f>
        <v>100337</v>
      </c>
      <c r="F563" s="583">
        <f>SUM(F561+F551)+F562</f>
        <v>109073</v>
      </c>
      <c r="G563" s="1117">
        <f t="shared" si="140"/>
        <v>1.087066585606506</v>
      </c>
    </row>
    <row r="564" spans="1:7" ht="13.5" thickBot="1" x14ac:dyDescent="0.25">
      <c r="A564" s="207"/>
      <c r="B564" s="215" t="s">
        <v>200</v>
      </c>
      <c r="C564" s="381">
        <f>C529</f>
        <v>0</v>
      </c>
      <c r="D564" s="381">
        <f>D529</f>
        <v>0</v>
      </c>
      <c r="E564" s="378">
        <f>E529</f>
        <v>0</v>
      </c>
      <c r="F564" s="378">
        <f>F529</f>
        <v>0</v>
      </c>
      <c r="G564" s="593"/>
    </row>
    <row r="565" spans="1:7" ht="13.5" thickBot="1" x14ac:dyDescent="0.25">
      <c r="A565" s="207"/>
      <c r="B565" s="219" t="s">
        <v>50</v>
      </c>
      <c r="C565" s="387">
        <f>C564</f>
        <v>0</v>
      </c>
      <c r="D565" s="387">
        <f>D564</f>
        <v>0</v>
      </c>
      <c r="E565" s="379">
        <f>E564</f>
        <v>0</v>
      </c>
      <c r="F565" s="379">
        <f>F564</f>
        <v>0</v>
      </c>
      <c r="G565" s="593"/>
    </row>
    <row r="566" spans="1:7" x14ac:dyDescent="0.2">
      <c r="A566" s="207"/>
      <c r="B566" s="325" t="s">
        <v>357</v>
      </c>
      <c r="C566" s="380">
        <f t="shared" ref="C566:D566" si="162">SUM(C531+C494)</f>
        <v>0</v>
      </c>
      <c r="D566" s="380">
        <f t="shared" si="162"/>
        <v>16480</v>
      </c>
      <c r="E566" s="380">
        <f t="shared" ref="E566:F566" si="163">SUM(E531+E494)</f>
        <v>16480</v>
      </c>
      <c r="F566" s="380">
        <f t="shared" si="163"/>
        <v>16480</v>
      </c>
      <c r="G566" s="867">
        <f t="shared" si="140"/>
        <v>1</v>
      </c>
    </row>
    <row r="567" spans="1:7" x14ac:dyDescent="0.2">
      <c r="A567" s="207"/>
      <c r="B567" s="110" t="s">
        <v>988</v>
      </c>
      <c r="C567" s="380">
        <f>SUM(C495)</f>
        <v>0</v>
      </c>
      <c r="D567" s="380">
        <f>SUM(D495)</f>
        <v>0</v>
      </c>
      <c r="E567" s="380">
        <f>SUM(E495)</f>
        <v>0</v>
      </c>
      <c r="F567" s="380">
        <f>SUM(F495)</f>
        <v>0</v>
      </c>
      <c r="G567" s="571"/>
    </row>
    <row r="568" spans="1:7" x14ac:dyDescent="0.2">
      <c r="A568" s="207"/>
      <c r="B568" s="110" t="s">
        <v>385</v>
      </c>
      <c r="C568" s="370">
        <f t="shared" ref="C568:D568" si="164">SUM(C532+C496)</f>
        <v>2166903</v>
      </c>
      <c r="D568" s="370">
        <f t="shared" si="164"/>
        <v>2289036</v>
      </c>
      <c r="E568" s="370">
        <f t="shared" ref="E568:F568" si="165">SUM(E532+E496)</f>
        <v>2370530</v>
      </c>
      <c r="F568" s="370">
        <f t="shared" si="165"/>
        <v>2454647</v>
      </c>
      <c r="G568" s="571">
        <f t="shared" si="140"/>
        <v>1.0354844697177426</v>
      </c>
    </row>
    <row r="569" spans="1:7" ht="13.5" thickBot="1" x14ac:dyDescent="0.25">
      <c r="A569" s="207"/>
      <c r="B569" s="128" t="s">
        <v>388</v>
      </c>
      <c r="C569" s="371">
        <f t="shared" ref="C569:D569" si="166">SUM(C497)</f>
        <v>38688</v>
      </c>
      <c r="D569" s="371">
        <f t="shared" si="166"/>
        <v>38688</v>
      </c>
      <c r="E569" s="371">
        <f t="shared" ref="E569:F569" si="167">SUM(E497)</f>
        <v>38688</v>
      </c>
      <c r="F569" s="371">
        <f t="shared" si="167"/>
        <v>38688</v>
      </c>
      <c r="G569" s="593">
        <f t="shared" si="140"/>
        <v>1</v>
      </c>
    </row>
    <row r="570" spans="1:7" ht="13.5" thickBot="1" x14ac:dyDescent="0.25">
      <c r="A570" s="207"/>
      <c r="B570" s="220" t="s">
        <v>43</v>
      </c>
      <c r="C570" s="379">
        <f t="shared" ref="C570:D570" si="168">SUM(C566:C569)</f>
        <v>2205591</v>
      </c>
      <c r="D570" s="379">
        <f t="shared" si="168"/>
        <v>2344204</v>
      </c>
      <c r="E570" s="379">
        <f t="shared" ref="E570:F570" si="169">SUM(E566:E569)</f>
        <v>2425698</v>
      </c>
      <c r="F570" s="379">
        <f t="shared" si="169"/>
        <v>2509815</v>
      </c>
      <c r="G570" s="1117">
        <f t="shared" si="140"/>
        <v>1.034677441297309</v>
      </c>
    </row>
    <row r="571" spans="1:7" ht="13.5" thickBot="1" x14ac:dyDescent="0.25">
      <c r="A571" s="207"/>
      <c r="B571" s="190" t="s">
        <v>357</v>
      </c>
      <c r="C571" s="378">
        <f>SUM(C534)+C499</f>
        <v>0</v>
      </c>
      <c r="D571" s="378">
        <f>SUM(D534)+D499</f>
        <v>0</v>
      </c>
      <c r="E571" s="378">
        <f>SUM(E534)+E499</f>
        <v>0</v>
      </c>
      <c r="F571" s="378">
        <f>SUM(F534)+F499</f>
        <v>0</v>
      </c>
      <c r="G571" s="593"/>
    </row>
    <row r="572" spans="1:7" ht="13.5" thickBot="1" x14ac:dyDescent="0.25">
      <c r="A572" s="207"/>
      <c r="B572" s="220" t="s">
        <v>45</v>
      </c>
      <c r="C572" s="379">
        <f t="shared" ref="C572:D572" si="170">SUM(C571)</f>
        <v>0</v>
      </c>
      <c r="D572" s="379">
        <f t="shared" si="170"/>
        <v>0</v>
      </c>
      <c r="E572" s="379">
        <f t="shared" ref="E572:F572" si="171">SUM(E571)</f>
        <v>0</v>
      </c>
      <c r="F572" s="379">
        <f t="shared" si="171"/>
        <v>0</v>
      </c>
      <c r="G572" s="593"/>
    </row>
    <row r="573" spans="1:7" ht="15.75" thickBot="1" x14ac:dyDescent="0.3">
      <c r="A573" s="207"/>
      <c r="B573" s="222" t="s">
        <v>54</v>
      </c>
      <c r="C573" s="372">
        <f t="shared" ref="C573:D573" si="172">SUM(C563+C565+C570+C572)</f>
        <v>2299809</v>
      </c>
      <c r="D573" s="372">
        <f t="shared" si="172"/>
        <v>2438422</v>
      </c>
      <c r="E573" s="377">
        <f>SUM(E563+E565+E570+E572)</f>
        <v>2526035</v>
      </c>
      <c r="F573" s="377">
        <f>SUM(F563+F565+F570+F572)</f>
        <v>2618888</v>
      </c>
      <c r="G573" s="1117">
        <f t="shared" si="140"/>
        <v>1.0367583980427824</v>
      </c>
    </row>
    <row r="574" spans="1:7" x14ac:dyDescent="0.2">
      <c r="A574" s="207"/>
      <c r="B574" s="223" t="s">
        <v>276</v>
      </c>
      <c r="C574" s="370">
        <f t="shared" ref="C574:D574" si="173">SUM(C537+C502)</f>
        <v>1641686</v>
      </c>
      <c r="D574" s="370">
        <f t="shared" si="173"/>
        <v>1718965</v>
      </c>
      <c r="E574" s="370">
        <f t="shared" ref="E574:F574" si="174">SUM(E537+E502)</f>
        <v>1790991</v>
      </c>
      <c r="F574" s="370">
        <f t="shared" si="174"/>
        <v>1866081</v>
      </c>
      <c r="G574" s="867">
        <f t="shared" si="140"/>
        <v>1.041926508843428</v>
      </c>
    </row>
    <row r="575" spans="1:7" x14ac:dyDescent="0.2">
      <c r="A575" s="207"/>
      <c r="B575" s="223" t="s">
        <v>277</v>
      </c>
      <c r="C575" s="370">
        <f t="shared" ref="C575:D575" si="175">SUM(C538+C503)</f>
        <v>254958</v>
      </c>
      <c r="D575" s="370">
        <f t="shared" si="175"/>
        <v>266111</v>
      </c>
      <c r="E575" s="370">
        <f t="shared" ref="E575:F575" si="176">SUM(E538+E503)</f>
        <v>275266</v>
      </c>
      <c r="F575" s="370">
        <f t="shared" si="176"/>
        <v>284293</v>
      </c>
      <c r="G575" s="571">
        <f t="shared" si="140"/>
        <v>1.0327937340608719</v>
      </c>
    </row>
    <row r="576" spans="1:7" x14ac:dyDescent="0.2">
      <c r="A576" s="207"/>
      <c r="B576" s="223" t="s">
        <v>278</v>
      </c>
      <c r="C576" s="370">
        <f t="shared" ref="C576:D576" si="177">SUM(C539+C504)</f>
        <v>385628</v>
      </c>
      <c r="D576" s="370">
        <f t="shared" si="177"/>
        <v>434009</v>
      </c>
      <c r="E576" s="370">
        <f t="shared" ref="E576:F576" si="178">SUM(E539+E504)</f>
        <v>440441</v>
      </c>
      <c r="F576" s="370">
        <f t="shared" si="178"/>
        <v>449177</v>
      </c>
      <c r="G576" s="571">
        <f t="shared" si="140"/>
        <v>1.0198346657100497</v>
      </c>
    </row>
    <row r="577" spans="1:7" x14ac:dyDescent="0.2">
      <c r="A577" s="207"/>
      <c r="B577" s="224" t="s">
        <v>280</v>
      </c>
      <c r="C577" s="370">
        <f t="shared" ref="C577:D577" si="179">SUM(C540+C505)</f>
        <v>345</v>
      </c>
      <c r="D577" s="370">
        <f t="shared" si="179"/>
        <v>345</v>
      </c>
      <c r="E577" s="370">
        <f t="shared" ref="E577:F577" si="180">SUM(E540+E505)</f>
        <v>345</v>
      </c>
      <c r="F577" s="370">
        <f t="shared" si="180"/>
        <v>345</v>
      </c>
      <c r="G577" s="571">
        <f t="shared" si="140"/>
        <v>1</v>
      </c>
    </row>
    <row r="578" spans="1:7" ht="13.5" thickBot="1" x14ac:dyDescent="0.25">
      <c r="A578" s="207"/>
      <c r="B578" s="225" t="s">
        <v>279</v>
      </c>
      <c r="C578" s="370">
        <f t="shared" ref="C578:D578" si="181">SUM(C541+C506)</f>
        <v>0</v>
      </c>
      <c r="D578" s="370">
        <f t="shared" si="181"/>
        <v>0</v>
      </c>
      <c r="E578" s="370">
        <f t="shared" ref="E578:F578" si="182">SUM(E541+E506)</f>
        <v>0</v>
      </c>
      <c r="F578" s="370">
        <f t="shared" si="182"/>
        <v>0</v>
      </c>
      <c r="G578" s="593"/>
    </row>
    <row r="579" spans="1:7" ht="13.5" thickBot="1" x14ac:dyDescent="0.25">
      <c r="A579" s="207"/>
      <c r="B579" s="226" t="s">
        <v>42</v>
      </c>
      <c r="C579" s="372">
        <f t="shared" ref="C579:D579" si="183">SUM(C574:C578)</f>
        <v>2282617</v>
      </c>
      <c r="D579" s="372">
        <f t="shared" si="183"/>
        <v>2419430</v>
      </c>
      <c r="E579" s="372">
        <f t="shared" ref="E579:F579" si="184">SUM(E574:E578)</f>
        <v>2507043</v>
      </c>
      <c r="F579" s="372">
        <f t="shared" si="184"/>
        <v>2599896</v>
      </c>
      <c r="G579" s="1117">
        <f t="shared" si="140"/>
        <v>1.0370368597586879</v>
      </c>
    </row>
    <row r="580" spans="1:7" x14ac:dyDescent="0.2">
      <c r="A580" s="207"/>
      <c r="B580" s="223" t="s">
        <v>210</v>
      </c>
      <c r="C580" s="370">
        <f t="shared" ref="C580:D580" si="185">SUM(C543+C508)</f>
        <v>17192</v>
      </c>
      <c r="D580" s="370">
        <f t="shared" si="185"/>
        <v>18992</v>
      </c>
      <c r="E580" s="370">
        <f t="shared" ref="E580:F580" si="186">SUM(E543+E508)</f>
        <v>18992</v>
      </c>
      <c r="F580" s="370">
        <f t="shared" si="186"/>
        <v>18992</v>
      </c>
      <c r="G580" s="867">
        <f t="shared" si="140"/>
        <v>1</v>
      </c>
    </row>
    <row r="581" spans="1:7" x14ac:dyDescent="0.2">
      <c r="A581" s="207"/>
      <c r="B581" s="223" t="s">
        <v>211</v>
      </c>
      <c r="C581" s="370">
        <f t="shared" ref="C581:D581" si="187">SUM(C544)</f>
        <v>0</v>
      </c>
      <c r="D581" s="370">
        <f t="shared" si="187"/>
        <v>0</v>
      </c>
      <c r="E581" s="370">
        <f t="shared" ref="E581:F581" si="188">SUM(E544)</f>
        <v>0</v>
      </c>
      <c r="F581" s="370">
        <f t="shared" si="188"/>
        <v>0</v>
      </c>
      <c r="G581" s="571"/>
    </row>
    <row r="582" spans="1:7" ht="13.5" thickBot="1" x14ac:dyDescent="0.25">
      <c r="A582" s="207"/>
      <c r="B582" s="225" t="s">
        <v>366</v>
      </c>
      <c r="C582" s="371"/>
      <c r="D582" s="371"/>
      <c r="E582" s="371"/>
      <c r="F582" s="371"/>
      <c r="G582" s="593"/>
    </row>
    <row r="583" spans="1:7" ht="13.5" thickBot="1" x14ac:dyDescent="0.25">
      <c r="A583" s="207"/>
      <c r="B583" s="227" t="s">
        <v>48</v>
      </c>
      <c r="C583" s="372">
        <f t="shared" ref="C583:D583" si="189">SUM(C580:C582)</f>
        <v>17192</v>
      </c>
      <c r="D583" s="372">
        <f t="shared" si="189"/>
        <v>18992</v>
      </c>
      <c r="E583" s="377">
        <f t="shared" ref="E583:F583" si="190">SUM(E580:E582)</f>
        <v>18992</v>
      </c>
      <c r="F583" s="377">
        <f t="shared" si="190"/>
        <v>18992</v>
      </c>
      <c r="G583" s="1117">
        <f t="shared" si="140"/>
        <v>1</v>
      </c>
    </row>
    <row r="584" spans="1:7" ht="15.75" thickBot="1" x14ac:dyDescent="0.3">
      <c r="A584" s="204"/>
      <c r="B584" s="228" t="s">
        <v>89</v>
      </c>
      <c r="C584" s="377">
        <f t="shared" ref="C584:D584" si="191">SUM(C579+C583)</f>
        <v>2299809</v>
      </c>
      <c r="D584" s="377">
        <f t="shared" si="191"/>
        <v>2438422</v>
      </c>
      <c r="E584" s="377">
        <f t="shared" ref="E584:F584" si="192">SUM(E579+E583)</f>
        <v>2526035</v>
      </c>
      <c r="F584" s="377">
        <f t="shared" si="192"/>
        <v>2618888</v>
      </c>
      <c r="G584" s="1117">
        <f t="shared" si="140"/>
        <v>1.0367583980427824</v>
      </c>
    </row>
    <row r="585" spans="1:7" ht="15" x14ac:dyDescent="0.25">
      <c r="A585" s="170">
        <v>2985</v>
      </c>
      <c r="B585" s="834" t="s">
        <v>291</v>
      </c>
      <c r="C585" s="373"/>
      <c r="D585" s="373"/>
      <c r="E585" s="373"/>
      <c r="F585" s="373"/>
      <c r="G585" s="867"/>
    </row>
    <row r="586" spans="1:7" ht="12.6" customHeight="1" x14ac:dyDescent="0.2">
      <c r="A586" s="207"/>
      <c r="B586" s="208" t="s">
        <v>154</v>
      </c>
      <c r="C586" s="785"/>
      <c r="D586" s="785"/>
      <c r="E586" s="785"/>
      <c r="F586" s="785"/>
      <c r="G586" s="571"/>
    </row>
    <row r="587" spans="1:7" ht="13.5" thickBot="1" x14ac:dyDescent="0.25">
      <c r="A587" s="207"/>
      <c r="B587" s="209" t="s">
        <v>155</v>
      </c>
      <c r="C587" s="382"/>
      <c r="D587" s="382"/>
      <c r="E587" s="384">
        <v>500</v>
      </c>
      <c r="F587" s="384">
        <f>500+2700</f>
        <v>3200</v>
      </c>
      <c r="G587" s="593">
        <f t="shared" si="140"/>
        <v>6.4</v>
      </c>
    </row>
    <row r="588" spans="1:7" ht="13.5" thickBot="1" x14ac:dyDescent="0.25">
      <c r="A588" s="207"/>
      <c r="B588" s="210" t="s">
        <v>167</v>
      </c>
      <c r="C588" s="782"/>
      <c r="D588" s="782"/>
      <c r="E588" s="1124">
        <v>500</v>
      </c>
      <c r="F588" s="1124">
        <f>F587</f>
        <v>3200</v>
      </c>
      <c r="G588" s="593">
        <f t="shared" si="140"/>
        <v>6.4</v>
      </c>
    </row>
    <row r="589" spans="1:7" x14ac:dyDescent="0.2">
      <c r="A589" s="207"/>
      <c r="B589" s="208" t="s">
        <v>339</v>
      </c>
      <c r="C589" s="370"/>
      <c r="D589" s="370"/>
      <c r="E589" s="370"/>
      <c r="F589" s="370">
        <v>21</v>
      </c>
      <c r="G589" s="867"/>
    </row>
    <row r="590" spans="1:7" x14ac:dyDescent="0.2">
      <c r="A590" s="207"/>
      <c r="B590" s="208" t="s">
        <v>157</v>
      </c>
      <c r="C590" s="370">
        <v>18377</v>
      </c>
      <c r="D590" s="370">
        <f>D591</f>
        <v>24676</v>
      </c>
      <c r="E590" s="370">
        <f>E591</f>
        <v>24676</v>
      </c>
      <c r="F590" s="370">
        <f>F591</f>
        <v>26026</v>
      </c>
      <c r="G590" s="571">
        <f t="shared" si="140"/>
        <v>1.0547090290160479</v>
      </c>
    </row>
    <row r="591" spans="1:7" x14ac:dyDescent="0.2">
      <c r="A591" s="207"/>
      <c r="B591" s="212" t="s">
        <v>158</v>
      </c>
      <c r="C591" s="376">
        <v>18377</v>
      </c>
      <c r="D591" s="376">
        <f>18377+6299</f>
        <v>24676</v>
      </c>
      <c r="E591" s="376">
        <f>18377+6299</f>
        <v>24676</v>
      </c>
      <c r="F591" s="376">
        <f>24676+1350</f>
        <v>26026</v>
      </c>
      <c r="G591" s="571">
        <f t="shared" si="140"/>
        <v>1.0547090290160479</v>
      </c>
    </row>
    <row r="592" spans="1:7" x14ac:dyDescent="0.2">
      <c r="A592" s="207"/>
      <c r="B592" s="212" t="s">
        <v>159</v>
      </c>
      <c r="C592" s="376"/>
      <c r="D592" s="376"/>
      <c r="E592" s="376"/>
      <c r="F592" s="376"/>
      <c r="G592" s="571"/>
    </row>
    <row r="593" spans="1:7" x14ac:dyDescent="0.2">
      <c r="A593" s="207"/>
      <c r="B593" s="213" t="s">
        <v>160</v>
      </c>
      <c r="C593" s="370"/>
      <c r="D593" s="370"/>
      <c r="E593" s="370"/>
      <c r="F593" s="370">
        <v>984</v>
      </c>
      <c r="G593" s="571"/>
    </row>
    <row r="594" spans="1:7" x14ac:dyDescent="0.2">
      <c r="A594" s="207"/>
      <c r="B594" s="213" t="s">
        <v>161</v>
      </c>
      <c r="C594" s="370"/>
      <c r="D594" s="370"/>
      <c r="E594" s="370"/>
      <c r="F594" s="370"/>
      <c r="G594" s="571"/>
    </row>
    <row r="595" spans="1:7" x14ac:dyDescent="0.2">
      <c r="A595" s="207"/>
      <c r="B595" s="213" t="s">
        <v>162</v>
      </c>
      <c r="C595" s="370">
        <v>4692</v>
      </c>
      <c r="D595" s="370">
        <f>4692+1701</f>
        <v>6393</v>
      </c>
      <c r="E595" s="370">
        <f>4692+1701</f>
        <v>6393</v>
      </c>
      <c r="F595" s="370">
        <f>6393+901</f>
        <v>7294</v>
      </c>
      <c r="G595" s="571">
        <f t="shared" si="140"/>
        <v>1.1409353980916628</v>
      </c>
    </row>
    <row r="596" spans="1:7" x14ac:dyDescent="0.2">
      <c r="A596" s="207"/>
      <c r="B596" s="213" t="s">
        <v>299</v>
      </c>
      <c r="C596" s="370"/>
      <c r="D596" s="370"/>
      <c r="E596" s="370"/>
      <c r="F596" s="370"/>
      <c r="G596" s="571"/>
    </row>
    <row r="597" spans="1:7" x14ac:dyDescent="0.2">
      <c r="A597" s="207"/>
      <c r="B597" s="214" t="s">
        <v>381</v>
      </c>
      <c r="C597" s="370"/>
      <c r="D597" s="370"/>
      <c r="E597" s="370"/>
      <c r="F597" s="370"/>
      <c r="G597" s="571"/>
    </row>
    <row r="598" spans="1:7" ht="13.5" thickBot="1" x14ac:dyDescent="0.25">
      <c r="A598" s="207"/>
      <c r="B598" s="215" t="s">
        <v>163</v>
      </c>
      <c r="C598" s="370"/>
      <c r="D598" s="370"/>
      <c r="E598" s="370"/>
      <c r="F598" s="370">
        <v>43</v>
      </c>
      <c r="G598" s="593"/>
    </row>
    <row r="599" spans="1:7" ht="13.5" thickBot="1" x14ac:dyDescent="0.25">
      <c r="A599" s="207"/>
      <c r="B599" s="216" t="s">
        <v>295</v>
      </c>
      <c r="C599" s="372">
        <f t="shared" ref="C599:D599" si="193">SUM(C590+C593+C594+C595+C598+C589+C596+C597)</f>
        <v>23069</v>
      </c>
      <c r="D599" s="372">
        <f t="shared" si="193"/>
        <v>31069</v>
      </c>
      <c r="E599" s="372">
        <f t="shared" ref="E599" si="194">SUM(E590+E593+E594+E595+E598+E589+E596+E597)</f>
        <v>31069</v>
      </c>
      <c r="F599" s="372">
        <f>SUM(F590+F593+F594+F595+F598+F589+F596+F597)</f>
        <v>34368</v>
      </c>
      <c r="G599" s="1117">
        <f t="shared" si="140"/>
        <v>1.106183012005536</v>
      </c>
    </row>
    <row r="600" spans="1:7" ht="13.5" thickBot="1" x14ac:dyDescent="0.25">
      <c r="A600" s="207"/>
      <c r="B600" s="317" t="s">
        <v>191</v>
      </c>
      <c r="C600" s="377"/>
      <c r="D600" s="377"/>
      <c r="E600" s="377"/>
      <c r="F600" s="377"/>
      <c r="G600" s="593"/>
    </row>
    <row r="601" spans="1:7" ht="13.5" thickBot="1" x14ac:dyDescent="0.25">
      <c r="A601" s="207"/>
      <c r="B601" s="218" t="s">
        <v>49</v>
      </c>
      <c r="C601" s="590">
        <f t="shared" ref="C601:D601" si="195">SUM(C599+C588+C600)</f>
        <v>23069</v>
      </c>
      <c r="D601" s="590">
        <f t="shared" si="195"/>
        <v>31069</v>
      </c>
      <c r="E601" s="583">
        <f>SUM(E599+E588+E600)</f>
        <v>31569</v>
      </c>
      <c r="F601" s="583">
        <f>SUM(F599+F588+F600)</f>
        <v>37568</v>
      </c>
      <c r="G601" s="1117">
        <f t="shared" si="140"/>
        <v>1.1900281922138807</v>
      </c>
    </row>
    <row r="602" spans="1:7" ht="13.5" thickBot="1" x14ac:dyDescent="0.25">
      <c r="A602" s="207"/>
      <c r="B602" s="112" t="s">
        <v>203</v>
      </c>
      <c r="C602" s="378"/>
      <c r="D602" s="378"/>
      <c r="E602" s="378"/>
      <c r="F602" s="378"/>
      <c r="G602" s="593"/>
    </row>
    <row r="603" spans="1:7" ht="13.5" thickBot="1" x14ac:dyDescent="0.25">
      <c r="A603" s="207"/>
      <c r="B603" s="219" t="s">
        <v>50</v>
      </c>
      <c r="C603" s="379"/>
      <c r="D603" s="379"/>
      <c r="E603" s="379"/>
      <c r="F603" s="379"/>
      <c r="G603" s="593"/>
    </row>
    <row r="604" spans="1:7" x14ac:dyDescent="0.2">
      <c r="A604" s="207"/>
      <c r="B604" s="325" t="s">
        <v>357</v>
      </c>
      <c r="C604" s="380"/>
      <c r="D604" s="380">
        <v>10224</v>
      </c>
      <c r="E604" s="380">
        <v>10224</v>
      </c>
      <c r="F604" s="380">
        <v>10224</v>
      </c>
      <c r="G604" s="867">
        <f t="shared" si="140"/>
        <v>1</v>
      </c>
    </row>
    <row r="605" spans="1:7" ht="13.5" thickBot="1" x14ac:dyDescent="0.25">
      <c r="A605" s="207"/>
      <c r="B605" s="128" t="s">
        <v>385</v>
      </c>
      <c r="C605" s="835">
        <v>348279</v>
      </c>
      <c r="D605" s="835">
        <f>348279+57750-8000+12000</f>
        <v>410029</v>
      </c>
      <c r="E605" s="835">
        <f>348279+57750-8000+12000</f>
        <v>410029</v>
      </c>
      <c r="F605" s="835">
        <f>410029+11097+7645</f>
        <v>428771</v>
      </c>
      <c r="G605" s="593">
        <f t="shared" ref="G605:G667" si="196">F605/E605</f>
        <v>1.0457089620490259</v>
      </c>
    </row>
    <row r="606" spans="1:7" ht="13.5" thickBot="1" x14ac:dyDescent="0.25">
      <c r="A606" s="207"/>
      <c r="B606" s="220" t="s">
        <v>43</v>
      </c>
      <c r="C606" s="379">
        <f t="shared" ref="C606:D606" si="197">SUM(C604:C605)</f>
        <v>348279</v>
      </c>
      <c r="D606" s="379">
        <f t="shared" si="197"/>
        <v>420253</v>
      </c>
      <c r="E606" s="379">
        <f t="shared" ref="E606:F606" si="198">SUM(E604:E605)</f>
        <v>420253</v>
      </c>
      <c r="F606" s="379">
        <f t="shared" si="198"/>
        <v>438995</v>
      </c>
      <c r="G606" s="1117">
        <f t="shared" si="196"/>
        <v>1.0445969451735027</v>
      </c>
    </row>
    <row r="607" spans="1:7" ht="13.5" thickBot="1" x14ac:dyDescent="0.25">
      <c r="A607" s="207"/>
      <c r="B607" s="190" t="s">
        <v>357</v>
      </c>
      <c r="C607" s="378"/>
      <c r="D607" s="378"/>
      <c r="E607" s="378"/>
      <c r="F607" s="378"/>
      <c r="G607" s="593"/>
    </row>
    <row r="608" spans="1:7" ht="13.5" thickBot="1" x14ac:dyDescent="0.25">
      <c r="A608" s="207"/>
      <c r="B608" s="220" t="s">
        <v>45</v>
      </c>
      <c r="C608" s="379"/>
      <c r="D608" s="379"/>
      <c r="E608" s="379"/>
      <c r="F608" s="379"/>
      <c r="G608" s="593"/>
    </row>
    <row r="609" spans="1:7" ht="15.75" thickBot="1" x14ac:dyDescent="0.3">
      <c r="A609" s="207"/>
      <c r="B609" s="222" t="s">
        <v>54</v>
      </c>
      <c r="C609" s="372">
        <f>SUM(C601+C603+C606)+C608</f>
        <v>371348</v>
      </c>
      <c r="D609" s="372">
        <f>SUM(D601+D603+D606)+D608</f>
        <v>451322</v>
      </c>
      <c r="E609" s="377">
        <f>SUM(E601+E603+E606)+E608</f>
        <v>451822</v>
      </c>
      <c r="F609" s="377">
        <f>SUM(F601+F603+F606)+F608</f>
        <v>476563</v>
      </c>
      <c r="G609" s="1117">
        <f t="shared" si="196"/>
        <v>1.0547582897689798</v>
      </c>
    </row>
    <row r="610" spans="1:7" x14ac:dyDescent="0.2">
      <c r="A610" s="207"/>
      <c r="B610" s="223" t="s">
        <v>276</v>
      </c>
      <c r="C610" s="370">
        <v>165973</v>
      </c>
      <c r="D610" s="370">
        <f>165973+4430</f>
        <v>170403</v>
      </c>
      <c r="E610" s="370">
        <f>170403+355</f>
        <v>170758</v>
      </c>
      <c r="F610" s="370">
        <f>170758+10590+354</f>
        <v>181702</v>
      </c>
      <c r="G610" s="867">
        <f t="shared" si="196"/>
        <v>1.0640907014605465</v>
      </c>
    </row>
    <row r="611" spans="1:7" x14ac:dyDescent="0.2">
      <c r="A611" s="207"/>
      <c r="B611" s="223" t="s">
        <v>277</v>
      </c>
      <c r="C611" s="370">
        <v>22289</v>
      </c>
      <c r="D611" s="370">
        <f>22289+2487</f>
        <v>24776</v>
      </c>
      <c r="E611" s="370">
        <f>24776+46</f>
        <v>24822</v>
      </c>
      <c r="F611" s="370">
        <f>24822+507+46</f>
        <v>25375</v>
      </c>
      <c r="G611" s="571">
        <f t="shared" si="196"/>
        <v>1.0222786238014665</v>
      </c>
    </row>
    <row r="612" spans="1:7" x14ac:dyDescent="0.2">
      <c r="A612" s="207"/>
      <c r="B612" s="223" t="s">
        <v>278</v>
      </c>
      <c r="C612" s="370">
        <v>167276</v>
      </c>
      <c r="D612" s="370">
        <f>167276+3307+57750-3304+12000</f>
        <v>237029</v>
      </c>
      <c r="E612" s="370">
        <f>167276+3307+57750-3304+12000</f>
        <v>237029</v>
      </c>
      <c r="F612" s="370">
        <f>237029+13244</f>
        <v>250273</v>
      </c>
      <c r="G612" s="571">
        <f t="shared" si="196"/>
        <v>1.0558750195123803</v>
      </c>
    </row>
    <row r="613" spans="1:7" x14ac:dyDescent="0.2">
      <c r="A613" s="207"/>
      <c r="B613" s="223" t="s">
        <v>280</v>
      </c>
      <c r="C613" s="370"/>
      <c r="D613" s="370"/>
      <c r="E613" s="370"/>
      <c r="F613" s="370"/>
      <c r="G613" s="571"/>
    </row>
    <row r="614" spans="1:7" ht="13.5" thickBot="1" x14ac:dyDescent="0.25">
      <c r="A614" s="207"/>
      <c r="B614" s="296" t="s">
        <v>279</v>
      </c>
      <c r="C614" s="371"/>
      <c r="D614" s="371">
        <v>3304</v>
      </c>
      <c r="E614" s="371">
        <f>3304+99</f>
        <v>3403</v>
      </c>
      <c r="F614" s="371">
        <f>3304+99</f>
        <v>3403</v>
      </c>
      <c r="G614" s="593">
        <f t="shared" si="196"/>
        <v>1</v>
      </c>
    </row>
    <row r="615" spans="1:7" x14ac:dyDescent="0.2">
      <c r="A615" s="295"/>
      <c r="B615" s="334" t="s">
        <v>42</v>
      </c>
      <c r="C615" s="390">
        <f t="shared" ref="C615:D615" si="199">SUM(C610:C614)</f>
        <v>355538</v>
      </c>
      <c r="D615" s="390">
        <f t="shared" si="199"/>
        <v>435512</v>
      </c>
      <c r="E615" s="390">
        <f t="shared" ref="E615:F615" si="200">SUM(E610:E614)</f>
        <v>436012</v>
      </c>
      <c r="F615" s="390">
        <f t="shared" si="200"/>
        <v>460753</v>
      </c>
      <c r="G615" s="1059">
        <f t="shared" si="196"/>
        <v>1.0567438510866674</v>
      </c>
    </row>
    <row r="616" spans="1:7" x14ac:dyDescent="0.2">
      <c r="A616" s="207"/>
      <c r="B616" s="786" t="s">
        <v>12</v>
      </c>
      <c r="C616" s="787">
        <v>70000</v>
      </c>
      <c r="D616" s="787">
        <f>70000+12000</f>
        <v>82000</v>
      </c>
      <c r="E616" s="787">
        <f>82000+34875</f>
        <v>116875</v>
      </c>
      <c r="F616" s="787">
        <f>82000+34875</f>
        <v>116875</v>
      </c>
      <c r="G616" s="1119">
        <f t="shared" si="196"/>
        <v>1</v>
      </c>
    </row>
    <row r="617" spans="1:7" x14ac:dyDescent="0.2">
      <c r="A617" s="207"/>
      <c r="B617" s="223" t="s">
        <v>1036</v>
      </c>
      <c r="C617" s="370">
        <v>15810</v>
      </c>
      <c r="D617" s="370">
        <v>15810</v>
      </c>
      <c r="E617" s="370">
        <v>15810</v>
      </c>
      <c r="F617" s="370">
        <v>15810</v>
      </c>
      <c r="G617" s="571">
        <f t="shared" si="196"/>
        <v>1</v>
      </c>
    </row>
    <row r="618" spans="1:7" x14ac:dyDescent="0.2">
      <c r="A618" s="207"/>
      <c r="B618" s="223" t="s">
        <v>211</v>
      </c>
      <c r="C618" s="370"/>
      <c r="D618" s="370"/>
      <c r="E618" s="370"/>
      <c r="F618" s="370"/>
      <c r="G618" s="571"/>
    </row>
    <row r="619" spans="1:7" ht="13.5" thickBot="1" x14ac:dyDescent="0.25">
      <c r="A619" s="207"/>
      <c r="B619" s="225" t="s">
        <v>366</v>
      </c>
      <c r="C619" s="371"/>
      <c r="D619" s="371"/>
      <c r="E619" s="371"/>
      <c r="F619" s="371"/>
      <c r="G619" s="593"/>
    </row>
    <row r="620" spans="1:7" ht="13.5" thickBot="1" x14ac:dyDescent="0.25">
      <c r="A620" s="207"/>
      <c r="B620" s="227" t="s">
        <v>48</v>
      </c>
      <c r="C620" s="372">
        <f t="shared" ref="C620:D620" si="201">SUM(C617:C619)</f>
        <v>15810</v>
      </c>
      <c r="D620" s="372">
        <f t="shared" si="201"/>
        <v>15810</v>
      </c>
      <c r="E620" s="377">
        <f t="shared" ref="E620:F620" si="202">SUM(E617:E619)</f>
        <v>15810</v>
      </c>
      <c r="F620" s="377">
        <f t="shared" si="202"/>
        <v>15810</v>
      </c>
      <c r="G620" s="1117">
        <f t="shared" si="196"/>
        <v>1</v>
      </c>
    </row>
    <row r="621" spans="1:7" ht="15.75" thickBot="1" x14ac:dyDescent="0.3">
      <c r="A621" s="204"/>
      <c r="B621" s="228" t="s">
        <v>89</v>
      </c>
      <c r="C621" s="377">
        <f>SUM(C615+C620)</f>
        <v>371348</v>
      </c>
      <c r="D621" s="377">
        <f>SUM(D615+D620)</f>
        <v>451322</v>
      </c>
      <c r="E621" s="377">
        <f>SUM(E615+E620)</f>
        <v>451822</v>
      </c>
      <c r="F621" s="377">
        <f>SUM(F615+F620)</f>
        <v>476563</v>
      </c>
      <c r="G621" s="1117">
        <f t="shared" si="196"/>
        <v>1.0547582897689798</v>
      </c>
    </row>
    <row r="622" spans="1:7" ht="15" x14ac:dyDescent="0.25">
      <c r="A622" s="170">
        <v>2986</v>
      </c>
      <c r="B622" s="834" t="s">
        <v>337</v>
      </c>
      <c r="C622" s="370"/>
      <c r="D622" s="370"/>
      <c r="E622" s="370"/>
      <c r="F622" s="370"/>
      <c r="G622" s="867"/>
    </row>
    <row r="623" spans="1:7" x14ac:dyDescent="0.2">
      <c r="A623" s="207"/>
      <c r="B623" s="208" t="s">
        <v>154</v>
      </c>
      <c r="C623" s="373"/>
      <c r="D623" s="373"/>
      <c r="E623" s="373"/>
      <c r="F623" s="373"/>
      <c r="G623" s="571"/>
    </row>
    <row r="624" spans="1:7" ht="13.5" thickBot="1" x14ac:dyDescent="0.25">
      <c r="A624" s="207"/>
      <c r="B624" s="209" t="s">
        <v>155</v>
      </c>
      <c r="C624" s="384"/>
      <c r="D624" s="384"/>
      <c r="E624" s="384"/>
      <c r="F624" s="384"/>
      <c r="G624" s="593"/>
    </row>
    <row r="625" spans="1:7" ht="13.5" thickBot="1" x14ac:dyDescent="0.25">
      <c r="A625" s="207"/>
      <c r="B625" s="210" t="s">
        <v>167</v>
      </c>
      <c r="C625" s="382"/>
      <c r="D625" s="382"/>
      <c r="E625" s="382"/>
      <c r="F625" s="382"/>
      <c r="G625" s="593"/>
    </row>
    <row r="626" spans="1:7" x14ac:dyDescent="0.2">
      <c r="A626" s="207"/>
      <c r="B626" s="208" t="s">
        <v>157</v>
      </c>
      <c r="C626" s="370">
        <f>C627+C628</f>
        <v>23000</v>
      </c>
      <c r="D626" s="370">
        <f>D627+D628</f>
        <v>23000</v>
      </c>
      <c r="E626" s="370">
        <f>E627+E628</f>
        <v>23000</v>
      </c>
      <c r="F626" s="370">
        <f>F627+F628</f>
        <v>23699</v>
      </c>
      <c r="G626" s="867">
        <f t="shared" si="196"/>
        <v>1.0303913043478261</v>
      </c>
    </row>
    <row r="627" spans="1:7" x14ac:dyDescent="0.2">
      <c r="A627" s="207"/>
      <c r="B627" s="212" t="s">
        <v>158</v>
      </c>
      <c r="C627" s="376">
        <v>23000</v>
      </c>
      <c r="D627" s="376">
        <v>23000</v>
      </c>
      <c r="E627" s="376">
        <v>23000</v>
      </c>
      <c r="F627" s="376">
        <f>23000+699</f>
        <v>23699</v>
      </c>
      <c r="G627" s="571">
        <f t="shared" si="196"/>
        <v>1.0303913043478261</v>
      </c>
    </row>
    <row r="628" spans="1:7" x14ac:dyDescent="0.2">
      <c r="A628" s="207"/>
      <c r="B628" s="212" t="s">
        <v>159</v>
      </c>
      <c r="C628" s="376"/>
      <c r="D628" s="376"/>
      <c r="E628" s="376"/>
      <c r="F628" s="376"/>
      <c r="G628" s="571"/>
    </row>
    <row r="629" spans="1:7" x14ac:dyDescent="0.2">
      <c r="A629" s="207"/>
      <c r="B629" s="213" t="s">
        <v>160</v>
      </c>
      <c r="C629" s="370"/>
      <c r="D629" s="370"/>
      <c r="E629" s="370"/>
      <c r="F629" s="370"/>
      <c r="G629" s="571"/>
    </row>
    <row r="630" spans="1:7" x14ac:dyDescent="0.2">
      <c r="A630" s="207"/>
      <c r="B630" s="213" t="s">
        <v>161</v>
      </c>
      <c r="C630" s="370"/>
      <c r="D630" s="370"/>
      <c r="E630" s="370"/>
      <c r="F630" s="370"/>
      <c r="G630" s="571"/>
    </row>
    <row r="631" spans="1:7" x14ac:dyDescent="0.2">
      <c r="A631" s="207"/>
      <c r="B631" s="213" t="s">
        <v>162</v>
      </c>
      <c r="C631" s="370">
        <v>6210</v>
      </c>
      <c r="D631" s="370">
        <v>6210</v>
      </c>
      <c r="E631" s="370">
        <v>6210</v>
      </c>
      <c r="F631" s="370">
        <f>6210+189</f>
        <v>6399</v>
      </c>
      <c r="G631" s="571">
        <f t="shared" si="196"/>
        <v>1.0304347826086957</v>
      </c>
    </row>
    <row r="632" spans="1:7" x14ac:dyDescent="0.2">
      <c r="A632" s="207"/>
      <c r="B632" s="213" t="s">
        <v>417</v>
      </c>
      <c r="C632" s="370">
        <v>5000</v>
      </c>
      <c r="D632" s="370">
        <v>5000</v>
      </c>
      <c r="E632" s="370">
        <v>5000</v>
      </c>
      <c r="F632" s="370">
        <f>5000+2211</f>
        <v>7211</v>
      </c>
      <c r="G632" s="571">
        <f t="shared" si="196"/>
        <v>1.4421999999999999</v>
      </c>
    </row>
    <row r="633" spans="1:7" x14ac:dyDescent="0.2">
      <c r="A633" s="207"/>
      <c r="B633" s="214" t="s">
        <v>381</v>
      </c>
      <c r="C633" s="370"/>
      <c r="D633" s="370"/>
      <c r="E633" s="370"/>
      <c r="F633" s="370"/>
      <c r="G633" s="571"/>
    </row>
    <row r="634" spans="1:7" ht="13.5" thickBot="1" x14ac:dyDescent="0.25">
      <c r="A634" s="207"/>
      <c r="B634" s="215" t="s">
        <v>163</v>
      </c>
      <c r="C634" s="370"/>
      <c r="D634" s="370"/>
      <c r="E634" s="370"/>
      <c r="F634" s="370"/>
      <c r="G634" s="593"/>
    </row>
    <row r="635" spans="1:7" ht="13.5" thickBot="1" x14ac:dyDescent="0.25">
      <c r="A635" s="207"/>
      <c r="B635" s="216" t="s">
        <v>295</v>
      </c>
      <c r="C635" s="372">
        <f>SUM(C626+C629+C630+C631+C634+C632+C633)</f>
        <v>34210</v>
      </c>
      <c r="D635" s="372">
        <f>SUM(D626+D629+D630+D631+D634+D632+D633)</f>
        <v>34210</v>
      </c>
      <c r="E635" s="372">
        <f>SUM(E626+E629+E630+E631+E634+E632+E633)</f>
        <v>34210</v>
      </c>
      <c r="F635" s="372">
        <f>SUM(F626+F629+F630+F631+F634+F632+F633)</f>
        <v>37309</v>
      </c>
      <c r="G635" s="1117">
        <f t="shared" si="196"/>
        <v>1.0905875475007307</v>
      </c>
    </row>
    <row r="636" spans="1:7" ht="13.5" thickBot="1" x14ac:dyDescent="0.25">
      <c r="A636" s="207"/>
      <c r="B636" s="317" t="s">
        <v>191</v>
      </c>
      <c r="C636" s="377"/>
      <c r="D636" s="377"/>
      <c r="E636" s="377">
        <v>500</v>
      </c>
      <c r="F636" s="377">
        <v>500</v>
      </c>
      <c r="G636" s="593">
        <f t="shared" si="196"/>
        <v>1</v>
      </c>
    </row>
    <row r="637" spans="1:7" ht="13.5" thickBot="1" x14ac:dyDescent="0.25">
      <c r="A637" s="207"/>
      <c r="B637" s="218" t="s">
        <v>49</v>
      </c>
      <c r="C637" s="590">
        <f t="shared" ref="C637:D637" si="203">SUM(C635+C625+C636)</f>
        <v>34210</v>
      </c>
      <c r="D637" s="590">
        <f t="shared" si="203"/>
        <v>34210</v>
      </c>
      <c r="E637" s="583">
        <f t="shared" ref="E637:F637" si="204">SUM(E635+E625+E636)</f>
        <v>34710</v>
      </c>
      <c r="F637" s="583">
        <f t="shared" si="204"/>
        <v>37809</v>
      </c>
      <c r="G637" s="1117">
        <f t="shared" si="196"/>
        <v>1.0892826274848746</v>
      </c>
    </row>
    <row r="638" spans="1:7" ht="13.5" thickBot="1" x14ac:dyDescent="0.25">
      <c r="A638" s="207"/>
      <c r="B638" s="112" t="s">
        <v>203</v>
      </c>
      <c r="C638" s="378"/>
      <c r="D638" s="378"/>
      <c r="E638" s="378"/>
      <c r="F638" s="378"/>
      <c r="G638" s="593"/>
    </row>
    <row r="639" spans="1:7" ht="13.5" thickBot="1" x14ac:dyDescent="0.25">
      <c r="A639" s="207"/>
      <c r="B639" s="407" t="s">
        <v>445</v>
      </c>
      <c r="C639" s="378"/>
      <c r="D639" s="378"/>
      <c r="E639" s="378"/>
      <c r="F639" s="378"/>
      <c r="G639" s="593"/>
    </row>
    <row r="640" spans="1:7" ht="13.5" thickBot="1" x14ac:dyDescent="0.25">
      <c r="A640" s="207"/>
      <c r="B640" s="219" t="s">
        <v>50</v>
      </c>
      <c r="C640" s="379"/>
      <c r="D640" s="379"/>
      <c r="E640" s="379"/>
      <c r="F640" s="379"/>
      <c r="G640" s="593"/>
    </row>
    <row r="641" spans="1:7" x14ac:dyDescent="0.2">
      <c r="A641" s="207"/>
      <c r="B641" s="325" t="s">
        <v>357</v>
      </c>
      <c r="C641" s="380">
        <v>0</v>
      </c>
      <c r="D641" s="380">
        <v>177</v>
      </c>
      <c r="E641" s="380">
        <v>177</v>
      </c>
      <c r="F641" s="380">
        <v>177</v>
      </c>
      <c r="G641" s="867">
        <f t="shared" si="196"/>
        <v>1</v>
      </c>
    </row>
    <row r="642" spans="1:7" ht="13.5" thickBot="1" x14ac:dyDescent="0.25">
      <c r="A642" s="207"/>
      <c r="B642" s="128" t="s">
        <v>385</v>
      </c>
      <c r="C642" s="371">
        <v>230389</v>
      </c>
      <c r="D642" s="371">
        <f>230389+20380</f>
        <v>250769</v>
      </c>
      <c r="E642" s="371">
        <f>230389+20380</f>
        <v>250769</v>
      </c>
      <c r="F642" s="371">
        <f>230389+20380</f>
        <v>250769</v>
      </c>
      <c r="G642" s="593">
        <f t="shared" si="196"/>
        <v>1</v>
      </c>
    </row>
    <row r="643" spans="1:7" ht="13.5" thickBot="1" x14ac:dyDescent="0.25">
      <c r="A643" s="207"/>
      <c r="B643" s="220" t="s">
        <v>43</v>
      </c>
      <c r="C643" s="379">
        <f t="shared" ref="C643:D643" si="205">SUM(C641:C642)</f>
        <v>230389</v>
      </c>
      <c r="D643" s="379">
        <f t="shared" si="205"/>
        <v>250946</v>
      </c>
      <c r="E643" s="379">
        <f t="shared" ref="E643:F643" si="206">SUM(E641:E642)</f>
        <v>250946</v>
      </c>
      <c r="F643" s="379">
        <f t="shared" si="206"/>
        <v>250946</v>
      </c>
      <c r="G643" s="1117">
        <f t="shared" si="196"/>
        <v>1</v>
      </c>
    </row>
    <row r="644" spans="1:7" ht="13.5" thickBot="1" x14ac:dyDescent="0.25">
      <c r="A644" s="207"/>
      <c r="B644" s="190" t="s">
        <v>357</v>
      </c>
      <c r="C644" s="378"/>
      <c r="D644" s="378"/>
      <c r="E644" s="378"/>
      <c r="F644" s="378"/>
      <c r="G644" s="593"/>
    </row>
    <row r="645" spans="1:7" ht="13.5" thickBot="1" x14ac:dyDescent="0.25">
      <c r="A645" s="207"/>
      <c r="B645" s="220" t="s">
        <v>45</v>
      </c>
      <c r="C645" s="379"/>
      <c r="D645" s="379"/>
      <c r="E645" s="379"/>
      <c r="F645" s="379"/>
      <c r="G645" s="593"/>
    </row>
    <row r="646" spans="1:7" ht="15.75" thickBot="1" x14ac:dyDescent="0.3">
      <c r="A646" s="207"/>
      <c r="B646" s="222" t="s">
        <v>54</v>
      </c>
      <c r="C646" s="372">
        <f>SUM(C637+C640+C643)+C645</f>
        <v>264599</v>
      </c>
      <c r="D646" s="372">
        <f>SUM(D637+D640+D643)+D645</f>
        <v>285156</v>
      </c>
      <c r="E646" s="377">
        <f>SUM(E637+E640+E643)+E645</f>
        <v>285656</v>
      </c>
      <c r="F646" s="377">
        <f>SUM(F637+F640+F643)+F645</f>
        <v>288755</v>
      </c>
      <c r="G646" s="1117">
        <f t="shared" si="196"/>
        <v>1.0108487131374801</v>
      </c>
    </row>
    <row r="647" spans="1:7" x14ac:dyDescent="0.2">
      <c r="A647" s="207"/>
      <c r="B647" s="223" t="s">
        <v>276</v>
      </c>
      <c r="C647" s="370">
        <v>112947</v>
      </c>
      <c r="D647" s="370">
        <f>112947+177+23</f>
        <v>113147</v>
      </c>
      <c r="E647" s="370">
        <f>112947+177+23</f>
        <v>113147</v>
      </c>
      <c r="F647" s="370">
        <f>113147+1497</f>
        <v>114644</v>
      </c>
      <c r="G647" s="867">
        <f t="shared" si="196"/>
        <v>1.0132305761531459</v>
      </c>
    </row>
    <row r="648" spans="1:7" x14ac:dyDescent="0.2">
      <c r="A648" s="207"/>
      <c r="B648" s="223" t="s">
        <v>277</v>
      </c>
      <c r="C648" s="370">
        <v>15246</v>
      </c>
      <c r="D648" s="370">
        <f>15246+159</f>
        <v>15405</v>
      </c>
      <c r="E648" s="370">
        <f>15246+159</f>
        <v>15405</v>
      </c>
      <c r="F648" s="370">
        <f>15405-1497</f>
        <v>13908</v>
      </c>
      <c r="G648" s="571">
        <f t="shared" si="196"/>
        <v>0.90282375851996111</v>
      </c>
    </row>
    <row r="649" spans="1:7" x14ac:dyDescent="0.2">
      <c r="A649" s="207"/>
      <c r="B649" s="223" t="s">
        <v>278</v>
      </c>
      <c r="C649" s="370">
        <v>131406</v>
      </c>
      <c r="D649" s="370">
        <f>131406+20198</f>
        <v>151604</v>
      </c>
      <c r="E649" s="370">
        <f>151604+500</f>
        <v>152104</v>
      </c>
      <c r="F649" s="370">
        <f>152104+3099</f>
        <v>155203</v>
      </c>
      <c r="G649" s="571">
        <f t="shared" si="196"/>
        <v>1.0203742176405617</v>
      </c>
    </row>
    <row r="650" spans="1:7" x14ac:dyDescent="0.2">
      <c r="A650" s="207"/>
      <c r="B650" s="223" t="s">
        <v>280</v>
      </c>
      <c r="C650" s="370"/>
      <c r="D650" s="370"/>
      <c r="E650" s="370"/>
      <c r="F650" s="370"/>
      <c r="G650" s="571"/>
    </row>
    <row r="651" spans="1:7" ht="13.5" thickBot="1" x14ac:dyDescent="0.25">
      <c r="A651" s="207"/>
      <c r="B651" s="296" t="s">
        <v>279</v>
      </c>
      <c r="C651" s="371"/>
      <c r="D651" s="371"/>
      <c r="E651" s="371"/>
      <c r="F651" s="371"/>
      <c r="G651" s="593"/>
    </row>
    <row r="652" spans="1:7" ht="13.5" thickBot="1" x14ac:dyDescent="0.25">
      <c r="A652" s="207"/>
      <c r="B652" s="226" t="s">
        <v>42</v>
      </c>
      <c r="C652" s="372">
        <f t="shared" ref="C652:D652" si="207">SUM(C647:C651)</f>
        <v>259599</v>
      </c>
      <c r="D652" s="372">
        <f t="shared" si="207"/>
        <v>280156</v>
      </c>
      <c r="E652" s="377">
        <f t="shared" ref="E652:F652" si="208">SUM(E647:E651)</f>
        <v>280656</v>
      </c>
      <c r="F652" s="377">
        <f t="shared" si="208"/>
        <v>283755</v>
      </c>
      <c r="G652" s="1117">
        <f t="shared" si="196"/>
        <v>1.0110419873439371</v>
      </c>
    </row>
    <row r="653" spans="1:7" x14ac:dyDescent="0.2">
      <c r="A653" s="207"/>
      <c r="B653" s="223" t="s">
        <v>1036</v>
      </c>
      <c r="C653" s="370">
        <v>5000</v>
      </c>
      <c r="D653" s="370">
        <v>5000</v>
      </c>
      <c r="E653" s="370">
        <v>5000</v>
      </c>
      <c r="F653" s="370">
        <v>5000</v>
      </c>
      <c r="G653" s="867">
        <f t="shared" si="196"/>
        <v>1</v>
      </c>
    </row>
    <row r="654" spans="1:7" x14ac:dyDescent="0.2">
      <c r="A654" s="207"/>
      <c r="B654" s="223" t="s">
        <v>211</v>
      </c>
      <c r="C654" s="370"/>
      <c r="D654" s="370"/>
      <c r="E654" s="370"/>
      <c r="F654" s="370"/>
      <c r="G654" s="571"/>
    </row>
    <row r="655" spans="1:7" ht="13.5" thickBot="1" x14ac:dyDescent="0.25">
      <c r="A655" s="207"/>
      <c r="B655" s="225" t="s">
        <v>366</v>
      </c>
      <c r="C655" s="371"/>
      <c r="D655" s="371"/>
      <c r="E655" s="371"/>
      <c r="F655" s="371"/>
      <c r="G655" s="593"/>
    </row>
    <row r="656" spans="1:7" ht="13.5" thickBot="1" x14ac:dyDescent="0.25">
      <c r="A656" s="207"/>
      <c r="B656" s="227" t="s">
        <v>48</v>
      </c>
      <c r="C656" s="372">
        <f t="shared" ref="C656:D656" si="209">SUM(C653:C655)</f>
        <v>5000</v>
      </c>
      <c r="D656" s="372">
        <f t="shared" si="209"/>
        <v>5000</v>
      </c>
      <c r="E656" s="377">
        <f t="shared" ref="E656:F656" si="210">SUM(E653:E655)</f>
        <v>5000</v>
      </c>
      <c r="F656" s="377">
        <f t="shared" si="210"/>
        <v>5000</v>
      </c>
      <c r="G656" s="1117">
        <f t="shared" si="196"/>
        <v>1</v>
      </c>
    </row>
    <row r="657" spans="1:7" ht="15.75" thickBot="1" x14ac:dyDescent="0.3">
      <c r="A657" s="204"/>
      <c r="B657" s="228" t="s">
        <v>89</v>
      </c>
      <c r="C657" s="377">
        <f t="shared" ref="C657:D657" si="211">SUM(C656,C652)</f>
        <v>264599</v>
      </c>
      <c r="D657" s="377">
        <f t="shared" si="211"/>
        <v>285156</v>
      </c>
      <c r="E657" s="377">
        <f t="shared" ref="E657:F657" si="212">SUM(E656,E652)</f>
        <v>285656</v>
      </c>
      <c r="F657" s="377">
        <f t="shared" si="212"/>
        <v>288755</v>
      </c>
      <c r="G657" s="1117">
        <f t="shared" si="196"/>
        <v>1.0108487131374801</v>
      </c>
    </row>
    <row r="658" spans="1:7" ht="15" x14ac:dyDescent="0.25">
      <c r="A658" s="170">
        <v>2987</v>
      </c>
      <c r="B658" s="834" t="s">
        <v>1254</v>
      </c>
      <c r="C658" s="370"/>
      <c r="D658" s="370"/>
      <c r="E658" s="370"/>
      <c r="F658" s="370"/>
      <c r="G658" s="867"/>
    </row>
    <row r="659" spans="1:7" x14ac:dyDescent="0.2">
      <c r="A659" s="207"/>
      <c r="B659" s="208" t="s">
        <v>154</v>
      </c>
      <c r="C659" s="373"/>
      <c r="D659" s="373"/>
      <c r="E659" s="373"/>
      <c r="F659" s="373"/>
      <c r="G659" s="571"/>
    </row>
    <row r="660" spans="1:7" ht="13.5" thickBot="1" x14ac:dyDescent="0.25">
      <c r="A660" s="207"/>
      <c r="B660" s="209" t="s">
        <v>155</v>
      </c>
      <c r="C660" s="384"/>
      <c r="D660" s="384">
        <v>2002693</v>
      </c>
      <c r="E660" s="384">
        <v>2002693</v>
      </c>
      <c r="F660" s="384">
        <v>2002693</v>
      </c>
      <c r="G660" s="593">
        <f t="shared" si="196"/>
        <v>1</v>
      </c>
    </row>
    <row r="661" spans="1:7" ht="13.5" thickBot="1" x14ac:dyDescent="0.25">
      <c r="A661" s="207"/>
      <c r="B661" s="210" t="s">
        <v>167</v>
      </c>
      <c r="C661" s="382"/>
      <c r="D661" s="382">
        <f>SUM(D660)</f>
        <v>2002693</v>
      </c>
      <c r="E661" s="382">
        <f>SUM(E660)</f>
        <v>2002693</v>
      </c>
      <c r="F661" s="382">
        <f>SUM(F660)</f>
        <v>2002693</v>
      </c>
      <c r="G661" s="1117">
        <f t="shared" si="196"/>
        <v>1</v>
      </c>
    </row>
    <row r="662" spans="1:7" x14ac:dyDescent="0.2">
      <c r="A662" s="207"/>
      <c r="B662" s="208" t="s">
        <v>157</v>
      </c>
      <c r="C662" s="370"/>
      <c r="D662" s="370">
        <f>SUM(D663:D664)</f>
        <v>109400</v>
      </c>
      <c r="E662" s="370">
        <f>SUM(E663:E664)</f>
        <v>109400</v>
      </c>
      <c r="F662" s="370">
        <f>SUM(F663:F664)</f>
        <v>109400</v>
      </c>
      <c r="G662" s="867">
        <f t="shared" si="196"/>
        <v>1</v>
      </c>
    </row>
    <row r="663" spans="1:7" x14ac:dyDescent="0.2">
      <c r="A663" s="207"/>
      <c r="B663" s="212" t="s">
        <v>158</v>
      </c>
      <c r="C663" s="376"/>
      <c r="D663" s="376">
        <v>96500</v>
      </c>
      <c r="E663" s="376">
        <v>96500</v>
      </c>
      <c r="F663" s="376">
        <v>96500</v>
      </c>
      <c r="G663" s="571">
        <f t="shared" si="196"/>
        <v>1</v>
      </c>
    </row>
    <row r="664" spans="1:7" x14ac:dyDescent="0.2">
      <c r="A664" s="207"/>
      <c r="B664" s="212" t="s">
        <v>159</v>
      </c>
      <c r="C664" s="376"/>
      <c r="D664" s="376">
        <v>12900</v>
      </c>
      <c r="E664" s="376">
        <v>12900</v>
      </c>
      <c r="F664" s="376">
        <v>12900</v>
      </c>
      <c r="G664" s="571">
        <f t="shared" si="196"/>
        <v>1</v>
      </c>
    </row>
    <row r="665" spans="1:7" x14ac:dyDescent="0.2">
      <c r="A665" s="207"/>
      <c r="B665" s="213" t="s">
        <v>160</v>
      </c>
      <c r="C665" s="370"/>
      <c r="D665" s="370">
        <v>23000</v>
      </c>
      <c r="E665" s="370">
        <v>23000</v>
      </c>
      <c r="F665" s="370">
        <v>23000</v>
      </c>
      <c r="G665" s="571">
        <f t="shared" si="196"/>
        <v>1</v>
      </c>
    </row>
    <row r="666" spans="1:7" x14ac:dyDescent="0.2">
      <c r="A666" s="207"/>
      <c r="B666" s="213" t="s">
        <v>161</v>
      </c>
      <c r="C666" s="370"/>
      <c r="D666" s="370"/>
      <c r="E666" s="370"/>
      <c r="F666" s="370"/>
      <c r="G666" s="571"/>
    </row>
    <row r="667" spans="1:7" x14ac:dyDescent="0.2">
      <c r="A667" s="207"/>
      <c r="B667" s="213" t="s">
        <v>162</v>
      </c>
      <c r="C667" s="370"/>
      <c r="D667" s="370">
        <v>6200</v>
      </c>
      <c r="E667" s="370">
        <v>6200</v>
      </c>
      <c r="F667" s="370">
        <v>6200</v>
      </c>
      <c r="G667" s="571">
        <f t="shared" si="196"/>
        <v>1</v>
      </c>
    </row>
    <row r="668" spans="1:7" x14ac:dyDescent="0.2">
      <c r="A668" s="207"/>
      <c r="B668" s="213" t="s">
        <v>417</v>
      </c>
      <c r="C668" s="370"/>
      <c r="D668" s="370"/>
      <c r="E668" s="370"/>
      <c r="F668" s="370"/>
      <c r="G668" s="571"/>
    </row>
    <row r="669" spans="1:7" x14ac:dyDescent="0.2">
      <c r="A669" s="207"/>
      <c r="B669" s="214" t="s">
        <v>381</v>
      </c>
      <c r="C669" s="370"/>
      <c r="D669" s="370">
        <v>200</v>
      </c>
      <c r="E669" s="370">
        <v>200</v>
      </c>
      <c r="F669" s="370">
        <v>200</v>
      </c>
      <c r="G669" s="571">
        <f t="shared" ref="G669:G732" si="213">F669/E669</f>
        <v>1</v>
      </c>
    </row>
    <row r="670" spans="1:7" ht="13.5" thickBot="1" x14ac:dyDescent="0.25">
      <c r="A670" s="207"/>
      <c r="B670" s="215" t="s">
        <v>163</v>
      </c>
      <c r="C670" s="370"/>
      <c r="D670" s="370">
        <v>1000</v>
      </c>
      <c r="E670" s="370">
        <v>1000</v>
      </c>
      <c r="F670" s="370">
        <v>1000</v>
      </c>
      <c r="G670" s="593">
        <f t="shared" si="213"/>
        <v>1</v>
      </c>
    </row>
    <row r="671" spans="1:7" ht="13.5" thickBot="1" x14ac:dyDescent="0.25">
      <c r="A671" s="207"/>
      <c r="B671" s="216" t="s">
        <v>295</v>
      </c>
      <c r="C671" s="372">
        <f>SUM(C662+C665+C666+C667+C670+C668+C669)</f>
        <v>0</v>
      </c>
      <c r="D671" s="372">
        <f>SUM(D662+D665+D666+D667+D670+D668+D669)</f>
        <v>139800</v>
      </c>
      <c r="E671" s="372">
        <f>SUM(E662+E665+E666+E667+E670+E668+E669)</f>
        <v>139800</v>
      </c>
      <c r="F671" s="372">
        <f>SUM(F662+F665+F666+F667+F670+F668+F669)</f>
        <v>139800</v>
      </c>
      <c r="G671" s="1117">
        <f t="shared" si="213"/>
        <v>1</v>
      </c>
    </row>
    <row r="672" spans="1:7" ht="13.5" thickBot="1" x14ac:dyDescent="0.25">
      <c r="A672" s="207"/>
      <c r="B672" s="317" t="s">
        <v>191</v>
      </c>
      <c r="C672" s="377"/>
      <c r="D672" s="377"/>
      <c r="E672" s="377"/>
      <c r="F672" s="377"/>
      <c r="G672" s="593"/>
    </row>
    <row r="673" spans="1:7" ht="13.5" thickBot="1" x14ac:dyDescent="0.25">
      <c r="A673" s="207"/>
      <c r="B673" s="218" t="s">
        <v>49</v>
      </c>
      <c r="C673" s="590">
        <f t="shared" ref="C673:D673" si="214">SUM(C671+C661+C672)</f>
        <v>0</v>
      </c>
      <c r="D673" s="590">
        <f t="shared" si="214"/>
        <v>2142493</v>
      </c>
      <c r="E673" s="583">
        <f t="shared" ref="E673:F673" si="215">SUM(E671+E661+E672)</f>
        <v>2142493</v>
      </c>
      <c r="F673" s="583">
        <f t="shared" si="215"/>
        <v>2142493</v>
      </c>
      <c r="G673" s="1117">
        <f t="shared" si="213"/>
        <v>1</v>
      </c>
    </row>
    <row r="674" spans="1:7" ht="13.5" thickBot="1" x14ac:dyDescent="0.25">
      <c r="A674" s="207"/>
      <c r="B674" s="112" t="s">
        <v>203</v>
      </c>
      <c r="C674" s="378"/>
      <c r="D674" s="378"/>
      <c r="E674" s="378"/>
      <c r="F674" s="378"/>
      <c r="G674" s="593"/>
    </row>
    <row r="675" spans="1:7" ht="13.5" thickBot="1" x14ac:dyDescent="0.25">
      <c r="A675" s="207"/>
      <c r="B675" s="407" t="s">
        <v>445</v>
      </c>
      <c r="C675" s="378"/>
      <c r="D675" s="378"/>
      <c r="E675" s="378"/>
      <c r="F675" s="378"/>
      <c r="G675" s="593"/>
    </row>
    <row r="676" spans="1:7" ht="13.5" thickBot="1" x14ac:dyDescent="0.25">
      <c r="A676" s="207"/>
      <c r="B676" s="219" t="s">
        <v>50</v>
      </c>
      <c r="C676" s="379"/>
      <c r="D676" s="379"/>
      <c r="E676" s="379"/>
      <c r="F676" s="379"/>
      <c r="G676" s="593"/>
    </row>
    <row r="677" spans="1:7" x14ac:dyDescent="0.2">
      <c r="A677" s="207"/>
      <c r="B677" s="325" t="s">
        <v>357</v>
      </c>
      <c r="C677" s="380">
        <v>0</v>
      </c>
      <c r="D677" s="380">
        <v>0</v>
      </c>
      <c r="E677" s="380">
        <v>0</v>
      </c>
      <c r="F677" s="380">
        <v>0</v>
      </c>
      <c r="G677" s="867"/>
    </row>
    <row r="678" spans="1:7" ht="13.5" thickBot="1" x14ac:dyDescent="0.25">
      <c r="A678" s="207"/>
      <c r="B678" s="128" t="s">
        <v>385</v>
      </c>
      <c r="C678" s="371"/>
      <c r="D678" s="371">
        <f>445950+59000</f>
        <v>504950</v>
      </c>
      <c r="E678" s="371">
        <f>445950+59000</f>
        <v>504950</v>
      </c>
      <c r="F678" s="371">
        <f>445950+59000</f>
        <v>504950</v>
      </c>
      <c r="G678" s="593">
        <f t="shared" si="213"/>
        <v>1</v>
      </c>
    </row>
    <row r="679" spans="1:7" ht="13.5" thickBot="1" x14ac:dyDescent="0.25">
      <c r="A679" s="207"/>
      <c r="B679" s="220" t="s">
        <v>43</v>
      </c>
      <c r="C679" s="379">
        <f t="shared" ref="C679:D679" si="216">SUM(C677:C678)</f>
        <v>0</v>
      </c>
      <c r="D679" s="379">
        <f t="shared" si="216"/>
        <v>504950</v>
      </c>
      <c r="E679" s="379">
        <f t="shared" ref="E679:F679" si="217">SUM(E677:E678)</f>
        <v>504950</v>
      </c>
      <c r="F679" s="379">
        <f t="shared" si="217"/>
        <v>504950</v>
      </c>
      <c r="G679" s="1117">
        <f t="shared" si="213"/>
        <v>1</v>
      </c>
    </row>
    <row r="680" spans="1:7" ht="13.5" thickBot="1" x14ac:dyDescent="0.25">
      <c r="A680" s="207"/>
      <c r="B680" s="190" t="s">
        <v>357</v>
      </c>
      <c r="C680" s="378"/>
      <c r="D680" s="378"/>
      <c r="E680" s="378"/>
      <c r="F680" s="378"/>
      <c r="G680" s="593"/>
    </row>
    <row r="681" spans="1:7" ht="13.5" thickBot="1" x14ac:dyDescent="0.25">
      <c r="A681" s="207"/>
      <c r="B681" s="220" t="s">
        <v>45</v>
      </c>
      <c r="C681" s="379"/>
      <c r="D681" s="379"/>
      <c r="E681" s="379"/>
      <c r="F681" s="379"/>
      <c r="G681" s="593"/>
    </row>
    <row r="682" spans="1:7" ht="15.75" thickBot="1" x14ac:dyDescent="0.3">
      <c r="A682" s="207"/>
      <c r="B682" s="222" t="s">
        <v>54</v>
      </c>
      <c r="C682" s="372">
        <f>SUM(C673+C676+C679)+C681</f>
        <v>0</v>
      </c>
      <c r="D682" s="372">
        <f>SUM(D673+D676+D679)+D681</f>
        <v>2647443</v>
      </c>
      <c r="E682" s="377">
        <f>SUM(E673+E676+E679)+E681</f>
        <v>2647443</v>
      </c>
      <c r="F682" s="377">
        <f>SUM(F673+F676+F679)+F681</f>
        <v>2647443</v>
      </c>
      <c r="G682" s="1117">
        <f t="shared" si="213"/>
        <v>1</v>
      </c>
    </row>
    <row r="683" spans="1:7" x14ac:dyDescent="0.2">
      <c r="A683" s="207"/>
      <c r="B683" s="223" t="s">
        <v>276</v>
      </c>
      <c r="C683" s="370"/>
      <c r="D683" s="370">
        <v>1777135</v>
      </c>
      <c r="E683" s="370">
        <v>1777135</v>
      </c>
      <c r="F683" s="370">
        <v>1777135</v>
      </c>
      <c r="G683" s="867">
        <f t="shared" si="213"/>
        <v>1</v>
      </c>
    </row>
    <row r="684" spans="1:7" x14ac:dyDescent="0.2">
      <c r="A684" s="207"/>
      <c r="B684" s="223" t="s">
        <v>277</v>
      </c>
      <c r="C684" s="370"/>
      <c r="D684" s="370">
        <v>220063</v>
      </c>
      <c r="E684" s="370">
        <v>220063</v>
      </c>
      <c r="F684" s="370">
        <v>220063</v>
      </c>
      <c r="G684" s="571">
        <f t="shared" si="213"/>
        <v>1</v>
      </c>
    </row>
    <row r="685" spans="1:7" x14ac:dyDescent="0.2">
      <c r="A685" s="207"/>
      <c r="B685" s="223" t="s">
        <v>278</v>
      </c>
      <c r="C685" s="370"/>
      <c r="D685" s="370">
        <f>584895+59000</f>
        <v>643895</v>
      </c>
      <c r="E685" s="370">
        <f>584895+59000</f>
        <v>643895</v>
      </c>
      <c r="F685" s="370">
        <f>584895+59000</f>
        <v>643895</v>
      </c>
      <c r="G685" s="571">
        <f t="shared" si="213"/>
        <v>1</v>
      </c>
    </row>
    <row r="686" spans="1:7" x14ac:dyDescent="0.2">
      <c r="A686" s="207"/>
      <c r="B686" s="223" t="s">
        <v>280</v>
      </c>
      <c r="C686" s="370"/>
      <c r="D686" s="370"/>
      <c r="E686" s="370"/>
      <c r="F686" s="370"/>
      <c r="G686" s="571"/>
    </row>
    <row r="687" spans="1:7" ht="13.5" thickBot="1" x14ac:dyDescent="0.25">
      <c r="A687" s="207"/>
      <c r="B687" s="296" t="s">
        <v>279</v>
      </c>
      <c r="C687" s="371"/>
      <c r="D687" s="371"/>
      <c r="E687" s="371"/>
      <c r="F687" s="371"/>
      <c r="G687" s="593"/>
    </row>
    <row r="688" spans="1:7" ht="13.5" thickBot="1" x14ac:dyDescent="0.25">
      <c r="A688" s="207"/>
      <c r="B688" s="226" t="s">
        <v>42</v>
      </c>
      <c r="C688" s="372">
        <f t="shared" ref="C688:D688" si="218">SUM(C683:C687)</f>
        <v>0</v>
      </c>
      <c r="D688" s="372">
        <f t="shared" si="218"/>
        <v>2641093</v>
      </c>
      <c r="E688" s="377">
        <f t="shared" ref="E688:F688" si="219">SUM(E683:E687)</f>
        <v>2641093</v>
      </c>
      <c r="F688" s="377">
        <f t="shared" si="219"/>
        <v>2641093</v>
      </c>
      <c r="G688" s="1117">
        <f t="shared" si="213"/>
        <v>1</v>
      </c>
    </row>
    <row r="689" spans="1:7" x14ac:dyDescent="0.2">
      <c r="A689" s="207"/>
      <c r="B689" s="223" t="s">
        <v>1036</v>
      </c>
      <c r="C689" s="370"/>
      <c r="D689" s="370">
        <v>6350</v>
      </c>
      <c r="E689" s="370">
        <v>6350</v>
      </c>
      <c r="F689" s="370">
        <v>6350</v>
      </c>
      <c r="G689" s="867">
        <f t="shared" si="213"/>
        <v>1</v>
      </c>
    </row>
    <row r="690" spans="1:7" x14ac:dyDescent="0.2">
      <c r="A690" s="207"/>
      <c r="B690" s="223" t="s">
        <v>211</v>
      </c>
      <c r="C690" s="370"/>
      <c r="D690" s="370"/>
      <c r="E690" s="370"/>
      <c r="F690" s="370"/>
      <c r="G690" s="571"/>
    </row>
    <row r="691" spans="1:7" ht="13.5" thickBot="1" x14ac:dyDescent="0.25">
      <c r="A691" s="207"/>
      <c r="B691" s="225" t="s">
        <v>366</v>
      </c>
      <c r="C691" s="371"/>
      <c r="D691" s="371"/>
      <c r="E691" s="371"/>
      <c r="F691" s="371"/>
      <c r="G691" s="593"/>
    </row>
    <row r="692" spans="1:7" ht="13.5" thickBot="1" x14ac:dyDescent="0.25">
      <c r="A692" s="207"/>
      <c r="B692" s="227" t="s">
        <v>48</v>
      </c>
      <c r="C692" s="372">
        <f t="shared" ref="C692:D692" si="220">SUM(C689:C691)</f>
        <v>0</v>
      </c>
      <c r="D692" s="372">
        <f t="shared" si="220"/>
        <v>6350</v>
      </c>
      <c r="E692" s="377">
        <f t="shared" ref="E692:F692" si="221">SUM(E689:E691)</f>
        <v>6350</v>
      </c>
      <c r="F692" s="377">
        <f t="shared" si="221"/>
        <v>6350</v>
      </c>
      <c r="G692" s="1117">
        <f t="shared" si="213"/>
        <v>1</v>
      </c>
    </row>
    <row r="693" spans="1:7" ht="15.75" thickBot="1" x14ac:dyDescent="0.3">
      <c r="A693" s="204"/>
      <c r="B693" s="228" t="s">
        <v>89</v>
      </c>
      <c r="C693" s="377">
        <f t="shared" ref="C693:D693" si="222">SUM(C692,C688)</f>
        <v>0</v>
      </c>
      <c r="D693" s="377">
        <f t="shared" si="222"/>
        <v>2647443</v>
      </c>
      <c r="E693" s="377">
        <f t="shared" ref="E693:F693" si="223">SUM(E692,E688)</f>
        <v>2647443</v>
      </c>
      <c r="F693" s="377">
        <f t="shared" si="223"/>
        <v>2647443</v>
      </c>
      <c r="G693" s="1117">
        <f t="shared" si="213"/>
        <v>1</v>
      </c>
    </row>
    <row r="694" spans="1:7" ht="15" x14ac:dyDescent="0.25">
      <c r="A694" s="170">
        <v>2991</v>
      </c>
      <c r="B694" s="173" t="s">
        <v>168</v>
      </c>
      <c r="C694" s="383"/>
      <c r="D694" s="383"/>
      <c r="E694" s="383"/>
      <c r="F694" s="383"/>
      <c r="G694" s="867"/>
    </row>
    <row r="695" spans="1:7" x14ac:dyDescent="0.2">
      <c r="A695" s="207"/>
      <c r="B695" s="208" t="s">
        <v>154</v>
      </c>
      <c r="C695" s="373"/>
      <c r="D695" s="373"/>
      <c r="E695" s="373"/>
      <c r="F695" s="373"/>
      <c r="G695" s="571"/>
    </row>
    <row r="696" spans="1:7" ht="13.5" thickBot="1" x14ac:dyDescent="0.25">
      <c r="A696" s="207"/>
      <c r="B696" s="209" t="s">
        <v>155</v>
      </c>
      <c r="C696" s="371">
        <f>SUM(C550+C587+C441+C624)</f>
        <v>0</v>
      </c>
      <c r="D696" s="371">
        <f>SUM(D550+D587+D441+D624+D660)</f>
        <v>2002693</v>
      </c>
      <c r="E696" s="371">
        <f>SUM(E550+E587+E441+E624+E660)</f>
        <v>2003993</v>
      </c>
      <c r="F696" s="371">
        <f>SUM(F550+F587+F441+F624+F660)</f>
        <v>2007193</v>
      </c>
      <c r="G696" s="593">
        <f t="shared" si="213"/>
        <v>1.0015968119649121</v>
      </c>
    </row>
    <row r="697" spans="1:7" ht="13.5" thickBot="1" x14ac:dyDescent="0.25">
      <c r="A697" s="207"/>
      <c r="B697" s="210" t="s">
        <v>167</v>
      </c>
      <c r="C697" s="391">
        <f t="shared" ref="C697:D697" si="224">SUM(C696)</f>
        <v>0</v>
      </c>
      <c r="D697" s="391">
        <f t="shared" si="224"/>
        <v>2002693</v>
      </c>
      <c r="E697" s="386">
        <f t="shared" ref="E697:F697" si="225">SUM(E696)</f>
        <v>2003993</v>
      </c>
      <c r="F697" s="386">
        <f t="shared" si="225"/>
        <v>2007193</v>
      </c>
      <c r="G697" s="1117">
        <f t="shared" si="213"/>
        <v>1.0015968119649121</v>
      </c>
    </row>
    <row r="698" spans="1:7" x14ac:dyDescent="0.2">
      <c r="A698" s="207"/>
      <c r="B698" s="208" t="s">
        <v>341</v>
      </c>
      <c r="C698" s="370">
        <f>SUM(C589)</f>
        <v>0</v>
      </c>
      <c r="D698" s="370">
        <f>SUM(D589)</f>
        <v>0</v>
      </c>
      <c r="E698" s="370">
        <f>SUM(E589)</f>
        <v>0</v>
      </c>
      <c r="F698" s="370">
        <f>SUM(F589)</f>
        <v>21</v>
      </c>
      <c r="G698" s="867"/>
    </row>
    <row r="699" spans="1:7" x14ac:dyDescent="0.2">
      <c r="A699" s="207"/>
      <c r="B699" s="208" t="s">
        <v>157</v>
      </c>
      <c r="C699" s="370">
        <f>SUM(C700:C701)</f>
        <v>102976</v>
      </c>
      <c r="D699" s="370">
        <f>SUM(D700:D701)</f>
        <v>239244</v>
      </c>
      <c r="E699" s="370">
        <f>SUM(E700:E701)</f>
        <v>255470</v>
      </c>
      <c r="F699" s="370">
        <f>SUM(F700:F701)</f>
        <v>270688</v>
      </c>
      <c r="G699" s="571">
        <f t="shared" si="213"/>
        <v>1.0595686381962657</v>
      </c>
    </row>
    <row r="700" spans="1:7" x14ac:dyDescent="0.2">
      <c r="A700" s="207"/>
      <c r="B700" s="212" t="s">
        <v>158</v>
      </c>
      <c r="C700" s="376">
        <f>SUM(C591+C553+C444+C627)</f>
        <v>48676</v>
      </c>
      <c r="D700" s="376">
        <f>SUM(D591+D553+D444+D627+D663)</f>
        <v>151475</v>
      </c>
      <c r="E700" s="376">
        <f>SUM(E591+E553+E444+E627+E663)</f>
        <v>167701</v>
      </c>
      <c r="F700" s="376">
        <f>SUM(F591+F553+F444+F627+F663)</f>
        <v>182919</v>
      </c>
      <c r="G700" s="571">
        <f t="shared" si="213"/>
        <v>1.0907448375382376</v>
      </c>
    </row>
    <row r="701" spans="1:7" x14ac:dyDescent="0.2">
      <c r="A701" s="207"/>
      <c r="B701" s="212" t="s">
        <v>159</v>
      </c>
      <c r="C701" s="376">
        <f>SUM(C592+C554+C445)</f>
        <v>54300</v>
      </c>
      <c r="D701" s="376">
        <f t="shared" ref="D701:E703" si="226">SUM(D592+D554+D445+D664)</f>
        <v>87769</v>
      </c>
      <c r="E701" s="376">
        <f t="shared" si="226"/>
        <v>87769</v>
      </c>
      <c r="F701" s="376">
        <f t="shared" ref="F701" si="227">SUM(F592+F554+F445+F664)</f>
        <v>87769</v>
      </c>
      <c r="G701" s="571">
        <f t="shared" si="213"/>
        <v>1</v>
      </c>
    </row>
    <row r="702" spans="1:7" x14ac:dyDescent="0.2">
      <c r="A702" s="207"/>
      <c r="B702" s="213" t="s">
        <v>160</v>
      </c>
      <c r="C702" s="370">
        <f>SUM(C593+C555+C446)</f>
        <v>3836</v>
      </c>
      <c r="D702" s="370">
        <f t="shared" si="226"/>
        <v>26836</v>
      </c>
      <c r="E702" s="370">
        <f t="shared" si="226"/>
        <v>26836</v>
      </c>
      <c r="F702" s="370">
        <f t="shared" ref="F702" si="228">SUM(F593+F555+F446+F665)</f>
        <v>32285</v>
      </c>
      <c r="G702" s="571">
        <f t="shared" si="213"/>
        <v>1.2030481442837979</v>
      </c>
    </row>
    <row r="703" spans="1:7" x14ac:dyDescent="0.2">
      <c r="A703" s="207"/>
      <c r="B703" s="213" t="s">
        <v>161</v>
      </c>
      <c r="C703" s="370">
        <f>SUM(C594+C556+C447)</f>
        <v>193454</v>
      </c>
      <c r="D703" s="370">
        <f t="shared" si="226"/>
        <v>193454</v>
      </c>
      <c r="E703" s="370">
        <f t="shared" si="226"/>
        <v>193454</v>
      </c>
      <c r="F703" s="370">
        <f t="shared" ref="F703" si="229">SUM(F594+F556+F447+F666)</f>
        <v>195253</v>
      </c>
      <c r="G703" s="571">
        <f t="shared" si="213"/>
        <v>1.0092993683252867</v>
      </c>
    </row>
    <row r="704" spans="1:7" x14ac:dyDescent="0.2">
      <c r="A704" s="207"/>
      <c r="B704" s="213" t="s">
        <v>162</v>
      </c>
      <c r="C704" s="370">
        <f>SUM(C595+C557+C448+C631)</f>
        <v>78211</v>
      </c>
      <c r="D704" s="370">
        <f>SUM(D595+D557+D448+D631+D667)</f>
        <v>91666</v>
      </c>
      <c r="E704" s="370">
        <f>SUM(E595+E557+E448+E631+E667)</f>
        <v>96047</v>
      </c>
      <c r="F704" s="370">
        <f>SUM(F595+F557+F448+F631+F667)</f>
        <v>100598</v>
      </c>
      <c r="G704" s="571">
        <f t="shared" si="213"/>
        <v>1.0473830520474352</v>
      </c>
    </row>
    <row r="705" spans="1:7" x14ac:dyDescent="0.2">
      <c r="A705" s="207"/>
      <c r="B705" s="213" t="s">
        <v>299</v>
      </c>
      <c r="C705" s="370">
        <f>C558+C596+C632</f>
        <v>14000</v>
      </c>
      <c r="D705" s="370">
        <f>D558+D596+D632+D668</f>
        <v>14000</v>
      </c>
      <c r="E705" s="370">
        <f>E558+E596+E632+E668</f>
        <v>14000</v>
      </c>
      <c r="F705" s="370">
        <f>F558+F596+F632+F668</f>
        <v>21944</v>
      </c>
      <c r="G705" s="571">
        <f t="shared" si="213"/>
        <v>1.5674285714285714</v>
      </c>
    </row>
    <row r="706" spans="1:7" x14ac:dyDescent="0.2">
      <c r="A706" s="207"/>
      <c r="B706" s="214" t="s">
        <v>381</v>
      </c>
      <c r="C706" s="370">
        <f>SUM(C597+C559+C450+C633)</f>
        <v>0</v>
      </c>
      <c r="D706" s="370">
        <f t="shared" ref="D706:E707" si="230">SUM(D597+D559+D450+D633+D669)</f>
        <v>200</v>
      </c>
      <c r="E706" s="370">
        <f t="shared" si="230"/>
        <v>200</v>
      </c>
      <c r="F706" s="370">
        <f>SUM(F597+F559+F450+F633+F669)</f>
        <v>200</v>
      </c>
      <c r="G706" s="571">
        <f t="shared" si="213"/>
        <v>1</v>
      </c>
    </row>
    <row r="707" spans="1:7" ht="13.5" thickBot="1" x14ac:dyDescent="0.25">
      <c r="A707" s="207"/>
      <c r="B707" s="215" t="s">
        <v>163</v>
      </c>
      <c r="C707" s="370">
        <f>SUM(C598+C560+C451+C634)</f>
        <v>16000</v>
      </c>
      <c r="D707" s="370">
        <f t="shared" si="230"/>
        <v>17000</v>
      </c>
      <c r="E707" s="370">
        <f t="shared" si="230"/>
        <v>19510</v>
      </c>
      <c r="F707" s="370">
        <f>SUM(F598+F560+F451+F634+F670)</f>
        <v>37811</v>
      </c>
      <c r="G707" s="593">
        <f t="shared" si="213"/>
        <v>1.9380317785750898</v>
      </c>
    </row>
    <row r="708" spans="1:7" ht="13.5" thickBot="1" x14ac:dyDescent="0.25">
      <c r="A708" s="207"/>
      <c r="B708" s="216" t="s">
        <v>295</v>
      </c>
      <c r="C708" s="372">
        <f>SUM(C699+C702+C703+C704+C707+C705+C706+C698)</f>
        <v>408477</v>
      </c>
      <c r="D708" s="372">
        <f>SUM(D699+D702+D703+D704+D707+D705+D706+D698)</f>
        <v>582400</v>
      </c>
      <c r="E708" s="372">
        <f>SUM(E699+E702+E703+E704+E707+E705+E706+E698)</f>
        <v>605517</v>
      </c>
      <c r="F708" s="372">
        <f>SUM(F699+F702+F703+F704+F707+F705+F706+F698)</f>
        <v>658800</v>
      </c>
      <c r="G708" s="1117">
        <f t="shared" si="213"/>
        <v>1.0879958779026848</v>
      </c>
    </row>
    <row r="709" spans="1:7" ht="13.5" thickBot="1" x14ac:dyDescent="0.25">
      <c r="A709" s="207"/>
      <c r="B709" s="317" t="s">
        <v>191</v>
      </c>
      <c r="C709" s="372">
        <f>SUM(C600)</f>
        <v>0</v>
      </c>
      <c r="D709" s="372">
        <f>SUM(D600)</f>
        <v>0</v>
      </c>
      <c r="E709" s="377">
        <f>E453+E562+E600+E636</f>
        <v>6619</v>
      </c>
      <c r="F709" s="377">
        <f>F453+F562+F600+F636</f>
        <v>6619</v>
      </c>
      <c r="G709" s="593">
        <f t="shared" si="213"/>
        <v>1</v>
      </c>
    </row>
    <row r="710" spans="1:7" ht="13.5" thickBot="1" x14ac:dyDescent="0.25">
      <c r="A710" s="207"/>
      <c r="B710" s="218" t="s">
        <v>49</v>
      </c>
      <c r="C710" s="583">
        <f t="shared" ref="C710:D710" si="231">SUM(C708+C697+C709)</f>
        <v>408477</v>
      </c>
      <c r="D710" s="583">
        <f t="shared" si="231"/>
        <v>2585093</v>
      </c>
      <c r="E710" s="583">
        <f t="shared" ref="E710:F710" si="232">SUM(E708+E697+E709)</f>
        <v>2616129</v>
      </c>
      <c r="F710" s="583">
        <f t="shared" si="232"/>
        <v>2672612</v>
      </c>
      <c r="G710" s="1117">
        <f t="shared" si="213"/>
        <v>1.0215902961971677</v>
      </c>
    </row>
    <row r="711" spans="1:7" x14ac:dyDescent="0.2">
      <c r="A711" s="207"/>
      <c r="B711" s="330" t="s">
        <v>389</v>
      </c>
      <c r="C711" s="380">
        <f>SUM(C455)</f>
        <v>0</v>
      </c>
      <c r="D711" s="380">
        <f>SUM(D455)</f>
        <v>0</v>
      </c>
      <c r="E711" s="380">
        <f>SUM(E455)</f>
        <v>0</v>
      </c>
      <c r="F711" s="380">
        <f>SUM(F455)</f>
        <v>0</v>
      </c>
      <c r="G711" s="867"/>
    </row>
    <row r="712" spans="1:7" x14ac:dyDescent="0.2">
      <c r="A712" s="207"/>
      <c r="B712" s="777" t="s">
        <v>200</v>
      </c>
      <c r="C712" s="380">
        <f>C529</f>
        <v>0</v>
      </c>
      <c r="D712" s="380">
        <f>D529</f>
        <v>0</v>
      </c>
      <c r="E712" s="380">
        <f>E529</f>
        <v>0</v>
      </c>
      <c r="F712" s="380">
        <f>F529</f>
        <v>0</v>
      </c>
      <c r="G712" s="571"/>
    </row>
    <row r="713" spans="1:7" ht="13.5" thickBot="1" x14ac:dyDescent="0.25">
      <c r="A713" s="207"/>
      <c r="B713" s="128" t="s">
        <v>203</v>
      </c>
      <c r="C713" s="378"/>
      <c r="D713" s="378"/>
      <c r="E713" s="378"/>
      <c r="F713" s="378">
        <f>F456+F602+F638+F674</f>
        <v>750</v>
      </c>
      <c r="G713" s="593"/>
    </row>
    <row r="714" spans="1:7" ht="13.5" thickBot="1" x14ac:dyDescent="0.25">
      <c r="A714" s="207"/>
      <c r="B714" s="219" t="s">
        <v>50</v>
      </c>
      <c r="C714" s="387">
        <f t="shared" ref="C714:D714" si="233">SUM(C711+C713)</f>
        <v>0</v>
      </c>
      <c r="D714" s="387">
        <f t="shared" si="233"/>
        <v>0</v>
      </c>
      <c r="E714" s="379">
        <f t="shared" ref="E714:F714" si="234">SUM(E711+E713)</f>
        <v>0</v>
      </c>
      <c r="F714" s="379">
        <f t="shared" si="234"/>
        <v>750</v>
      </c>
      <c r="G714" s="593"/>
    </row>
    <row r="715" spans="1:7" x14ac:dyDescent="0.2">
      <c r="A715" s="207"/>
      <c r="B715" s="325" t="s">
        <v>357</v>
      </c>
      <c r="C715" s="380">
        <f>C458+C566+C604+C641</f>
        <v>0</v>
      </c>
      <c r="D715" s="380">
        <f>D458+D566+D604+D641</f>
        <v>43658</v>
      </c>
      <c r="E715" s="380">
        <f>E458+E566+E604+E641</f>
        <v>43658</v>
      </c>
      <c r="F715" s="380">
        <f>F458+F566+F604+F641</f>
        <v>43658</v>
      </c>
      <c r="G715" s="867">
        <f t="shared" si="213"/>
        <v>1</v>
      </c>
    </row>
    <row r="716" spans="1:7" ht="12" customHeight="1" x14ac:dyDescent="0.2">
      <c r="A716" s="207"/>
      <c r="B716" s="110" t="s">
        <v>989</v>
      </c>
      <c r="C716" s="380">
        <f>C459+C567</f>
        <v>0</v>
      </c>
      <c r="D716" s="380">
        <f>D459+D567</f>
        <v>0</v>
      </c>
      <c r="E716" s="380">
        <f>E459+E567</f>
        <v>0</v>
      </c>
      <c r="F716" s="380">
        <f>F459+F567</f>
        <v>0</v>
      </c>
      <c r="G716" s="571"/>
    </row>
    <row r="717" spans="1:7" x14ac:dyDescent="0.2">
      <c r="A717" s="207"/>
      <c r="B717" s="110" t="s">
        <v>385</v>
      </c>
      <c r="C717" s="370">
        <f>SUM(C605+C568+C460+C642)</f>
        <v>6920366</v>
      </c>
      <c r="D717" s="370">
        <f>SUM(D605+D568+D460+D642+D678)</f>
        <v>8215851</v>
      </c>
      <c r="E717" s="370">
        <f>SUM(E605+E568+E460+E642+E678)</f>
        <v>8305488</v>
      </c>
      <c r="F717" s="370">
        <f>SUM(F605+F568+F460+F642+F678)</f>
        <v>8434180</v>
      </c>
      <c r="G717" s="571">
        <f t="shared" si="213"/>
        <v>1.0154948149946157</v>
      </c>
    </row>
    <row r="718" spans="1:7" ht="13.5" thickBot="1" x14ac:dyDescent="0.25">
      <c r="A718" s="207"/>
      <c r="B718" s="128" t="s">
        <v>388</v>
      </c>
      <c r="C718" s="371">
        <f>SUM(C569+C461)</f>
        <v>700175</v>
      </c>
      <c r="D718" s="371">
        <f>SUM(D569+D461)</f>
        <v>700175</v>
      </c>
      <c r="E718" s="371">
        <f>SUM(E569+E461)</f>
        <v>700175</v>
      </c>
      <c r="F718" s="371">
        <f>SUM(F569+F461)</f>
        <v>711128</v>
      </c>
      <c r="G718" s="593">
        <f t="shared" si="213"/>
        <v>1.0156432320491307</v>
      </c>
    </row>
    <row r="719" spans="1:7" ht="13.5" thickBot="1" x14ac:dyDescent="0.25">
      <c r="A719" s="207"/>
      <c r="B719" s="220" t="s">
        <v>43</v>
      </c>
      <c r="C719" s="379">
        <f t="shared" ref="C719:D719" si="235">SUM(C715:C718)</f>
        <v>7620541</v>
      </c>
      <c r="D719" s="379">
        <f t="shared" si="235"/>
        <v>8959684</v>
      </c>
      <c r="E719" s="379">
        <f t="shared" ref="E719:F719" si="236">SUM(E715:E718)</f>
        <v>9049321</v>
      </c>
      <c r="F719" s="379">
        <f t="shared" si="236"/>
        <v>9188966</v>
      </c>
      <c r="G719" s="1117">
        <f t="shared" si="213"/>
        <v>1.0154315445324571</v>
      </c>
    </row>
    <row r="720" spans="1:7" ht="13.5" thickBot="1" x14ac:dyDescent="0.25">
      <c r="A720" s="207"/>
      <c r="B720" s="190" t="s">
        <v>357</v>
      </c>
      <c r="C720" s="378">
        <f>C463+C571+C607+C644</f>
        <v>0</v>
      </c>
      <c r="D720" s="378">
        <f>D463+D571+D607+D644</f>
        <v>0</v>
      </c>
      <c r="E720" s="378">
        <f>E463+E571+E607+E644</f>
        <v>0</v>
      </c>
      <c r="F720" s="378">
        <f>F463+F571+F607+F644</f>
        <v>0</v>
      </c>
      <c r="G720" s="593"/>
    </row>
    <row r="721" spans="1:7" ht="13.5" thickBot="1" x14ac:dyDescent="0.25">
      <c r="A721" s="207"/>
      <c r="B721" s="220" t="s">
        <v>45</v>
      </c>
      <c r="C721" s="379">
        <f t="shared" ref="C721:D721" si="237">SUM(C720)</f>
        <v>0</v>
      </c>
      <c r="D721" s="379">
        <f t="shared" si="237"/>
        <v>0</v>
      </c>
      <c r="E721" s="379">
        <f t="shared" ref="E721:F721" si="238">SUM(E720)</f>
        <v>0</v>
      </c>
      <c r="F721" s="379">
        <f t="shared" si="238"/>
        <v>0</v>
      </c>
      <c r="G721" s="593"/>
    </row>
    <row r="722" spans="1:7" ht="15.75" thickBot="1" x14ac:dyDescent="0.3">
      <c r="A722" s="207"/>
      <c r="B722" s="222" t="s">
        <v>54</v>
      </c>
      <c r="C722" s="372">
        <f t="shared" ref="C722:D722" si="239">SUM(C710+C714+C719+C721)</f>
        <v>8029018</v>
      </c>
      <c r="D722" s="372">
        <f t="shared" si="239"/>
        <v>11544777</v>
      </c>
      <c r="E722" s="377">
        <f t="shared" ref="E722:F722" si="240">SUM(E710+E714+E719+E721)</f>
        <v>11665450</v>
      </c>
      <c r="F722" s="377">
        <f t="shared" si="240"/>
        <v>11862328</v>
      </c>
      <c r="G722" s="1117">
        <f t="shared" si="213"/>
        <v>1.0168770171746482</v>
      </c>
    </row>
    <row r="723" spans="1:7" x14ac:dyDescent="0.2">
      <c r="A723" s="207"/>
      <c r="B723" s="223" t="s">
        <v>276</v>
      </c>
      <c r="C723" s="370">
        <f>SUM(C610+C574+C466+C647)</f>
        <v>4521901</v>
      </c>
      <c r="D723" s="370">
        <f t="shared" ref="D723:E725" si="241">SUM(D610+D574+D466+D647+D683)</f>
        <v>6396419</v>
      </c>
      <c r="E723" s="370">
        <f t="shared" si="241"/>
        <v>6482920</v>
      </c>
      <c r="F723" s="370">
        <f t="shared" ref="F723" si="242">SUM(F610+F574+F466+F647+F683)</f>
        <v>6667890</v>
      </c>
      <c r="G723" s="867">
        <f t="shared" si="213"/>
        <v>1.0285318961208838</v>
      </c>
    </row>
    <row r="724" spans="1:7" x14ac:dyDescent="0.2">
      <c r="A724" s="207"/>
      <c r="B724" s="223" t="s">
        <v>277</v>
      </c>
      <c r="C724" s="370">
        <f>SUM(C611+C575+C467+C648)</f>
        <v>681311</v>
      </c>
      <c r="D724" s="370">
        <f t="shared" si="241"/>
        <v>918482</v>
      </c>
      <c r="E724" s="370">
        <f t="shared" si="241"/>
        <v>930017</v>
      </c>
      <c r="F724" s="370">
        <f t="shared" ref="F724" si="243">SUM(F611+F575+F467+F648+F684)</f>
        <v>929022</v>
      </c>
      <c r="G724" s="571">
        <f t="shared" si="213"/>
        <v>0.99893012708369844</v>
      </c>
    </row>
    <row r="725" spans="1:7" x14ac:dyDescent="0.2">
      <c r="A725" s="207"/>
      <c r="B725" s="223" t="s">
        <v>278</v>
      </c>
      <c r="C725" s="370">
        <f>SUM(C612+C576+C468+C649)</f>
        <v>2497344</v>
      </c>
      <c r="D725" s="370">
        <f t="shared" si="241"/>
        <v>3674839</v>
      </c>
      <c r="E725" s="370">
        <f t="shared" si="241"/>
        <v>3699213</v>
      </c>
      <c r="F725" s="370">
        <f t="shared" ref="F725" si="244">SUM(F612+F576+F468+F649+F685)</f>
        <v>3752383</v>
      </c>
      <c r="G725" s="571">
        <f t="shared" si="213"/>
        <v>1.0143733275158797</v>
      </c>
    </row>
    <row r="726" spans="1:7" x14ac:dyDescent="0.2">
      <c r="A726" s="207"/>
      <c r="B726" s="224" t="s">
        <v>280</v>
      </c>
      <c r="C726" s="370">
        <f>SUM(C540)</f>
        <v>345</v>
      </c>
      <c r="D726" s="370">
        <f>SUM(D540+D686)</f>
        <v>345</v>
      </c>
      <c r="E726" s="370">
        <f>SUM(E540+E686)</f>
        <v>345</v>
      </c>
      <c r="F726" s="370">
        <f>SUM(F540+F686)</f>
        <v>345</v>
      </c>
      <c r="G726" s="571">
        <f t="shared" si="213"/>
        <v>1</v>
      </c>
    </row>
    <row r="727" spans="1:7" ht="13.5" thickBot="1" x14ac:dyDescent="0.25">
      <c r="A727" s="207"/>
      <c r="B727" s="225" t="s">
        <v>279</v>
      </c>
      <c r="C727" s="370">
        <f>SUM(C614+C578+C470)</f>
        <v>0</v>
      </c>
      <c r="D727" s="370">
        <f>SUM(D614+D578+D470)</f>
        <v>3304</v>
      </c>
      <c r="E727" s="370">
        <f>SUM(E614+E578+E470)</f>
        <v>3404</v>
      </c>
      <c r="F727" s="370">
        <f>SUM(F614+F578+F470)</f>
        <v>3404</v>
      </c>
      <c r="G727" s="593">
        <f t="shared" si="213"/>
        <v>1</v>
      </c>
    </row>
    <row r="728" spans="1:7" ht="13.5" thickBot="1" x14ac:dyDescent="0.25">
      <c r="A728" s="207"/>
      <c r="B728" s="226" t="s">
        <v>42</v>
      </c>
      <c r="C728" s="372">
        <f t="shared" ref="C728:D728" si="245">SUM(C723:C727)</f>
        <v>7700901</v>
      </c>
      <c r="D728" s="372">
        <f t="shared" si="245"/>
        <v>10993389</v>
      </c>
      <c r="E728" s="372">
        <f t="shared" ref="E728:F728" si="246">SUM(E723:E727)</f>
        <v>11115899</v>
      </c>
      <c r="F728" s="372">
        <f t="shared" si="246"/>
        <v>11353044</v>
      </c>
      <c r="G728" s="1117">
        <f t="shared" si="213"/>
        <v>1.0213338570276682</v>
      </c>
    </row>
    <row r="729" spans="1:7" x14ac:dyDescent="0.2">
      <c r="A729" s="207"/>
      <c r="B729" s="223" t="s">
        <v>210</v>
      </c>
      <c r="C729" s="370">
        <f>SUM(C472+C580+C617+C653)</f>
        <v>254550</v>
      </c>
      <c r="D729" s="370">
        <f>SUM(D472+D580+D617+D653+D689)</f>
        <v>410740</v>
      </c>
      <c r="E729" s="370">
        <f>SUM(E472+E580+E617+E653+E689)</f>
        <v>343750</v>
      </c>
      <c r="F729" s="370">
        <f>SUM(F472+F580+F617+F653+F689)</f>
        <v>327254</v>
      </c>
      <c r="G729" s="867">
        <f t="shared" si="213"/>
        <v>0.95201163636363639</v>
      </c>
    </row>
    <row r="730" spans="1:7" x14ac:dyDescent="0.2">
      <c r="A730" s="207"/>
      <c r="B730" s="223" t="s">
        <v>211</v>
      </c>
      <c r="C730" s="370">
        <f>SUM(C618+C581+C473)</f>
        <v>73567</v>
      </c>
      <c r="D730" s="370">
        <f>SUM(D618+D581+D473+D690)</f>
        <v>140648</v>
      </c>
      <c r="E730" s="370">
        <f>SUM(E618+E581+E473+E690)</f>
        <v>205801</v>
      </c>
      <c r="F730" s="370">
        <f>SUM(F618+F581+F473+F690)</f>
        <v>182030</v>
      </c>
      <c r="G730" s="571">
        <f t="shared" si="213"/>
        <v>0.88449521625259353</v>
      </c>
    </row>
    <row r="731" spans="1:7" ht="13.5" thickBot="1" x14ac:dyDescent="0.25">
      <c r="A731" s="207"/>
      <c r="B731" s="225" t="s">
        <v>366</v>
      </c>
      <c r="C731" s="371"/>
      <c r="D731" s="371"/>
      <c r="E731" s="371"/>
      <c r="F731" s="371"/>
      <c r="G731" s="593"/>
    </row>
    <row r="732" spans="1:7" ht="13.5" thickBot="1" x14ac:dyDescent="0.25">
      <c r="A732" s="207"/>
      <c r="B732" s="227" t="s">
        <v>48</v>
      </c>
      <c r="C732" s="372">
        <f t="shared" ref="C732:D732" si="247">SUM(C729:C731)</f>
        <v>328117</v>
      </c>
      <c r="D732" s="372">
        <f t="shared" si="247"/>
        <v>551388</v>
      </c>
      <c r="E732" s="377">
        <f t="shared" ref="E732:F732" si="248">SUM(E729:E731)</f>
        <v>549551</v>
      </c>
      <c r="F732" s="377">
        <f t="shared" si="248"/>
        <v>509284</v>
      </c>
      <c r="G732" s="1117">
        <f t="shared" si="213"/>
        <v>0.92672745568655135</v>
      </c>
    </row>
    <row r="733" spans="1:7" ht="15.75" thickBot="1" x14ac:dyDescent="0.3">
      <c r="A733" s="204"/>
      <c r="B733" s="228" t="s">
        <v>89</v>
      </c>
      <c r="C733" s="372">
        <f t="shared" ref="C733:D733" si="249">SUM(C728+C732)</f>
        <v>8029018</v>
      </c>
      <c r="D733" s="372">
        <f t="shared" si="249"/>
        <v>11544777</v>
      </c>
      <c r="E733" s="377">
        <f t="shared" ref="E733:F733" si="250">SUM(E728+E732)</f>
        <v>11665450</v>
      </c>
      <c r="F733" s="377">
        <f t="shared" si="250"/>
        <v>11862328</v>
      </c>
      <c r="G733" s="1117">
        <f t="shared" ref="G733" si="251">F733/E733</f>
        <v>1.0168770171746482</v>
      </c>
    </row>
  </sheetData>
  <mergeCells count="9">
    <mergeCell ref="A2:G2"/>
    <mergeCell ref="G5:G7"/>
    <mergeCell ref="A1:G1"/>
    <mergeCell ref="B5:B7"/>
    <mergeCell ref="A5:A7"/>
    <mergeCell ref="C5:C7"/>
    <mergeCell ref="D5:D7"/>
    <mergeCell ref="E5:E7"/>
    <mergeCell ref="F5:F7"/>
  </mergeCells>
  <phoneticPr fontId="1" type="noConversion"/>
  <printOptions horizontalCentered="1" verticalCentered="1"/>
  <pageMargins left="0" right="0" top="0.98425196850393704" bottom="0.70866141732283472" header="0.31496062992125984" footer="0.51181102362204722"/>
  <pageSetup paperSize="9" scale="64" firstPageNumber="11" orientation="portrait" useFirstPageNumber="1" r:id="rId1"/>
  <headerFooter alignWithMargins="0">
    <oddFooter>&amp;P. oldal</oddFooter>
  </headerFooter>
  <rowBreaks count="10" manualBreakCount="10">
    <brk id="77" max="16383" man="1"/>
    <brk id="146" max="16383" man="1"/>
    <brk id="214" max="16383" man="1"/>
    <brk id="282" max="16383" man="1"/>
    <brk id="351" max="16383" man="1"/>
    <brk id="415" max="5" man="1"/>
    <brk id="476" max="16383" man="1"/>
    <brk id="547" max="16383" man="1"/>
    <brk id="621" max="16383" man="1"/>
    <brk id="693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3793" r:id="rId4" name="Button 1">
              <controlPr defaultSize="0" print="0" autoFill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94" r:id="rId5" name="Button 2">
              <controlPr defaultSize="0" print="0" autoFill="0" autoLine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95" r:id="rId6" name="Button 3">
              <controlPr defaultSize="0" print="0" autoFill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96" r:id="rId7" name="Button 4">
              <controlPr defaultSize="0" print="0" autoFill="0" autoLine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97" r:id="rId8" name="Button 5">
              <controlPr defaultSize="0" print="0" autoFill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98" r:id="rId9" name="Button 6">
              <controlPr defaultSize="0" print="0" autoFill="0" autoLine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99" r:id="rId10" name="Button 7">
              <controlPr defaultSize="0" print="0" autoFill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0" r:id="rId11" name="Button 8">
              <controlPr defaultSize="0" print="0" autoFill="0" autoLine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1" r:id="rId12" name="Button 9">
              <controlPr defaultSize="0" print="0" autoFill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2" r:id="rId13" name="Button 10">
              <controlPr defaultSize="0" print="0" autoFill="0" autoLine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3" r:id="rId14" name="Button 11">
              <controlPr defaultSize="0" print="0" autoFill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4" r:id="rId15" name="Button 12">
              <controlPr defaultSize="0" print="0" autoFill="0" autoLine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5" r:id="rId16" name="Button 13">
              <controlPr defaultSize="0" print="0" autoFill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6" r:id="rId17" name="Button 14">
              <controlPr defaultSize="0" print="0" autoFill="0" autoLine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7" r:id="rId18" name="Button 15">
              <controlPr defaultSize="0" print="0" autoFill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8" r:id="rId19" name="Button 16">
              <controlPr defaultSize="0" print="0" autoFill="0" autoLine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66"/>
  <sheetViews>
    <sheetView topLeftCell="A7" workbookViewId="0">
      <selection activeCell="F34" sqref="F34"/>
    </sheetView>
  </sheetViews>
  <sheetFormatPr defaultColWidth="9.140625" defaultRowHeight="12" x14ac:dyDescent="0.2"/>
  <cols>
    <col min="1" max="1" width="6.85546875" style="32" customWidth="1"/>
    <col min="2" max="2" width="50.140625" style="28" customWidth="1"/>
    <col min="3" max="6" width="11.28515625" style="28" customWidth="1"/>
    <col min="7" max="7" width="9" style="28" bestFit="1" customWidth="1"/>
    <col min="8" max="8" width="28.28515625" style="28" customWidth="1"/>
    <col min="9" max="16384" width="9.140625" style="28"/>
  </cols>
  <sheetData>
    <row r="1" spans="1:7" ht="12.75" x14ac:dyDescent="0.2">
      <c r="A1" s="1177" t="s">
        <v>268</v>
      </c>
      <c r="B1" s="1178"/>
      <c r="C1" s="1179"/>
      <c r="D1" s="1179"/>
      <c r="E1" s="1179"/>
      <c r="F1" s="1179"/>
      <c r="G1" s="1179"/>
    </row>
    <row r="2" spans="1:7" ht="12.75" x14ac:dyDescent="0.2">
      <c r="A2" s="1177" t="s">
        <v>1180</v>
      </c>
      <c r="B2" s="1178"/>
      <c r="C2" s="1179"/>
      <c r="D2" s="1179"/>
      <c r="E2" s="1179"/>
      <c r="F2" s="1179"/>
      <c r="G2" s="1179"/>
    </row>
    <row r="3" spans="1:7" ht="11.45" customHeight="1" x14ac:dyDescent="0.2">
      <c r="C3" s="59"/>
      <c r="D3" s="59"/>
      <c r="E3" s="59"/>
      <c r="F3" s="59"/>
      <c r="G3" s="59" t="s">
        <v>146</v>
      </c>
    </row>
    <row r="4" spans="1:7" s="15" customFormat="1" ht="11.45" customHeight="1" x14ac:dyDescent="0.2">
      <c r="A4" s="233"/>
      <c r="B4" s="234"/>
      <c r="C4" s="1140" t="s">
        <v>1252</v>
      </c>
      <c r="D4" s="1140" t="s">
        <v>1337</v>
      </c>
      <c r="E4" s="1140" t="s">
        <v>1355</v>
      </c>
      <c r="F4" s="1140" t="s">
        <v>1357</v>
      </c>
      <c r="G4" s="1175" t="s">
        <v>1359</v>
      </c>
    </row>
    <row r="5" spans="1:7" s="15" customFormat="1" ht="12" customHeight="1" x14ac:dyDescent="0.2">
      <c r="A5" s="37" t="s">
        <v>234</v>
      </c>
      <c r="B5" s="235" t="s">
        <v>244</v>
      </c>
      <c r="C5" s="1160"/>
      <c r="D5" s="1160"/>
      <c r="E5" s="1160"/>
      <c r="F5" s="1162"/>
      <c r="G5" s="1175"/>
    </row>
    <row r="6" spans="1:7" s="15" customFormat="1" ht="12.75" customHeight="1" thickBot="1" x14ac:dyDescent="0.25">
      <c r="A6" s="236"/>
      <c r="B6" s="237"/>
      <c r="C6" s="1174"/>
      <c r="D6" s="1174"/>
      <c r="E6" s="1174"/>
      <c r="F6" s="1163"/>
      <c r="G6" s="1176"/>
    </row>
    <row r="7" spans="1:7" s="15" customFormat="1" ht="12" customHeight="1" x14ac:dyDescent="0.2">
      <c r="A7" s="238" t="s">
        <v>131</v>
      </c>
      <c r="B7" s="239" t="s">
        <v>132</v>
      </c>
      <c r="C7" s="13" t="s">
        <v>133</v>
      </c>
      <c r="D7" s="13" t="s">
        <v>454</v>
      </c>
      <c r="E7" s="13" t="s">
        <v>455</v>
      </c>
      <c r="F7" s="13" t="s">
        <v>469</v>
      </c>
      <c r="G7" s="13" t="s">
        <v>520</v>
      </c>
    </row>
    <row r="8" spans="1:7" ht="12" customHeight="1" x14ac:dyDescent="0.2">
      <c r="A8" s="233">
        <v>3010</v>
      </c>
      <c r="B8" s="240" t="s">
        <v>34</v>
      </c>
      <c r="C8" s="241">
        <f t="shared" ref="C8:D8" si="0">SUM(C18)</f>
        <v>15450</v>
      </c>
      <c r="D8" s="241">
        <f t="shared" si="0"/>
        <v>18225</v>
      </c>
      <c r="E8" s="241">
        <f t="shared" ref="E8" si="1">SUM(E18)</f>
        <v>18225</v>
      </c>
      <c r="F8" s="241">
        <f t="shared" ref="F8" si="2">SUM(F18)</f>
        <v>18225</v>
      </c>
      <c r="G8" s="145">
        <f>F8/E8</f>
        <v>1</v>
      </c>
    </row>
    <row r="9" spans="1:7" ht="12" customHeight="1" x14ac:dyDescent="0.2">
      <c r="A9" s="10">
        <v>3011</v>
      </c>
      <c r="B9" s="242" t="s">
        <v>91</v>
      </c>
      <c r="C9" s="241"/>
      <c r="D9" s="241"/>
      <c r="E9" s="241"/>
      <c r="F9" s="241"/>
      <c r="G9" s="145"/>
    </row>
    <row r="10" spans="1:7" ht="12" customHeight="1" x14ac:dyDescent="0.2">
      <c r="A10" s="33"/>
      <c r="B10" s="34" t="s">
        <v>92</v>
      </c>
      <c r="C10" s="200">
        <v>3000</v>
      </c>
      <c r="D10" s="200">
        <f>3000+38</f>
        <v>3038</v>
      </c>
      <c r="E10" s="200">
        <f>3000+38</f>
        <v>3038</v>
      </c>
      <c r="F10" s="200">
        <f>3000+38</f>
        <v>3038</v>
      </c>
      <c r="G10" s="1053">
        <f t="shared" ref="G10:G64" si="3">F10/E10</f>
        <v>1</v>
      </c>
    </row>
    <row r="11" spans="1:7" ht="12" customHeight="1" x14ac:dyDescent="0.2">
      <c r="A11" s="33"/>
      <c r="B11" s="5" t="s">
        <v>250</v>
      </c>
      <c r="C11" s="200">
        <v>450</v>
      </c>
      <c r="D11" s="200">
        <f>450+14</f>
        <v>464</v>
      </c>
      <c r="E11" s="200">
        <f>450+14</f>
        <v>464</v>
      </c>
      <c r="F11" s="200">
        <f>450+14</f>
        <v>464</v>
      </c>
      <c r="G11" s="1053">
        <f t="shared" si="3"/>
        <v>1</v>
      </c>
    </row>
    <row r="12" spans="1:7" ht="12" customHeight="1" x14ac:dyDescent="0.2">
      <c r="A12" s="36"/>
      <c r="B12" s="243" t="s">
        <v>239</v>
      </c>
      <c r="C12" s="200">
        <v>7000</v>
      </c>
      <c r="D12" s="200">
        <f>7000+818</f>
        <v>7818</v>
      </c>
      <c r="E12" s="200">
        <f>7000+818</f>
        <v>7818</v>
      </c>
      <c r="F12" s="200">
        <f>7000+818</f>
        <v>7818</v>
      </c>
      <c r="G12" s="1053">
        <f t="shared" si="3"/>
        <v>1</v>
      </c>
    </row>
    <row r="13" spans="1:7" ht="12" customHeight="1" x14ac:dyDescent="0.2">
      <c r="A13" s="33"/>
      <c r="B13" s="6" t="s">
        <v>97</v>
      </c>
      <c r="C13" s="200"/>
      <c r="D13" s="200"/>
      <c r="E13" s="200"/>
      <c r="F13" s="200"/>
      <c r="G13" s="1053"/>
    </row>
    <row r="14" spans="1:7" ht="12" customHeight="1" x14ac:dyDescent="0.2">
      <c r="A14" s="33"/>
      <c r="B14" s="5" t="s">
        <v>246</v>
      </c>
      <c r="C14" s="347"/>
      <c r="D14" s="347"/>
      <c r="E14" s="347"/>
      <c r="F14" s="347"/>
      <c r="G14" s="1053"/>
    </row>
    <row r="15" spans="1:7" ht="12" customHeight="1" x14ac:dyDescent="0.2">
      <c r="A15" s="36"/>
      <c r="B15" s="34" t="s">
        <v>212</v>
      </c>
      <c r="C15" s="346">
        <v>5000</v>
      </c>
      <c r="D15" s="346">
        <v>5000</v>
      </c>
      <c r="E15" s="346">
        <v>5000</v>
      </c>
      <c r="F15" s="346">
        <v>5000</v>
      </c>
      <c r="G15" s="1053">
        <f t="shared" si="3"/>
        <v>1</v>
      </c>
    </row>
    <row r="16" spans="1:7" ht="12" customHeight="1" x14ac:dyDescent="0.2">
      <c r="A16" s="36"/>
      <c r="B16" s="35" t="s">
        <v>213</v>
      </c>
      <c r="C16" s="347"/>
      <c r="D16" s="347">
        <v>1905</v>
      </c>
      <c r="E16" s="347">
        <v>1905</v>
      </c>
      <c r="F16" s="347">
        <v>1905</v>
      </c>
      <c r="G16" s="1053">
        <f t="shared" si="3"/>
        <v>1</v>
      </c>
    </row>
    <row r="17" spans="1:7" ht="12" customHeight="1" thickBot="1" x14ac:dyDescent="0.25">
      <c r="A17" s="33"/>
      <c r="B17" s="29" t="s">
        <v>228</v>
      </c>
      <c r="C17" s="336"/>
      <c r="D17" s="336"/>
      <c r="E17" s="336"/>
      <c r="F17" s="336"/>
      <c r="G17" s="1073"/>
    </row>
    <row r="18" spans="1:7" ht="12" customHeight="1" thickBot="1" x14ac:dyDescent="0.25">
      <c r="A18" s="236"/>
      <c r="B18" s="244" t="s">
        <v>106</v>
      </c>
      <c r="C18" s="342">
        <f t="shared" ref="C18:D18" si="4">SUM(C10:C17)</f>
        <v>15450</v>
      </c>
      <c r="D18" s="342">
        <f t="shared" si="4"/>
        <v>18225</v>
      </c>
      <c r="E18" s="342">
        <f t="shared" ref="E18" si="5">SUM(E10:E17)</f>
        <v>18225</v>
      </c>
      <c r="F18" s="342">
        <f t="shared" ref="F18" si="6">SUM(F10:F17)</f>
        <v>18225</v>
      </c>
      <c r="G18" s="1074">
        <f t="shared" si="3"/>
        <v>1</v>
      </c>
    </row>
    <row r="19" spans="1:7" s="15" customFormat="1" ht="12" customHeight="1" x14ac:dyDescent="0.2">
      <c r="A19" s="245">
        <v>3020</v>
      </c>
      <c r="B19" s="162" t="s">
        <v>68</v>
      </c>
      <c r="C19" s="345">
        <f>SUM(C29+C49)</f>
        <v>3479982</v>
      </c>
      <c r="D19" s="345">
        <f>SUM(D29+D49)</f>
        <v>3878374</v>
      </c>
      <c r="E19" s="345">
        <f>SUM(E29+E49)</f>
        <v>3878374</v>
      </c>
      <c r="F19" s="345">
        <f>SUM(F29+F49)</f>
        <v>3878374</v>
      </c>
      <c r="G19" s="1072">
        <f t="shared" si="3"/>
        <v>1</v>
      </c>
    </row>
    <row r="20" spans="1:7" s="15" customFormat="1" ht="12" customHeight="1" x14ac:dyDescent="0.2">
      <c r="A20" s="37">
        <v>3021</v>
      </c>
      <c r="B20" s="246" t="s">
        <v>306</v>
      </c>
      <c r="C20" s="345"/>
      <c r="D20" s="345"/>
      <c r="E20" s="345"/>
      <c r="F20" s="345"/>
      <c r="G20" s="145"/>
    </row>
    <row r="21" spans="1:7" ht="12" customHeight="1" x14ac:dyDescent="0.2">
      <c r="A21" s="33"/>
      <c r="B21" s="34" t="s">
        <v>92</v>
      </c>
      <c r="C21" s="200">
        <v>2449449</v>
      </c>
      <c r="D21" s="200">
        <f>2449449+107382</f>
        <v>2556831</v>
      </c>
      <c r="E21" s="200">
        <f>2449449+107382</f>
        <v>2556831</v>
      </c>
      <c r="F21" s="200">
        <f>2449449+107382</f>
        <v>2556831</v>
      </c>
      <c r="G21" s="1053">
        <f t="shared" si="3"/>
        <v>1</v>
      </c>
    </row>
    <row r="22" spans="1:7" ht="12" customHeight="1" x14ac:dyDescent="0.2">
      <c r="A22" s="33"/>
      <c r="B22" s="5" t="s">
        <v>250</v>
      </c>
      <c r="C22" s="200">
        <v>371533</v>
      </c>
      <c r="D22" s="200">
        <f>371533+31152</f>
        <v>402685</v>
      </c>
      <c r="E22" s="200">
        <f>371533+31152</f>
        <v>402685</v>
      </c>
      <c r="F22" s="200">
        <f>371533+31152</f>
        <v>402685</v>
      </c>
      <c r="G22" s="1053">
        <f t="shared" si="3"/>
        <v>1</v>
      </c>
    </row>
    <row r="23" spans="1:7" ht="12" customHeight="1" x14ac:dyDescent="0.2">
      <c r="A23" s="36"/>
      <c r="B23" s="243" t="s">
        <v>239</v>
      </c>
      <c r="C23" s="346">
        <v>490000</v>
      </c>
      <c r="D23" s="346">
        <f>490000+122468</f>
        <v>612468</v>
      </c>
      <c r="E23" s="346">
        <f>490000+122468</f>
        <v>612468</v>
      </c>
      <c r="F23" s="346">
        <f>490000+122468</f>
        <v>612468</v>
      </c>
      <c r="G23" s="1053">
        <f t="shared" si="3"/>
        <v>1</v>
      </c>
    </row>
    <row r="24" spans="1:7" ht="12" customHeight="1" x14ac:dyDescent="0.2">
      <c r="A24" s="33"/>
      <c r="B24" s="6" t="s">
        <v>97</v>
      </c>
      <c r="C24" s="346"/>
      <c r="D24" s="346"/>
      <c r="E24" s="346"/>
      <c r="F24" s="346"/>
      <c r="G24" s="1053"/>
    </row>
    <row r="25" spans="1:7" ht="12" customHeight="1" x14ac:dyDescent="0.2">
      <c r="A25" s="33"/>
      <c r="B25" s="5" t="s">
        <v>246</v>
      </c>
      <c r="C25" s="346"/>
      <c r="D25" s="346"/>
      <c r="E25" s="346"/>
      <c r="F25" s="346"/>
      <c r="G25" s="1053"/>
    </row>
    <row r="26" spans="1:7" ht="12" customHeight="1" x14ac:dyDescent="0.2">
      <c r="A26" s="36"/>
      <c r="B26" s="34" t="s">
        <v>212</v>
      </c>
      <c r="C26" s="200">
        <v>15000</v>
      </c>
      <c r="D26" s="200">
        <f>15000+80969</f>
        <v>95969</v>
      </c>
      <c r="E26" s="200">
        <f>15000+80969</f>
        <v>95969</v>
      </c>
      <c r="F26" s="200">
        <f>15000+80969</f>
        <v>95969</v>
      </c>
      <c r="G26" s="1053">
        <f t="shared" si="3"/>
        <v>1</v>
      </c>
    </row>
    <row r="27" spans="1:7" ht="12" customHeight="1" x14ac:dyDescent="0.2">
      <c r="A27" s="36"/>
      <c r="B27" s="35" t="s">
        <v>213</v>
      </c>
      <c r="C27" s="347"/>
      <c r="D27" s="347"/>
      <c r="E27" s="347"/>
      <c r="F27" s="347"/>
      <c r="G27" s="1053"/>
    </row>
    <row r="28" spans="1:7" ht="12" customHeight="1" thickBot="1" x14ac:dyDescent="0.25">
      <c r="A28" s="33"/>
      <c r="B28" s="29" t="s">
        <v>367</v>
      </c>
      <c r="C28" s="336">
        <v>4000</v>
      </c>
      <c r="D28" s="336">
        <v>4000</v>
      </c>
      <c r="E28" s="336">
        <v>4000</v>
      </c>
      <c r="F28" s="336">
        <v>4000</v>
      </c>
      <c r="G28" s="1073">
        <f t="shared" si="3"/>
        <v>1</v>
      </c>
    </row>
    <row r="29" spans="1:7" ht="12.75" thickBot="1" x14ac:dyDescent="0.25">
      <c r="A29" s="236"/>
      <c r="B29" s="244" t="s">
        <v>106</v>
      </c>
      <c r="C29" s="342">
        <f t="shared" ref="C29:D29" si="7">SUM(C21:C28)</f>
        <v>3329982</v>
      </c>
      <c r="D29" s="342">
        <f t="shared" si="7"/>
        <v>3671953</v>
      </c>
      <c r="E29" s="342">
        <f t="shared" ref="E29" si="8">SUM(E21:E28)</f>
        <v>3671953</v>
      </c>
      <c r="F29" s="342">
        <f t="shared" ref="F29" si="9">SUM(F21:F28)</f>
        <v>3671953</v>
      </c>
      <c r="G29" s="1074">
        <f t="shared" si="3"/>
        <v>1</v>
      </c>
    </row>
    <row r="30" spans="1:7" ht="12" customHeight="1" x14ac:dyDescent="0.2">
      <c r="A30" s="37">
        <v>3027</v>
      </c>
      <c r="B30" s="246" t="s">
        <v>1175</v>
      </c>
      <c r="C30" s="345"/>
      <c r="D30" s="345"/>
      <c r="E30" s="345"/>
      <c r="F30" s="345"/>
      <c r="G30" s="1072"/>
    </row>
    <row r="31" spans="1:7" ht="12" customHeight="1" x14ac:dyDescent="0.2">
      <c r="A31" s="33"/>
      <c r="B31" s="34" t="s">
        <v>92</v>
      </c>
      <c r="C31" s="346">
        <v>42670</v>
      </c>
      <c r="D31" s="346">
        <f>42670+19288</f>
        <v>61958</v>
      </c>
      <c r="E31" s="346">
        <f>42670+19288</f>
        <v>61958</v>
      </c>
      <c r="F31" s="346">
        <f>61958+5952</f>
        <v>67910</v>
      </c>
      <c r="G31" s="1053">
        <f t="shared" si="3"/>
        <v>1.0960650763420381</v>
      </c>
    </row>
    <row r="32" spans="1:7" ht="12" customHeight="1" x14ac:dyDescent="0.2">
      <c r="A32" s="33"/>
      <c r="B32" s="5" t="s">
        <v>250</v>
      </c>
      <c r="C32" s="346">
        <v>6096</v>
      </c>
      <c r="D32" s="346">
        <f>6096+2924</f>
        <v>9020</v>
      </c>
      <c r="E32" s="346">
        <f>6096+2924</f>
        <v>9020</v>
      </c>
      <c r="F32" s="346">
        <f>9020+1745</f>
        <v>10765</v>
      </c>
      <c r="G32" s="1053">
        <f t="shared" si="3"/>
        <v>1.1934589800443458</v>
      </c>
    </row>
    <row r="33" spans="1:7" ht="12" customHeight="1" x14ac:dyDescent="0.2">
      <c r="A33" s="36"/>
      <c r="B33" s="243" t="s">
        <v>239</v>
      </c>
      <c r="C33" s="346">
        <v>5000</v>
      </c>
      <c r="D33" s="346">
        <f>5000+6580</f>
        <v>11580</v>
      </c>
      <c r="E33" s="346">
        <f>5000+6580</f>
        <v>11580</v>
      </c>
      <c r="F33" s="346">
        <f>11580+2014</f>
        <v>13594</v>
      </c>
      <c r="G33" s="1053">
        <f t="shared" si="3"/>
        <v>1.1739205526770293</v>
      </c>
    </row>
    <row r="34" spans="1:7" ht="12" customHeight="1" x14ac:dyDescent="0.2">
      <c r="A34" s="33"/>
      <c r="B34" s="6" t="s">
        <v>97</v>
      </c>
      <c r="C34" s="346"/>
      <c r="D34" s="346"/>
      <c r="E34" s="346"/>
      <c r="F34" s="346"/>
      <c r="G34" s="1053"/>
    </row>
    <row r="35" spans="1:7" ht="12" customHeight="1" x14ac:dyDescent="0.2">
      <c r="A35" s="33"/>
      <c r="B35" s="5" t="s">
        <v>246</v>
      </c>
      <c r="C35" s="346"/>
      <c r="D35" s="346"/>
      <c r="E35" s="346"/>
      <c r="F35" s="346"/>
      <c r="G35" s="1053"/>
    </row>
    <row r="36" spans="1:7" ht="12" customHeight="1" x14ac:dyDescent="0.2">
      <c r="A36" s="36"/>
      <c r="B36" s="34" t="s">
        <v>212</v>
      </c>
      <c r="C36" s="347"/>
      <c r="D36" s="347"/>
      <c r="E36" s="347"/>
      <c r="F36" s="347"/>
      <c r="G36" s="1053"/>
    </row>
    <row r="37" spans="1:7" ht="12" customHeight="1" x14ac:dyDescent="0.2">
      <c r="A37" s="36"/>
      <c r="B37" s="35" t="s">
        <v>213</v>
      </c>
      <c r="C37" s="347"/>
      <c r="D37" s="347"/>
      <c r="E37" s="347"/>
      <c r="F37" s="347"/>
      <c r="G37" s="1053"/>
    </row>
    <row r="38" spans="1:7" ht="12" customHeight="1" thickBot="1" x14ac:dyDescent="0.25">
      <c r="A38" s="33"/>
      <c r="B38" s="29" t="s">
        <v>367</v>
      </c>
      <c r="C38" s="336"/>
      <c r="D38" s="336"/>
      <c r="E38" s="336"/>
      <c r="F38" s="336"/>
      <c r="G38" s="1073"/>
    </row>
    <row r="39" spans="1:7" ht="12" customHeight="1" thickBot="1" x14ac:dyDescent="0.25">
      <c r="A39" s="236"/>
      <c r="B39" s="244" t="s">
        <v>106</v>
      </c>
      <c r="C39" s="342">
        <f t="shared" ref="C39:D39" si="10">SUM(C31:C38)</f>
        <v>53766</v>
      </c>
      <c r="D39" s="342">
        <f t="shared" si="10"/>
        <v>82558</v>
      </c>
      <c r="E39" s="342">
        <f t="shared" ref="E39" si="11">SUM(E31:E38)</f>
        <v>82558</v>
      </c>
      <c r="F39" s="342">
        <f t="shared" ref="F39" si="12">SUM(F31:F38)</f>
        <v>92269</v>
      </c>
      <c r="G39" s="1074">
        <f t="shared" si="3"/>
        <v>1.1176263959882748</v>
      </c>
    </row>
    <row r="40" spans="1:7" ht="12" customHeight="1" x14ac:dyDescent="0.2">
      <c r="A40" s="248">
        <v>3026</v>
      </c>
      <c r="B40" s="249" t="s">
        <v>247</v>
      </c>
      <c r="C40" s="345"/>
      <c r="D40" s="345"/>
      <c r="E40" s="345"/>
      <c r="F40" s="345"/>
      <c r="G40" s="1072"/>
    </row>
    <row r="41" spans="1:7" ht="12" customHeight="1" x14ac:dyDescent="0.2">
      <c r="A41" s="10"/>
      <c r="B41" s="34" t="s">
        <v>92</v>
      </c>
      <c r="C41" s="346"/>
      <c r="D41" s="346"/>
      <c r="E41" s="346"/>
      <c r="F41" s="346"/>
      <c r="G41" s="145"/>
    </row>
    <row r="42" spans="1:7" ht="12" customHeight="1" x14ac:dyDescent="0.2">
      <c r="A42" s="10"/>
      <c r="B42" s="5" t="s">
        <v>250</v>
      </c>
      <c r="C42" s="346"/>
      <c r="D42" s="346"/>
      <c r="E42" s="346"/>
      <c r="F42" s="346"/>
      <c r="G42" s="145"/>
    </row>
    <row r="43" spans="1:7" ht="12" customHeight="1" x14ac:dyDescent="0.2">
      <c r="A43" s="10"/>
      <c r="B43" s="243" t="s">
        <v>239</v>
      </c>
      <c r="C43" s="200">
        <v>135000</v>
      </c>
      <c r="D43" s="200">
        <f>135000+28657</f>
        <v>163657</v>
      </c>
      <c r="E43" s="200">
        <f>135000+28657</f>
        <v>163657</v>
      </c>
      <c r="F43" s="200">
        <f>135000+28657</f>
        <v>163657</v>
      </c>
      <c r="G43" s="1053">
        <f t="shared" si="3"/>
        <v>1</v>
      </c>
    </row>
    <row r="44" spans="1:7" ht="12" customHeight="1" x14ac:dyDescent="0.2">
      <c r="A44" s="10"/>
      <c r="B44" s="6" t="s">
        <v>97</v>
      </c>
      <c r="C44" s="350"/>
      <c r="D44" s="350"/>
      <c r="E44" s="350"/>
      <c r="F44" s="350"/>
      <c r="G44" s="145"/>
    </row>
    <row r="45" spans="1:7" ht="12" customHeight="1" x14ac:dyDescent="0.2">
      <c r="A45" s="10"/>
      <c r="B45" s="5" t="s">
        <v>246</v>
      </c>
      <c r="C45" s="350"/>
      <c r="D45" s="350"/>
      <c r="E45" s="350"/>
      <c r="F45" s="350"/>
      <c r="G45" s="145"/>
    </row>
    <row r="46" spans="1:7" ht="12" customHeight="1" x14ac:dyDescent="0.2">
      <c r="A46" s="10"/>
      <c r="B46" s="34" t="s">
        <v>212</v>
      </c>
      <c r="C46" s="200">
        <v>15000</v>
      </c>
      <c r="D46" s="200">
        <f>15000+27764</f>
        <v>42764</v>
      </c>
      <c r="E46" s="200">
        <f>15000+27764</f>
        <v>42764</v>
      </c>
      <c r="F46" s="200">
        <f>15000+27764</f>
        <v>42764</v>
      </c>
      <c r="G46" s="1053">
        <f t="shared" si="3"/>
        <v>1</v>
      </c>
    </row>
    <row r="47" spans="1:7" ht="12" customHeight="1" x14ac:dyDescent="0.2">
      <c r="A47" s="10"/>
      <c r="B47" s="35" t="s">
        <v>213</v>
      </c>
      <c r="C47" s="348"/>
      <c r="D47" s="348"/>
      <c r="E47" s="348"/>
      <c r="F47" s="348"/>
      <c r="G47" s="145"/>
    </row>
    <row r="48" spans="1:7" ht="12" customHeight="1" thickBot="1" x14ac:dyDescent="0.25">
      <c r="A48" s="10"/>
      <c r="B48" s="29" t="s">
        <v>228</v>
      </c>
      <c r="C48" s="392"/>
      <c r="D48" s="392"/>
      <c r="E48" s="392"/>
      <c r="F48" s="392"/>
      <c r="G48" s="1075"/>
    </row>
    <row r="49" spans="1:8" ht="12" customHeight="1" thickBot="1" x14ac:dyDescent="0.25">
      <c r="A49" s="247"/>
      <c r="B49" s="244" t="s">
        <v>106</v>
      </c>
      <c r="C49" s="342">
        <f t="shared" ref="C49:D49" si="13">SUM(C40:C46)</f>
        <v>150000</v>
      </c>
      <c r="D49" s="342">
        <f t="shared" si="13"/>
        <v>206421</v>
      </c>
      <c r="E49" s="342">
        <f t="shared" ref="E49" si="14">SUM(E40:E46)</f>
        <v>206421</v>
      </c>
      <c r="F49" s="342">
        <f t="shared" ref="F49" si="15">SUM(F40:F46)</f>
        <v>206421</v>
      </c>
      <c r="G49" s="1074">
        <f t="shared" si="3"/>
        <v>1</v>
      </c>
    </row>
    <row r="50" spans="1:8" ht="12" customHeight="1" x14ac:dyDescent="0.2">
      <c r="A50" s="37">
        <v>3000</v>
      </c>
      <c r="B50" s="250" t="s">
        <v>93</v>
      </c>
      <c r="C50" s="346"/>
      <c r="D50" s="346"/>
      <c r="E50" s="346"/>
      <c r="F50" s="346"/>
      <c r="G50" s="1072"/>
    </row>
    <row r="51" spans="1:8" ht="12" customHeight="1" x14ac:dyDescent="0.2">
      <c r="A51" s="37"/>
      <c r="B51" s="63" t="s">
        <v>51</v>
      </c>
      <c r="C51" s="346"/>
      <c r="D51" s="346"/>
      <c r="E51" s="346"/>
      <c r="F51" s="346"/>
      <c r="G51" s="145"/>
    </row>
    <row r="52" spans="1:8" ht="12" customHeight="1" x14ac:dyDescent="0.2">
      <c r="A52" s="33"/>
      <c r="B52" s="34" t="s">
        <v>92</v>
      </c>
      <c r="C52" s="346">
        <f t="shared" ref="C52:E53" si="16">SUM(C21+C10+C31)</f>
        <v>2495119</v>
      </c>
      <c r="D52" s="346">
        <f t="shared" si="16"/>
        <v>2621827</v>
      </c>
      <c r="E52" s="346">
        <f t="shared" si="16"/>
        <v>2621827</v>
      </c>
      <c r="F52" s="346">
        <f t="shared" ref="F52" si="17">SUM(F21+F10+F31)</f>
        <v>2627779</v>
      </c>
      <c r="G52" s="1053">
        <f t="shared" si="3"/>
        <v>1.002270172669669</v>
      </c>
    </row>
    <row r="53" spans="1:8" ht="12" customHeight="1" x14ac:dyDescent="0.2">
      <c r="A53" s="33"/>
      <c r="B53" s="5" t="s">
        <v>250</v>
      </c>
      <c r="C53" s="346">
        <f t="shared" si="16"/>
        <v>378079</v>
      </c>
      <c r="D53" s="346">
        <f t="shared" si="16"/>
        <v>412169</v>
      </c>
      <c r="E53" s="346">
        <f t="shared" si="16"/>
        <v>412169</v>
      </c>
      <c r="F53" s="346">
        <f t="shared" ref="F53" si="18">SUM(F22+F11+F32)</f>
        <v>413914</v>
      </c>
      <c r="G53" s="1053">
        <f t="shared" si="3"/>
        <v>1.004233700254022</v>
      </c>
    </row>
    <row r="54" spans="1:8" ht="12" customHeight="1" x14ac:dyDescent="0.2">
      <c r="A54" s="36"/>
      <c r="B54" s="6" t="s">
        <v>248</v>
      </c>
      <c r="C54" s="346">
        <f>SUM(C23+C12+C33)+C43</f>
        <v>637000</v>
      </c>
      <c r="D54" s="346">
        <f>SUM(D23+D12+D33)+D43</f>
        <v>795523</v>
      </c>
      <c r="E54" s="346">
        <f>SUM(E23+E12+E33)+E43</f>
        <v>795523</v>
      </c>
      <c r="F54" s="346">
        <f>SUM(F23+F12+F33)+F43</f>
        <v>797537</v>
      </c>
      <c r="G54" s="1053">
        <f t="shared" si="3"/>
        <v>1.0025316678461842</v>
      </c>
    </row>
    <row r="55" spans="1:8" ht="12" customHeight="1" x14ac:dyDescent="0.2">
      <c r="A55" s="33"/>
      <c r="B55" s="6" t="s">
        <v>97</v>
      </c>
      <c r="C55" s="346">
        <f>SUM(C24+C13+C34)</f>
        <v>0</v>
      </c>
      <c r="D55" s="346">
        <f>SUM(D24+D13+D34)</f>
        <v>0</v>
      </c>
      <c r="E55" s="346">
        <f>SUM(E24+E13+E34)</f>
        <v>0</v>
      </c>
      <c r="F55" s="346">
        <f>SUM(F24+F13+F34)</f>
        <v>0</v>
      </c>
      <c r="G55" s="1053"/>
    </row>
    <row r="56" spans="1:8" ht="12" customHeight="1" x14ac:dyDescent="0.2">
      <c r="A56" s="33"/>
      <c r="B56" s="5" t="s">
        <v>246</v>
      </c>
      <c r="C56" s="346"/>
      <c r="D56" s="346"/>
      <c r="E56" s="346"/>
      <c r="F56" s="346"/>
      <c r="G56" s="145"/>
    </row>
    <row r="57" spans="1:8" ht="12" customHeight="1" x14ac:dyDescent="0.2">
      <c r="A57" s="33"/>
      <c r="B57" s="57" t="s">
        <v>42</v>
      </c>
      <c r="C57" s="349">
        <f t="shared" ref="C57:D57" si="19">SUM(C52:C56)</f>
        <v>3510198</v>
      </c>
      <c r="D57" s="349">
        <f t="shared" si="19"/>
        <v>3829519</v>
      </c>
      <c r="E57" s="349">
        <f t="shared" ref="E57" si="20">SUM(E52:E56)</f>
        <v>3829519</v>
      </c>
      <c r="F57" s="349">
        <f t="shared" ref="F57" si="21">SUM(F52:F56)</f>
        <v>3839230</v>
      </c>
      <c r="G57" s="145">
        <f t="shared" si="3"/>
        <v>1.0025358276065479</v>
      </c>
    </row>
    <row r="58" spans="1:8" ht="12" customHeight="1" x14ac:dyDescent="0.2">
      <c r="A58" s="33"/>
      <c r="B58" s="79" t="s">
        <v>52</v>
      </c>
      <c r="C58" s="346"/>
      <c r="D58" s="346"/>
      <c r="E58" s="346"/>
      <c r="F58" s="346"/>
      <c r="G58" s="145"/>
    </row>
    <row r="59" spans="1:8" ht="12" customHeight="1" x14ac:dyDescent="0.2">
      <c r="A59" s="33"/>
      <c r="B59" s="34" t="s">
        <v>214</v>
      </c>
      <c r="C59" s="346">
        <f>SUM(C27+C16)</f>
        <v>0</v>
      </c>
      <c r="D59" s="346">
        <f>SUM(D27+D16)</f>
        <v>1905</v>
      </c>
      <c r="E59" s="346">
        <f>SUM(E27+E16)</f>
        <v>1905</v>
      </c>
      <c r="F59" s="346">
        <f>SUM(F27+F16)</f>
        <v>1905</v>
      </c>
      <c r="G59" s="1053">
        <f t="shared" si="3"/>
        <v>1</v>
      </c>
    </row>
    <row r="60" spans="1:8" ht="12" customHeight="1" x14ac:dyDescent="0.2">
      <c r="A60" s="33"/>
      <c r="B60" s="35" t="s">
        <v>316</v>
      </c>
      <c r="C60" s="346">
        <f>SUM(C26+C15+C46)+C36</f>
        <v>35000</v>
      </c>
      <c r="D60" s="346">
        <f>SUM(D26+D15+D46)+D36</f>
        <v>143733</v>
      </c>
      <c r="E60" s="346">
        <f>SUM(E26+E15+E46)+E36</f>
        <v>143733</v>
      </c>
      <c r="F60" s="346">
        <f>SUM(F26+F15+F46)+F36</f>
        <v>143733</v>
      </c>
      <c r="G60" s="1053">
        <f t="shared" si="3"/>
        <v>1</v>
      </c>
    </row>
    <row r="61" spans="1:8" ht="12" customHeight="1" x14ac:dyDescent="0.2">
      <c r="A61" s="33"/>
      <c r="B61" s="6" t="s">
        <v>368</v>
      </c>
      <c r="C61" s="346">
        <f>SUM(C28)</f>
        <v>4000</v>
      </c>
      <c r="D61" s="346">
        <f>SUM(D28)</f>
        <v>4000</v>
      </c>
      <c r="E61" s="346">
        <f>SUM(E28)</f>
        <v>4000</v>
      </c>
      <c r="F61" s="346">
        <f>SUM(F28)</f>
        <v>4000</v>
      </c>
      <c r="G61" s="1053">
        <f t="shared" si="3"/>
        <v>1</v>
      </c>
    </row>
    <row r="62" spans="1:8" ht="12" customHeight="1" thickBot="1" x14ac:dyDescent="0.25">
      <c r="A62" s="33"/>
      <c r="B62" s="57" t="s">
        <v>53</v>
      </c>
      <c r="C62" s="395">
        <f t="shared" ref="C62:D62" si="22">SUM(C59:C61)</f>
        <v>39000</v>
      </c>
      <c r="D62" s="395">
        <f t="shared" si="22"/>
        <v>149638</v>
      </c>
      <c r="E62" s="395">
        <f t="shared" ref="E62" si="23">SUM(E59:E61)</f>
        <v>149638</v>
      </c>
      <c r="F62" s="395">
        <f t="shared" ref="F62" si="24">SUM(F59:F61)</f>
        <v>149638</v>
      </c>
      <c r="G62" s="1073">
        <f t="shared" si="3"/>
        <v>1</v>
      </c>
    </row>
    <row r="63" spans="1:8" ht="12" customHeight="1" thickBot="1" x14ac:dyDescent="0.25">
      <c r="A63" s="236"/>
      <c r="B63" s="244" t="s">
        <v>215</v>
      </c>
      <c r="C63" s="342">
        <f t="shared" ref="C63:D63" si="25">SUM(C57+C62)</f>
        <v>3549198</v>
      </c>
      <c r="D63" s="342">
        <f t="shared" si="25"/>
        <v>3979157</v>
      </c>
      <c r="E63" s="342">
        <f t="shared" ref="E63" si="26">SUM(E57+E62)</f>
        <v>3979157</v>
      </c>
      <c r="F63" s="342">
        <f t="shared" ref="F63" si="27">SUM(F57+F62)</f>
        <v>3988868</v>
      </c>
      <c r="G63" s="1074">
        <f t="shared" si="3"/>
        <v>1.0024404666616573</v>
      </c>
    </row>
    <row r="64" spans="1:8" ht="12.75" thickBot="1" x14ac:dyDescent="0.25">
      <c r="A64" s="251"/>
      <c r="B64" s="252" t="s">
        <v>59</v>
      </c>
      <c r="C64" s="393">
        <f t="shared" ref="C64:D64" si="28">SUM(C63)</f>
        <v>3549198</v>
      </c>
      <c r="D64" s="393">
        <f t="shared" si="28"/>
        <v>3979157</v>
      </c>
      <c r="E64" s="393">
        <f t="shared" ref="E64" si="29">SUM(E63)</f>
        <v>3979157</v>
      </c>
      <c r="F64" s="393">
        <f t="shared" ref="F64" si="30">SUM(F63)</f>
        <v>3988868</v>
      </c>
      <c r="G64" s="1074">
        <f t="shared" si="3"/>
        <v>1.0024404666616573</v>
      </c>
      <c r="H64" s="16"/>
    </row>
    <row r="66" spans="3:6" x14ac:dyDescent="0.2">
      <c r="C66" s="16"/>
      <c r="D66" s="16"/>
      <c r="E66" s="16"/>
      <c r="F66" s="16"/>
    </row>
  </sheetData>
  <mergeCells count="7">
    <mergeCell ref="G4:G6"/>
    <mergeCell ref="A2:G2"/>
    <mergeCell ref="A1:G1"/>
    <mergeCell ref="C4:C6"/>
    <mergeCell ref="D4:D6"/>
    <mergeCell ref="E4:E6"/>
    <mergeCell ref="F4:F6"/>
  </mergeCells>
  <phoneticPr fontId="0" type="noConversion"/>
  <printOptions horizontalCentered="1" verticalCentered="1"/>
  <pageMargins left="0.39370078740157483" right="0.39370078740157483" top="0.19685039370078741" bottom="0.19685039370078741" header="0.11811023622047245" footer="0"/>
  <pageSetup paperSize="9" firstPageNumber="22" orientation="landscape" useFirstPageNumber="1" r:id="rId1"/>
  <headerFooter alignWithMargins="0">
    <oddFooter>&amp;P. oldal</oddFooter>
  </headerFooter>
  <rowBreaks count="1" manualBreakCount="1">
    <brk id="29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09" r:id="rId4" name="Button 1">
              <controlPr defaultSize="0" print="0" autoFill="0" autoPict="0" macro="[8]!run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1</xdr:col>
                    <xdr:colOff>28575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0" r:id="rId5" name="Button 2">
              <controlPr defaultSize="0" print="0" autoFill="0" autoPict="0" macro="[8]!run">
                <anchor moveWithCells="1">
                  <from>
                    <xdr:col>0</xdr:col>
                    <xdr:colOff>247650</xdr:colOff>
                    <xdr:row>0</xdr:row>
                    <xdr:rowOff>0</xdr:rowOff>
                  </from>
                  <to>
                    <xdr:col>1</xdr:col>
                    <xdr:colOff>276225</xdr:colOff>
                    <xdr:row>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878"/>
  <sheetViews>
    <sheetView topLeftCell="A807" zoomScaleNormal="100" workbookViewId="0">
      <selection activeCell="F819" sqref="F819"/>
    </sheetView>
  </sheetViews>
  <sheetFormatPr defaultColWidth="9.140625" defaultRowHeight="12" x14ac:dyDescent="0.2"/>
  <cols>
    <col min="1" max="1" width="6.140625" style="32" customWidth="1"/>
    <col min="2" max="2" width="50.85546875" style="28" customWidth="1"/>
    <col min="3" max="6" width="12.42578125" style="890" customWidth="1"/>
    <col min="7" max="7" width="9.28515625" style="890" customWidth="1"/>
    <col min="8" max="8" width="46" style="890" bestFit="1" customWidth="1"/>
    <col min="9" max="16384" width="9.140625" style="28"/>
  </cols>
  <sheetData>
    <row r="1" spans="1:8" ht="12.75" x14ac:dyDescent="0.2">
      <c r="A1" s="1180" t="s">
        <v>267</v>
      </c>
      <c r="B1" s="1181"/>
      <c r="C1" s="1181"/>
      <c r="D1" s="1181"/>
      <c r="E1" s="1181"/>
      <c r="F1" s="1181"/>
      <c r="G1" s="1181"/>
      <c r="H1" s="1181"/>
    </row>
    <row r="2" spans="1:8" ht="12.75" x14ac:dyDescent="0.2">
      <c r="A2" s="1182" t="s">
        <v>1181</v>
      </c>
      <c r="B2" s="1183"/>
      <c r="C2" s="1183"/>
      <c r="D2" s="1183"/>
      <c r="E2" s="1183"/>
      <c r="F2" s="1183"/>
      <c r="G2" s="1183"/>
      <c r="H2" s="1183"/>
    </row>
    <row r="3" spans="1:8" ht="12.75" x14ac:dyDescent="0.2">
      <c r="A3" s="891"/>
      <c r="B3" s="891"/>
      <c r="C3" s="891"/>
      <c r="D3" s="891"/>
      <c r="E3" s="891"/>
      <c r="F3" s="891"/>
      <c r="G3" s="891"/>
      <c r="H3" s="891"/>
    </row>
    <row r="4" spans="1:8" x14ac:dyDescent="0.2">
      <c r="C4" s="892"/>
      <c r="D4" s="892"/>
      <c r="E4" s="892"/>
      <c r="F4" s="892"/>
      <c r="G4" s="892"/>
      <c r="H4" s="60" t="s">
        <v>146</v>
      </c>
    </row>
    <row r="5" spans="1:8" s="15" customFormat="1" ht="12" customHeight="1" x14ac:dyDescent="0.2">
      <c r="A5" s="233"/>
      <c r="B5" s="234"/>
      <c r="C5" s="1140" t="s">
        <v>1252</v>
      </c>
      <c r="D5" s="1140" t="s">
        <v>1337</v>
      </c>
      <c r="E5" s="1140" t="s">
        <v>1355</v>
      </c>
      <c r="F5" s="1140" t="s">
        <v>1357</v>
      </c>
      <c r="G5" s="1140" t="s">
        <v>1339</v>
      </c>
      <c r="H5" s="1" t="s">
        <v>433</v>
      </c>
    </row>
    <row r="6" spans="1:8" s="15" customFormat="1" ht="12" customHeight="1" x14ac:dyDescent="0.2">
      <c r="A6" s="37" t="s">
        <v>234</v>
      </c>
      <c r="B6" s="235" t="s">
        <v>244</v>
      </c>
      <c r="C6" s="1184"/>
      <c r="D6" s="1184"/>
      <c r="E6" s="1184"/>
      <c r="F6" s="1162"/>
      <c r="G6" s="1162"/>
      <c r="H6" s="10" t="s">
        <v>115</v>
      </c>
    </row>
    <row r="7" spans="1:8" s="15" customFormat="1" ht="12.75" customHeight="1" thickBot="1" x14ac:dyDescent="0.25">
      <c r="A7" s="37"/>
      <c r="B7" s="237"/>
      <c r="C7" s="1161"/>
      <c r="D7" s="1161"/>
      <c r="E7" s="1161"/>
      <c r="F7" s="1163"/>
      <c r="G7" s="1163"/>
      <c r="H7" s="247"/>
    </row>
    <row r="8" spans="1:8" s="15" customFormat="1" x14ac:dyDescent="0.2">
      <c r="A8" s="238" t="s">
        <v>131</v>
      </c>
      <c r="B8" s="893" t="s">
        <v>132</v>
      </c>
      <c r="C8" s="13" t="s">
        <v>133</v>
      </c>
      <c r="D8" s="13" t="s">
        <v>454</v>
      </c>
      <c r="E8" s="13" t="s">
        <v>455</v>
      </c>
      <c r="F8" s="13" t="s">
        <v>469</v>
      </c>
      <c r="G8" s="13" t="s">
        <v>520</v>
      </c>
      <c r="H8" s="13" t="s">
        <v>410</v>
      </c>
    </row>
    <row r="9" spans="1:8" s="15" customFormat="1" x14ac:dyDescent="0.2">
      <c r="A9" s="37">
        <v>3050</v>
      </c>
      <c r="B9" s="894" t="s">
        <v>216</v>
      </c>
      <c r="C9" s="241">
        <f>SUM(C17+C25+C34+C43+C52+C61)</f>
        <v>198000</v>
      </c>
      <c r="D9" s="241">
        <f>SUM(D17+D25+D34+D43+D52+D61)</f>
        <v>337957</v>
      </c>
      <c r="E9" s="241">
        <f>SUM(E17+E25+E34+E43+E52+E61)</f>
        <v>337957</v>
      </c>
      <c r="F9" s="241">
        <f>SUM(F17+F25+F34+F43+F52+F61)</f>
        <v>337957</v>
      </c>
      <c r="G9" s="885">
        <f>F9/E9</f>
        <v>1</v>
      </c>
      <c r="H9" s="13"/>
    </row>
    <row r="10" spans="1:8" s="15" customFormat="1" x14ac:dyDescent="0.2">
      <c r="A10" s="895">
        <v>3052</v>
      </c>
      <c r="B10" s="896" t="s">
        <v>1137</v>
      </c>
      <c r="C10" s="13"/>
      <c r="D10" s="13"/>
      <c r="E10" s="13"/>
      <c r="F10" s="13"/>
      <c r="G10" s="885"/>
      <c r="H10" s="13"/>
    </row>
    <row r="11" spans="1:8" s="15" customFormat="1" x14ac:dyDescent="0.2">
      <c r="A11" s="253"/>
      <c r="B11" s="897" t="s">
        <v>92</v>
      </c>
      <c r="C11" s="13"/>
      <c r="D11" s="13"/>
      <c r="E11" s="13"/>
      <c r="F11" s="13"/>
      <c r="G11" s="885"/>
      <c r="H11" s="13"/>
    </row>
    <row r="12" spans="1:8" s="15" customFormat="1" x14ac:dyDescent="0.2">
      <c r="A12" s="253"/>
      <c r="B12" s="898" t="s">
        <v>250</v>
      </c>
      <c r="C12" s="13"/>
      <c r="D12" s="13"/>
      <c r="E12" s="13"/>
      <c r="F12" s="13"/>
      <c r="G12" s="885"/>
      <c r="H12" s="899" t="s">
        <v>1379</v>
      </c>
    </row>
    <row r="13" spans="1:8" s="15" customFormat="1" x14ac:dyDescent="0.2">
      <c r="A13" s="253"/>
      <c r="B13" s="900" t="s">
        <v>239</v>
      </c>
      <c r="C13" s="901">
        <v>0</v>
      </c>
      <c r="D13" s="901">
        <v>0</v>
      </c>
      <c r="E13" s="901">
        <v>0</v>
      </c>
      <c r="F13" s="901">
        <v>0</v>
      </c>
      <c r="G13" s="885"/>
      <c r="H13" s="902" t="s">
        <v>434</v>
      </c>
    </row>
    <row r="14" spans="1:8" s="15" customFormat="1" x14ac:dyDescent="0.2">
      <c r="A14" s="253"/>
      <c r="B14" s="903" t="s">
        <v>97</v>
      </c>
      <c r="C14" s="13"/>
      <c r="D14" s="13"/>
      <c r="E14" s="13"/>
      <c r="F14" s="13"/>
      <c r="G14" s="885"/>
      <c r="H14" s="13"/>
    </row>
    <row r="15" spans="1:8" s="15" customFormat="1" x14ac:dyDescent="0.2">
      <c r="A15" s="253"/>
      <c r="B15" s="903" t="s">
        <v>246</v>
      </c>
      <c r="C15" s="13"/>
      <c r="D15" s="13"/>
      <c r="E15" s="13"/>
      <c r="F15" s="13"/>
      <c r="G15" s="885"/>
      <c r="H15" s="13"/>
    </row>
    <row r="16" spans="1:8" s="15" customFormat="1" ht="12.75" thickBot="1" x14ac:dyDescent="0.25">
      <c r="A16" s="253"/>
      <c r="B16" s="904" t="s">
        <v>65</v>
      </c>
      <c r="C16" s="13"/>
      <c r="D16" s="13"/>
      <c r="E16" s="10"/>
      <c r="F16" s="10"/>
      <c r="G16" s="1079"/>
      <c r="H16" s="10"/>
    </row>
    <row r="17" spans="1:8" s="15" customFormat="1" ht="12.75" thickBot="1" x14ac:dyDescent="0.25">
      <c r="A17" s="37"/>
      <c r="B17" s="905" t="s">
        <v>106</v>
      </c>
      <c r="C17" s="906">
        <f>SUM(C11:C16)</f>
        <v>0</v>
      </c>
      <c r="D17" s="906">
        <f>SUM(D11:D16)</f>
        <v>0</v>
      </c>
      <c r="E17" s="906">
        <f>SUM(E11:E16)</f>
        <v>0</v>
      </c>
      <c r="F17" s="906">
        <f>SUM(F11:F16)</f>
        <v>0</v>
      </c>
      <c r="G17" s="1000"/>
      <c r="H17" s="907"/>
    </row>
    <row r="18" spans="1:8" x14ac:dyDescent="0.2">
      <c r="A18" s="895">
        <v>3054</v>
      </c>
      <c r="B18" s="896" t="s">
        <v>199</v>
      </c>
      <c r="C18" s="908"/>
      <c r="D18" s="908"/>
      <c r="E18" s="908"/>
      <c r="F18" s="908"/>
      <c r="G18" s="885"/>
      <c r="H18" s="909"/>
    </row>
    <row r="19" spans="1:8" ht="12.6" customHeight="1" x14ac:dyDescent="0.2">
      <c r="A19" s="253"/>
      <c r="B19" s="897" t="s">
        <v>92</v>
      </c>
      <c r="C19" s="910"/>
      <c r="D19" s="910"/>
      <c r="E19" s="910"/>
      <c r="F19" s="910"/>
      <c r="G19" s="885"/>
      <c r="H19" s="902"/>
    </row>
    <row r="20" spans="1:8" ht="12.6" customHeight="1" x14ac:dyDescent="0.2">
      <c r="A20" s="253"/>
      <c r="B20" s="898" t="s">
        <v>250</v>
      </c>
      <c r="C20" s="910"/>
      <c r="D20" s="910"/>
      <c r="E20" s="910"/>
      <c r="F20" s="910"/>
      <c r="G20" s="885"/>
      <c r="H20" s="899" t="s">
        <v>1379</v>
      </c>
    </row>
    <row r="21" spans="1:8" ht="12.6" customHeight="1" x14ac:dyDescent="0.2">
      <c r="A21" s="253"/>
      <c r="B21" s="900" t="s">
        <v>239</v>
      </c>
      <c r="C21" s="910">
        <v>15000</v>
      </c>
      <c r="D21" s="910">
        <f>15000+1722</f>
        <v>16722</v>
      </c>
      <c r="E21" s="910">
        <f>15000+1722</f>
        <v>16722</v>
      </c>
      <c r="F21" s="910">
        <f>15000+1722</f>
        <v>16722</v>
      </c>
      <c r="G21" s="943">
        <f>F21/E21</f>
        <v>1</v>
      </c>
      <c r="H21" s="902" t="s">
        <v>434</v>
      </c>
    </row>
    <row r="22" spans="1:8" ht="12.6" customHeight="1" x14ac:dyDescent="0.2">
      <c r="A22" s="253"/>
      <c r="B22" s="903" t="s">
        <v>97</v>
      </c>
      <c r="C22" s="910"/>
      <c r="D22" s="910"/>
      <c r="E22" s="910"/>
      <c r="F22" s="910"/>
      <c r="G22" s="885"/>
      <c r="H22" s="911"/>
    </row>
    <row r="23" spans="1:8" ht="12.6" customHeight="1" x14ac:dyDescent="0.2">
      <c r="A23" s="253"/>
      <c r="B23" s="903" t="s">
        <v>246</v>
      </c>
      <c r="C23" s="908"/>
      <c r="D23" s="908"/>
      <c r="E23" s="908"/>
      <c r="F23" s="908"/>
      <c r="G23" s="885"/>
      <c r="H23" s="911"/>
    </row>
    <row r="24" spans="1:8" ht="12.6" customHeight="1" thickBot="1" x14ac:dyDescent="0.25">
      <c r="A24" s="253"/>
      <c r="B24" s="904" t="s">
        <v>65</v>
      </c>
      <c r="C24" s="912"/>
      <c r="D24" s="912"/>
      <c r="E24" s="912"/>
      <c r="F24" s="912"/>
      <c r="G24" s="1079"/>
      <c r="H24" s="913"/>
    </row>
    <row r="25" spans="1:8" ht="12.6" customHeight="1" thickBot="1" x14ac:dyDescent="0.25">
      <c r="A25" s="914"/>
      <c r="B25" s="905" t="s">
        <v>106</v>
      </c>
      <c r="C25" s="906">
        <f t="shared" ref="C25:D25" si="0">SUM(C21:C24)</f>
        <v>15000</v>
      </c>
      <c r="D25" s="906">
        <f t="shared" si="0"/>
        <v>16722</v>
      </c>
      <c r="E25" s="906">
        <f t="shared" ref="E25:F25" si="1">SUM(E21:E24)</f>
        <v>16722</v>
      </c>
      <c r="F25" s="906">
        <f t="shared" si="1"/>
        <v>16722</v>
      </c>
      <c r="G25" s="1000">
        <f t="shared" ref="G25:G88" si="2">F25/E25</f>
        <v>1</v>
      </c>
      <c r="H25" s="915"/>
    </row>
    <row r="26" spans="1:8" ht="12.6" customHeight="1" x14ac:dyDescent="0.2">
      <c r="A26" s="895">
        <v>3056</v>
      </c>
      <c r="B26" s="896" t="s">
        <v>413</v>
      </c>
      <c r="C26" s="908"/>
      <c r="D26" s="908"/>
      <c r="E26" s="908"/>
      <c r="F26" s="908"/>
      <c r="G26" s="885"/>
      <c r="H26" s="909"/>
    </row>
    <row r="27" spans="1:8" ht="12.6" customHeight="1" x14ac:dyDescent="0.2">
      <c r="A27" s="253"/>
      <c r="B27" s="897" t="s">
        <v>92</v>
      </c>
      <c r="C27" s="910"/>
      <c r="D27" s="910"/>
      <c r="E27" s="910"/>
      <c r="F27" s="910"/>
      <c r="G27" s="885"/>
      <c r="H27" s="899" t="s">
        <v>1379</v>
      </c>
    </row>
    <row r="28" spans="1:8" ht="12.6" customHeight="1" x14ac:dyDescent="0.2">
      <c r="A28" s="253"/>
      <c r="B28" s="898" t="s">
        <v>250</v>
      </c>
      <c r="C28" s="910"/>
      <c r="D28" s="910"/>
      <c r="E28" s="910"/>
      <c r="F28" s="910"/>
      <c r="G28" s="885"/>
      <c r="H28" s="917"/>
    </row>
    <row r="29" spans="1:8" ht="12.6" customHeight="1" x14ac:dyDescent="0.2">
      <c r="A29" s="253"/>
      <c r="B29" s="900" t="s">
        <v>239</v>
      </c>
      <c r="C29" s="910">
        <v>5000</v>
      </c>
      <c r="D29" s="910">
        <f>5000+698+5000</f>
        <v>10698</v>
      </c>
      <c r="E29" s="910">
        <f>5000+698+5000</f>
        <v>10698</v>
      </c>
      <c r="F29" s="910">
        <f>10698-241</f>
        <v>10457</v>
      </c>
      <c r="G29" s="943">
        <f t="shared" si="2"/>
        <v>0.97747242475229013</v>
      </c>
      <c r="H29" s="902"/>
    </row>
    <row r="30" spans="1:8" ht="12.6" customHeight="1" x14ac:dyDescent="0.2">
      <c r="A30" s="253"/>
      <c r="B30" s="903" t="s">
        <v>97</v>
      </c>
      <c r="C30" s="910"/>
      <c r="D30" s="910"/>
      <c r="E30" s="910"/>
      <c r="F30" s="910"/>
      <c r="G30" s="885"/>
      <c r="H30" s="911"/>
    </row>
    <row r="31" spans="1:8" ht="12.6" customHeight="1" x14ac:dyDescent="0.2">
      <c r="A31" s="253"/>
      <c r="B31" s="903" t="s">
        <v>246</v>
      </c>
      <c r="C31" s="908"/>
      <c r="D31" s="908"/>
      <c r="E31" s="908"/>
      <c r="F31" s="908"/>
      <c r="G31" s="885"/>
      <c r="H31" s="902"/>
    </row>
    <row r="32" spans="1:8" ht="12.6" customHeight="1" x14ac:dyDescent="0.2">
      <c r="A32" s="253"/>
      <c r="B32" s="903" t="s">
        <v>440</v>
      </c>
      <c r="C32" s="918"/>
      <c r="D32" s="918"/>
      <c r="E32" s="918"/>
      <c r="F32" s="918"/>
      <c r="G32" s="885"/>
      <c r="H32" s="919"/>
    </row>
    <row r="33" spans="1:8" ht="12.6" customHeight="1" thickBot="1" x14ac:dyDescent="0.25">
      <c r="A33" s="253"/>
      <c r="B33" s="904" t="s">
        <v>212</v>
      </c>
      <c r="C33" s="920"/>
      <c r="D33" s="920"/>
      <c r="E33" s="920"/>
      <c r="F33" s="920">
        <v>241</v>
      </c>
      <c r="G33" s="1079"/>
      <c r="H33" s="913"/>
    </row>
    <row r="34" spans="1:8" ht="12.6" customHeight="1" thickBot="1" x14ac:dyDescent="0.25">
      <c r="A34" s="914"/>
      <c r="B34" s="905" t="s">
        <v>106</v>
      </c>
      <c r="C34" s="906">
        <f t="shared" ref="C34:D34" si="3">SUM(C29:C33)</f>
        <v>5000</v>
      </c>
      <c r="D34" s="906">
        <f t="shared" si="3"/>
        <v>10698</v>
      </c>
      <c r="E34" s="995">
        <f t="shared" ref="E34:F34" si="4">SUM(E29:E33)</f>
        <v>10698</v>
      </c>
      <c r="F34" s="995">
        <f t="shared" si="4"/>
        <v>10698</v>
      </c>
      <c r="G34" s="1080">
        <f t="shared" si="2"/>
        <v>1</v>
      </c>
      <c r="H34" s="915"/>
    </row>
    <row r="35" spans="1:8" ht="12.6" customHeight="1" x14ac:dyDescent="0.2">
      <c r="A35" s="895">
        <v>3057</v>
      </c>
      <c r="B35" s="896" t="s">
        <v>966</v>
      </c>
      <c r="C35" s="908"/>
      <c r="D35" s="908"/>
      <c r="E35" s="908"/>
      <c r="F35" s="908"/>
      <c r="G35" s="885"/>
      <c r="H35" s="909"/>
    </row>
    <row r="36" spans="1:8" ht="12.6" customHeight="1" x14ac:dyDescent="0.2">
      <c r="A36" s="253"/>
      <c r="B36" s="897" t="s">
        <v>92</v>
      </c>
      <c r="C36" s="910"/>
      <c r="D36" s="910"/>
      <c r="E36" s="910"/>
      <c r="F36" s="910"/>
      <c r="G36" s="885"/>
      <c r="H36" s="899" t="s">
        <v>1379</v>
      </c>
    </row>
    <row r="37" spans="1:8" ht="12.6" customHeight="1" x14ac:dyDescent="0.2">
      <c r="A37" s="253"/>
      <c r="B37" s="898" t="s">
        <v>250</v>
      </c>
      <c r="C37" s="910"/>
      <c r="D37" s="910"/>
      <c r="E37" s="910"/>
      <c r="F37" s="910"/>
      <c r="G37" s="943"/>
      <c r="H37" s="917"/>
    </row>
    <row r="38" spans="1:8" ht="12.6" customHeight="1" x14ac:dyDescent="0.2">
      <c r="A38" s="253"/>
      <c r="B38" s="900" t="s">
        <v>239</v>
      </c>
      <c r="C38" s="910">
        <v>116000</v>
      </c>
      <c r="D38" s="910">
        <f>116000+100800</f>
        <v>216800</v>
      </c>
      <c r="E38" s="910">
        <f>116000+100800</f>
        <v>216800</v>
      </c>
      <c r="F38" s="910">
        <f>116000+100800</f>
        <v>216800</v>
      </c>
      <c r="G38" s="943">
        <f t="shared" si="2"/>
        <v>1</v>
      </c>
      <c r="H38" s="902"/>
    </row>
    <row r="39" spans="1:8" ht="12.6" customHeight="1" x14ac:dyDescent="0.2">
      <c r="A39" s="253"/>
      <c r="B39" s="903" t="s">
        <v>97</v>
      </c>
      <c r="C39" s="910"/>
      <c r="D39" s="910"/>
      <c r="E39" s="910"/>
      <c r="F39" s="910"/>
      <c r="G39" s="885"/>
      <c r="H39" s="911"/>
    </row>
    <row r="40" spans="1:8" ht="12.6" customHeight="1" x14ac:dyDescent="0.2">
      <c r="A40" s="253"/>
      <c r="B40" s="903" t="s">
        <v>246</v>
      </c>
      <c r="C40" s="908"/>
      <c r="D40" s="908"/>
      <c r="E40" s="908"/>
      <c r="F40" s="908"/>
      <c r="G40" s="885"/>
      <c r="H40" s="902"/>
    </row>
    <row r="41" spans="1:8" ht="12.6" customHeight="1" x14ac:dyDescent="0.2">
      <c r="A41" s="253"/>
      <c r="B41" s="903" t="s">
        <v>440</v>
      </c>
      <c r="C41" s="918"/>
      <c r="D41" s="918"/>
      <c r="E41" s="918"/>
      <c r="F41" s="918"/>
      <c r="G41" s="885"/>
      <c r="H41" s="919"/>
    </row>
    <row r="42" spans="1:8" ht="12.6" customHeight="1" thickBot="1" x14ac:dyDescent="0.25">
      <c r="A42" s="253"/>
      <c r="B42" s="904" t="s">
        <v>210</v>
      </c>
      <c r="C42" s="920"/>
      <c r="D42" s="920"/>
      <c r="E42" s="920"/>
      <c r="F42" s="920"/>
      <c r="G42" s="1079"/>
      <c r="H42" s="913"/>
    </row>
    <row r="43" spans="1:8" ht="12.6" customHeight="1" thickBot="1" x14ac:dyDescent="0.25">
      <c r="A43" s="914"/>
      <c r="B43" s="905" t="s">
        <v>106</v>
      </c>
      <c r="C43" s="906">
        <f t="shared" ref="C43:D43" si="5">SUM(C38:C42)</f>
        <v>116000</v>
      </c>
      <c r="D43" s="906">
        <f t="shared" si="5"/>
        <v>216800</v>
      </c>
      <c r="E43" s="906">
        <f t="shared" ref="E43:F43" si="6">SUM(E38:E42)</f>
        <v>216800</v>
      </c>
      <c r="F43" s="906">
        <f t="shared" si="6"/>
        <v>216800</v>
      </c>
      <c r="G43" s="1000">
        <f t="shared" si="2"/>
        <v>1</v>
      </c>
      <c r="H43" s="915"/>
    </row>
    <row r="44" spans="1:8" ht="12.6" customHeight="1" x14ac:dyDescent="0.2">
      <c r="A44" s="895">
        <v>3058</v>
      </c>
      <c r="B44" s="896" t="s">
        <v>967</v>
      </c>
      <c r="C44" s="908"/>
      <c r="D44" s="908"/>
      <c r="E44" s="908"/>
      <c r="F44" s="908"/>
      <c r="G44" s="885"/>
      <c r="H44" s="909"/>
    </row>
    <row r="45" spans="1:8" ht="12.6" customHeight="1" x14ac:dyDescent="0.2">
      <c r="A45" s="253"/>
      <c r="B45" s="897" t="s">
        <v>92</v>
      </c>
      <c r="C45" s="910"/>
      <c r="D45" s="910"/>
      <c r="E45" s="910"/>
      <c r="F45" s="910"/>
      <c r="G45" s="885"/>
      <c r="H45" s="899" t="s">
        <v>1379</v>
      </c>
    </row>
    <row r="46" spans="1:8" ht="12.6" customHeight="1" x14ac:dyDescent="0.2">
      <c r="A46" s="253"/>
      <c r="B46" s="898" t="s">
        <v>250</v>
      </c>
      <c r="C46" s="910"/>
      <c r="D46" s="910"/>
      <c r="E46" s="910"/>
      <c r="F46" s="910"/>
      <c r="G46" s="1081"/>
      <c r="H46" s="917"/>
    </row>
    <row r="47" spans="1:8" ht="12.6" customHeight="1" x14ac:dyDescent="0.2">
      <c r="A47" s="253"/>
      <c r="B47" s="900" t="s">
        <v>239</v>
      </c>
      <c r="C47" s="910">
        <v>12000</v>
      </c>
      <c r="D47" s="910">
        <f>12000+11997</f>
        <v>23997</v>
      </c>
      <c r="E47" s="910">
        <f>12000+11997</f>
        <v>23997</v>
      </c>
      <c r="F47" s="910">
        <f>12000+11997</f>
        <v>23997</v>
      </c>
      <c r="G47" s="943">
        <f t="shared" si="2"/>
        <v>1</v>
      </c>
      <c r="H47" s="902"/>
    </row>
    <row r="48" spans="1:8" ht="12.6" customHeight="1" x14ac:dyDescent="0.2">
      <c r="A48" s="253"/>
      <c r="B48" s="903" t="s">
        <v>97</v>
      </c>
      <c r="C48" s="910"/>
      <c r="D48" s="910"/>
      <c r="E48" s="910"/>
      <c r="F48" s="910"/>
      <c r="G48" s="943"/>
      <c r="H48" s="911"/>
    </row>
    <row r="49" spans="1:8" ht="12.6" customHeight="1" x14ac:dyDescent="0.2">
      <c r="A49" s="253"/>
      <c r="B49" s="903" t="s">
        <v>246</v>
      </c>
      <c r="C49" s="908"/>
      <c r="D49" s="908"/>
      <c r="E49" s="908"/>
      <c r="F49" s="908"/>
      <c r="G49" s="943"/>
      <c r="H49" s="902"/>
    </row>
    <row r="50" spans="1:8" ht="12.6" customHeight="1" x14ac:dyDescent="0.2">
      <c r="A50" s="253"/>
      <c r="B50" s="903" t="s">
        <v>440</v>
      </c>
      <c r="C50" s="918"/>
      <c r="D50" s="918"/>
      <c r="E50" s="918"/>
      <c r="F50" s="918"/>
      <c r="G50" s="943"/>
      <c r="H50" s="919"/>
    </row>
    <row r="51" spans="1:8" ht="12.6" customHeight="1" thickBot="1" x14ac:dyDescent="0.25">
      <c r="A51" s="253"/>
      <c r="B51" s="904" t="s">
        <v>210</v>
      </c>
      <c r="C51" s="920">
        <v>0</v>
      </c>
      <c r="D51" s="920">
        <v>0</v>
      </c>
      <c r="E51" s="934">
        <v>0</v>
      </c>
      <c r="F51" s="934">
        <v>0</v>
      </c>
      <c r="G51" s="1082"/>
      <c r="H51" s="913"/>
    </row>
    <row r="52" spans="1:8" ht="12.6" customHeight="1" thickBot="1" x14ac:dyDescent="0.25">
      <c r="A52" s="914"/>
      <c r="B52" s="905" t="s">
        <v>106</v>
      </c>
      <c r="C52" s="906">
        <f t="shared" ref="C52:D52" si="7">SUM(C47:C51)</f>
        <v>12000</v>
      </c>
      <c r="D52" s="906">
        <f t="shared" si="7"/>
        <v>23997</v>
      </c>
      <c r="E52" s="906">
        <f t="shared" ref="E52:F52" si="8">SUM(E47:E51)</f>
        <v>23997</v>
      </c>
      <c r="F52" s="906">
        <f t="shared" si="8"/>
        <v>23997</v>
      </c>
      <c r="G52" s="1000">
        <f t="shared" si="2"/>
        <v>1</v>
      </c>
      <c r="H52" s="915"/>
    </row>
    <row r="53" spans="1:8" ht="12.6" customHeight="1" x14ac:dyDescent="0.2">
      <c r="A53" s="895">
        <v>3059</v>
      </c>
      <c r="B53" s="896" t="s">
        <v>1054</v>
      </c>
      <c r="C53" s="908"/>
      <c r="D53" s="908"/>
      <c r="E53" s="908"/>
      <c r="F53" s="908"/>
      <c r="G53" s="885"/>
      <c r="H53" s="909"/>
    </row>
    <row r="54" spans="1:8" ht="12.6" customHeight="1" x14ac:dyDescent="0.2">
      <c r="A54" s="253"/>
      <c r="B54" s="897" t="s">
        <v>92</v>
      </c>
      <c r="C54" s="910"/>
      <c r="D54" s="910"/>
      <c r="E54" s="910"/>
      <c r="F54" s="910"/>
      <c r="G54" s="885"/>
      <c r="H54" s="899" t="s">
        <v>1379</v>
      </c>
    </row>
    <row r="55" spans="1:8" ht="12.6" customHeight="1" x14ac:dyDescent="0.2">
      <c r="A55" s="253"/>
      <c r="B55" s="898" t="s">
        <v>250</v>
      </c>
      <c r="C55" s="910"/>
      <c r="D55" s="910"/>
      <c r="E55" s="910"/>
      <c r="F55" s="910"/>
      <c r="G55" s="1081"/>
      <c r="H55" s="917"/>
    </row>
    <row r="56" spans="1:8" ht="12.6" customHeight="1" x14ac:dyDescent="0.2">
      <c r="A56" s="253"/>
      <c r="B56" s="900" t="s">
        <v>239</v>
      </c>
      <c r="C56" s="910">
        <v>50000</v>
      </c>
      <c r="D56" s="910">
        <f>50000+7119</f>
        <v>57119</v>
      </c>
      <c r="E56" s="910">
        <f>50000+7119</f>
        <v>57119</v>
      </c>
      <c r="F56" s="910">
        <f>50000+7119</f>
        <v>57119</v>
      </c>
      <c r="G56" s="943">
        <f t="shared" si="2"/>
        <v>1</v>
      </c>
      <c r="H56" s="902"/>
    </row>
    <row r="57" spans="1:8" ht="12.6" customHeight="1" x14ac:dyDescent="0.2">
      <c r="A57" s="253"/>
      <c r="B57" s="903" t="s">
        <v>97</v>
      </c>
      <c r="C57" s="910"/>
      <c r="D57" s="910"/>
      <c r="E57" s="910"/>
      <c r="F57" s="910"/>
      <c r="G57" s="943"/>
      <c r="H57" s="911"/>
    </row>
    <row r="58" spans="1:8" ht="12.6" customHeight="1" x14ac:dyDescent="0.2">
      <c r="A58" s="253"/>
      <c r="B58" s="903" t="s">
        <v>246</v>
      </c>
      <c r="C58" s="908"/>
      <c r="D58" s="908"/>
      <c r="E58" s="908"/>
      <c r="F58" s="908"/>
      <c r="G58" s="943"/>
      <c r="H58" s="902"/>
    </row>
    <row r="59" spans="1:8" ht="12.6" customHeight="1" x14ac:dyDescent="0.2">
      <c r="A59" s="253"/>
      <c r="B59" s="903" t="s">
        <v>440</v>
      </c>
      <c r="C59" s="918"/>
      <c r="D59" s="918"/>
      <c r="E59" s="918"/>
      <c r="F59" s="918"/>
      <c r="G59" s="943"/>
      <c r="H59" s="919"/>
    </row>
    <row r="60" spans="1:8" ht="12.6" customHeight="1" thickBot="1" x14ac:dyDescent="0.25">
      <c r="A60" s="253"/>
      <c r="B60" s="904" t="s">
        <v>210</v>
      </c>
      <c r="C60" s="920">
        <v>0</v>
      </c>
      <c r="D60" s="920">
        <v>12621</v>
      </c>
      <c r="E60" s="934">
        <v>12621</v>
      </c>
      <c r="F60" s="934">
        <v>12621</v>
      </c>
      <c r="G60" s="1082">
        <f t="shared" si="2"/>
        <v>1</v>
      </c>
      <c r="H60" s="913"/>
    </row>
    <row r="61" spans="1:8" ht="12.6" customHeight="1" thickBot="1" x14ac:dyDescent="0.25">
      <c r="A61" s="914"/>
      <c r="B61" s="905" t="s">
        <v>106</v>
      </c>
      <c r="C61" s="906">
        <f>SUM(C56:C60)</f>
        <v>50000</v>
      </c>
      <c r="D61" s="906">
        <f>SUM(D56:D60)</f>
        <v>69740</v>
      </c>
      <c r="E61" s="906">
        <f>SUM(E56:E60)</f>
        <v>69740</v>
      </c>
      <c r="F61" s="906">
        <f>SUM(F56:F60)</f>
        <v>69740</v>
      </c>
      <c r="G61" s="1000">
        <f t="shared" si="2"/>
        <v>1</v>
      </c>
      <c r="H61" s="915"/>
    </row>
    <row r="62" spans="1:8" x14ac:dyDescent="0.2">
      <c r="A62" s="895">
        <v>3060</v>
      </c>
      <c r="B62" s="921" t="s">
        <v>63</v>
      </c>
      <c r="C62" s="908">
        <f t="shared" ref="C62:D62" si="9">SUM(C70+C78)</f>
        <v>27000</v>
      </c>
      <c r="D62" s="908">
        <f t="shared" si="9"/>
        <v>27127</v>
      </c>
      <c r="E62" s="908">
        <f t="shared" ref="E62:F62" si="10">SUM(E70+E78)</f>
        <v>27127</v>
      </c>
      <c r="F62" s="908">
        <f t="shared" si="10"/>
        <v>27127</v>
      </c>
      <c r="G62" s="885">
        <f t="shared" si="2"/>
        <v>1</v>
      </c>
      <c r="H62" s="909"/>
    </row>
    <row r="63" spans="1:8" ht="12" customHeight="1" x14ac:dyDescent="0.2">
      <c r="A63" s="895">
        <v>3061</v>
      </c>
      <c r="B63" s="922" t="s">
        <v>98</v>
      </c>
      <c r="C63" s="908"/>
      <c r="D63" s="908"/>
      <c r="E63" s="908"/>
      <c r="F63" s="908"/>
      <c r="G63" s="885"/>
      <c r="H63" s="923"/>
    </row>
    <row r="64" spans="1:8" ht="12" customHeight="1" x14ac:dyDescent="0.2">
      <c r="A64" s="253"/>
      <c r="B64" s="897" t="s">
        <v>92</v>
      </c>
      <c r="C64" s="910"/>
      <c r="D64" s="910"/>
      <c r="E64" s="910"/>
      <c r="F64" s="910"/>
      <c r="G64" s="885"/>
      <c r="H64" s="924"/>
    </row>
    <row r="65" spans="1:8" ht="12" customHeight="1" x14ac:dyDescent="0.2">
      <c r="A65" s="253"/>
      <c r="B65" s="898" t="s">
        <v>250</v>
      </c>
      <c r="C65" s="910"/>
      <c r="D65" s="910"/>
      <c r="E65" s="910"/>
      <c r="F65" s="910"/>
      <c r="G65" s="1081"/>
      <c r="H65" s="899" t="s">
        <v>1380</v>
      </c>
    </row>
    <row r="66" spans="1:8" ht="12" customHeight="1" x14ac:dyDescent="0.2">
      <c r="A66" s="50"/>
      <c r="B66" s="900" t="s">
        <v>239</v>
      </c>
      <c r="C66" s="910">
        <v>2000</v>
      </c>
      <c r="D66" s="910">
        <f>2000+110</f>
        <v>2110</v>
      </c>
      <c r="E66" s="910">
        <f>2000+110</f>
        <v>2110</v>
      </c>
      <c r="F66" s="910">
        <f>2000+110</f>
        <v>2110</v>
      </c>
      <c r="G66" s="943">
        <f t="shared" si="2"/>
        <v>1</v>
      </c>
      <c r="H66" s="911"/>
    </row>
    <row r="67" spans="1:8" ht="12" customHeight="1" x14ac:dyDescent="0.2">
      <c r="A67" s="50"/>
      <c r="B67" s="903" t="s">
        <v>97</v>
      </c>
      <c r="C67" s="910"/>
      <c r="D67" s="910"/>
      <c r="E67" s="910"/>
      <c r="F67" s="910"/>
      <c r="G67" s="943"/>
      <c r="H67" s="940" t="s">
        <v>1382</v>
      </c>
    </row>
    <row r="68" spans="1:8" x14ac:dyDescent="0.2">
      <c r="A68" s="50"/>
      <c r="B68" s="903" t="s">
        <v>246</v>
      </c>
      <c r="C68" s="910"/>
      <c r="D68" s="910"/>
      <c r="E68" s="910"/>
      <c r="F68" s="910"/>
      <c r="G68" s="943"/>
      <c r="H68" s="923"/>
    </row>
    <row r="69" spans="1:8" ht="12.75" thickBot="1" x14ac:dyDescent="0.25">
      <c r="A69" s="50" t="s">
        <v>235</v>
      </c>
      <c r="B69" s="904" t="s">
        <v>205</v>
      </c>
      <c r="C69" s="920"/>
      <c r="D69" s="920"/>
      <c r="E69" s="934"/>
      <c r="F69" s="934"/>
      <c r="G69" s="1082"/>
      <c r="H69" s="925"/>
    </row>
    <row r="70" spans="1:8" ht="12.75" thickBot="1" x14ac:dyDescent="0.25">
      <c r="A70" s="926"/>
      <c r="B70" s="905" t="s">
        <v>106</v>
      </c>
      <c r="C70" s="906">
        <f t="shared" ref="C70:D70" si="11">SUM(C64:C69)</f>
        <v>2000</v>
      </c>
      <c r="D70" s="906">
        <f t="shared" si="11"/>
        <v>2110</v>
      </c>
      <c r="E70" s="906">
        <f t="shared" ref="E70:F70" si="12">SUM(E64:E69)</f>
        <v>2110</v>
      </c>
      <c r="F70" s="906">
        <f t="shared" si="12"/>
        <v>2110</v>
      </c>
      <c r="G70" s="1000">
        <f t="shared" si="2"/>
        <v>1</v>
      </c>
      <c r="H70" s="907"/>
    </row>
    <row r="71" spans="1:8" x14ac:dyDescent="0.2">
      <c r="A71" s="154">
        <v>3071</v>
      </c>
      <c r="B71" s="927" t="s">
        <v>109</v>
      </c>
      <c r="C71" s="908"/>
      <c r="D71" s="908"/>
      <c r="E71" s="908"/>
      <c r="F71" s="908"/>
      <c r="G71" s="885"/>
      <c r="H71" s="916"/>
    </row>
    <row r="72" spans="1:8" ht="12" customHeight="1" x14ac:dyDescent="0.2">
      <c r="A72" s="50"/>
      <c r="B72" s="897" t="s">
        <v>92</v>
      </c>
      <c r="C72" s="910"/>
      <c r="D72" s="910"/>
      <c r="E72" s="910"/>
      <c r="F72" s="910"/>
      <c r="G72" s="1081"/>
      <c r="H72" s="917"/>
    </row>
    <row r="73" spans="1:8" ht="12" customHeight="1" x14ac:dyDescent="0.2">
      <c r="A73" s="253"/>
      <c r="B73" s="898" t="s">
        <v>250</v>
      </c>
      <c r="C73" s="910"/>
      <c r="D73" s="910"/>
      <c r="E73" s="910"/>
      <c r="F73" s="910"/>
      <c r="G73" s="943"/>
      <c r="H73" s="911"/>
    </row>
    <row r="74" spans="1:8" ht="12" customHeight="1" x14ac:dyDescent="0.2">
      <c r="A74" s="253"/>
      <c r="B74" s="900" t="s">
        <v>239</v>
      </c>
      <c r="C74" s="910">
        <v>25000</v>
      </c>
      <c r="D74" s="910">
        <f>25000+17</f>
        <v>25017</v>
      </c>
      <c r="E74" s="910">
        <f>25000+17</f>
        <v>25017</v>
      </c>
      <c r="F74" s="910">
        <f>25000+17</f>
        <v>25017</v>
      </c>
      <c r="G74" s="943">
        <f t="shared" si="2"/>
        <v>1</v>
      </c>
      <c r="H74" s="899" t="s">
        <v>1379</v>
      </c>
    </row>
    <row r="75" spans="1:8" ht="12" customHeight="1" x14ac:dyDescent="0.2">
      <c r="A75" s="253"/>
      <c r="B75" s="903" t="s">
        <v>97</v>
      </c>
      <c r="C75" s="910"/>
      <c r="D75" s="910"/>
      <c r="E75" s="910"/>
      <c r="F75" s="910"/>
      <c r="G75" s="943"/>
      <c r="H75" s="928"/>
    </row>
    <row r="76" spans="1:8" ht="12" customHeight="1" x14ac:dyDescent="0.2">
      <c r="A76" s="253"/>
      <c r="B76" s="903" t="s">
        <v>246</v>
      </c>
      <c r="C76" s="910"/>
      <c r="D76" s="910"/>
      <c r="E76" s="910"/>
      <c r="F76" s="910"/>
      <c r="G76" s="943"/>
      <c r="H76" s="911"/>
    </row>
    <row r="77" spans="1:8" ht="12" customHeight="1" thickBot="1" x14ac:dyDescent="0.25">
      <c r="A77" s="253"/>
      <c r="B77" s="904" t="s">
        <v>65</v>
      </c>
      <c r="C77" s="920"/>
      <c r="D77" s="920"/>
      <c r="E77" s="934"/>
      <c r="F77" s="934"/>
      <c r="G77" s="1082"/>
      <c r="H77" s="929"/>
    </row>
    <row r="78" spans="1:8" ht="12" customHeight="1" thickBot="1" x14ac:dyDescent="0.25">
      <c r="A78" s="930"/>
      <c r="B78" s="905" t="s">
        <v>106</v>
      </c>
      <c r="C78" s="906">
        <f t="shared" ref="C78:D78" si="13">SUM(C74:C77)</f>
        <v>25000</v>
      </c>
      <c r="D78" s="906">
        <f t="shared" si="13"/>
        <v>25017</v>
      </c>
      <c r="E78" s="906">
        <f t="shared" ref="E78:F78" si="14">SUM(E74:E77)</f>
        <v>25017</v>
      </c>
      <c r="F78" s="906">
        <f t="shared" si="14"/>
        <v>25017</v>
      </c>
      <c r="G78" s="1000">
        <f t="shared" si="2"/>
        <v>1</v>
      </c>
      <c r="H78" s="931"/>
    </row>
    <row r="79" spans="1:8" x14ac:dyDescent="0.2">
      <c r="A79" s="154">
        <v>3080</v>
      </c>
      <c r="B79" s="932" t="s">
        <v>66</v>
      </c>
      <c r="C79" s="908">
        <f t="shared" ref="C79:D79" si="15">SUM(C87)</f>
        <v>23000</v>
      </c>
      <c r="D79" s="908">
        <f t="shared" si="15"/>
        <v>31418</v>
      </c>
      <c r="E79" s="908">
        <f t="shared" ref="E79:F79" si="16">SUM(E87)</f>
        <v>31418</v>
      </c>
      <c r="F79" s="908">
        <f t="shared" si="16"/>
        <v>31418</v>
      </c>
      <c r="G79" s="885">
        <f t="shared" si="2"/>
        <v>1</v>
      </c>
      <c r="H79" s="916"/>
    </row>
    <row r="80" spans="1:8" ht="12" customHeight="1" x14ac:dyDescent="0.2">
      <c r="A80" s="154">
        <v>3081</v>
      </c>
      <c r="B80" s="922" t="s">
        <v>113</v>
      </c>
      <c r="C80" s="908"/>
      <c r="D80" s="908"/>
      <c r="E80" s="908"/>
      <c r="F80" s="908"/>
      <c r="G80" s="885"/>
      <c r="H80" s="933"/>
    </row>
    <row r="81" spans="1:8" ht="12" customHeight="1" x14ac:dyDescent="0.2">
      <c r="A81" s="50"/>
      <c r="B81" s="897" t="s">
        <v>92</v>
      </c>
      <c r="C81" s="910"/>
      <c r="D81" s="910"/>
      <c r="E81" s="910"/>
      <c r="F81" s="910"/>
      <c r="G81" s="885"/>
      <c r="H81" s="902"/>
    </row>
    <row r="82" spans="1:8" ht="12" customHeight="1" x14ac:dyDescent="0.2">
      <c r="A82" s="50"/>
      <c r="B82" s="898" t="s">
        <v>250</v>
      </c>
      <c r="C82" s="910"/>
      <c r="D82" s="910"/>
      <c r="E82" s="910"/>
      <c r="F82" s="910"/>
      <c r="G82" s="1081"/>
      <c r="H82" s="919"/>
    </row>
    <row r="83" spans="1:8" ht="12" customHeight="1" x14ac:dyDescent="0.2">
      <c r="A83" s="50"/>
      <c r="B83" s="900" t="s">
        <v>239</v>
      </c>
      <c r="C83" s="910">
        <v>10000</v>
      </c>
      <c r="D83" s="910">
        <f>10000+1532</f>
        <v>11532</v>
      </c>
      <c r="E83" s="910">
        <f>10000+1532</f>
        <v>11532</v>
      </c>
      <c r="F83" s="910">
        <f>10000+1532</f>
        <v>11532</v>
      </c>
      <c r="G83" s="943">
        <f t="shared" si="2"/>
        <v>1</v>
      </c>
      <c r="H83" s="902"/>
    </row>
    <row r="84" spans="1:8" ht="12" customHeight="1" x14ac:dyDescent="0.2">
      <c r="A84" s="50"/>
      <c r="B84" s="900" t="s">
        <v>64</v>
      </c>
      <c r="C84" s="910">
        <v>13000</v>
      </c>
      <c r="D84" s="910">
        <f>13000+6886</f>
        <v>19886</v>
      </c>
      <c r="E84" s="910">
        <f>13000+6886</f>
        <v>19886</v>
      </c>
      <c r="F84" s="910">
        <f>13000+6886</f>
        <v>19886</v>
      </c>
      <c r="G84" s="943">
        <f t="shared" si="2"/>
        <v>1</v>
      </c>
      <c r="H84" s="919"/>
    </row>
    <row r="85" spans="1:8" ht="12" customHeight="1" x14ac:dyDescent="0.2">
      <c r="A85" s="50"/>
      <c r="B85" s="903" t="s">
        <v>246</v>
      </c>
      <c r="C85" s="910"/>
      <c r="D85" s="910"/>
      <c r="E85" s="910"/>
      <c r="F85" s="910"/>
      <c r="G85" s="943"/>
      <c r="H85" s="917"/>
    </row>
    <row r="86" spans="1:8" ht="12" customHeight="1" thickBot="1" x14ac:dyDescent="0.25">
      <c r="A86" s="253"/>
      <c r="B86" s="904" t="s">
        <v>65</v>
      </c>
      <c r="C86" s="934"/>
      <c r="D86" s="934"/>
      <c r="E86" s="934"/>
      <c r="F86" s="934"/>
      <c r="G86" s="1082"/>
      <c r="H86" s="929"/>
    </row>
    <row r="87" spans="1:8" ht="12" customHeight="1" thickBot="1" x14ac:dyDescent="0.25">
      <c r="A87" s="930"/>
      <c r="B87" s="905" t="s">
        <v>106</v>
      </c>
      <c r="C87" s="906">
        <f t="shared" ref="C87:D87" si="17">SUM(C81:C86)</f>
        <v>23000</v>
      </c>
      <c r="D87" s="906">
        <f t="shared" si="17"/>
        <v>31418</v>
      </c>
      <c r="E87" s="906">
        <f t="shared" ref="E87:F87" si="18">SUM(E81:E86)</f>
        <v>31418</v>
      </c>
      <c r="F87" s="906">
        <f t="shared" si="18"/>
        <v>31418</v>
      </c>
      <c r="G87" s="1000">
        <f t="shared" si="2"/>
        <v>1</v>
      </c>
      <c r="H87" s="888"/>
    </row>
    <row r="88" spans="1:8" ht="12" customHeight="1" thickBot="1" x14ac:dyDescent="0.25">
      <c r="A88" s="156">
        <v>3130</v>
      </c>
      <c r="B88" s="935" t="s">
        <v>307</v>
      </c>
      <c r="C88" s="906">
        <f>SUM(C89+C132)</f>
        <v>1264401</v>
      </c>
      <c r="D88" s="906">
        <f>SUM(D89+D132)</f>
        <v>3035208</v>
      </c>
      <c r="E88" s="906">
        <f>SUM(E89+E132)</f>
        <v>3041558</v>
      </c>
      <c r="F88" s="906">
        <f>SUM(F89+F132)</f>
        <v>3058558</v>
      </c>
      <c r="G88" s="1000">
        <f t="shared" si="2"/>
        <v>1.0055892407772595</v>
      </c>
      <c r="H88" s="888"/>
    </row>
    <row r="89" spans="1:8" ht="12" customHeight="1" thickBot="1" x14ac:dyDescent="0.25">
      <c r="A89" s="154">
        <v>3110</v>
      </c>
      <c r="B89" s="935" t="s">
        <v>305</v>
      </c>
      <c r="C89" s="906">
        <f t="shared" ref="C89:D89" si="19">SUM(C97+C115+C123+C105+C131)</f>
        <v>1235401</v>
      </c>
      <c r="D89" s="906">
        <f t="shared" si="19"/>
        <v>3004642</v>
      </c>
      <c r="E89" s="906">
        <f t="shared" ref="E89:F89" si="20">SUM(E97+E115+E123+E105+E131)</f>
        <v>3006642</v>
      </c>
      <c r="F89" s="906">
        <f t="shared" si="20"/>
        <v>3021642</v>
      </c>
      <c r="G89" s="1000">
        <f t="shared" ref="G89:G152" si="21">F89/E89</f>
        <v>1.0049889544548369</v>
      </c>
      <c r="H89" s="888"/>
    </row>
    <row r="90" spans="1:8" ht="12" customHeight="1" x14ac:dyDescent="0.2">
      <c r="A90" s="158">
        <v>3111</v>
      </c>
      <c r="B90" s="936" t="s">
        <v>128</v>
      </c>
      <c r="C90" s="908"/>
      <c r="D90" s="908"/>
      <c r="E90" s="908"/>
      <c r="F90" s="908"/>
      <c r="G90" s="885"/>
      <c r="H90" s="13" t="s">
        <v>1381</v>
      </c>
    </row>
    <row r="91" spans="1:8" ht="12" customHeight="1" x14ac:dyDescent="0.2">
      <c r="A91" s="253"/>
      <c r="B91" s="897" t="s">
        <v>92</v>
      </c>
      <c r="C91" s="910"/>
      <c r="D91" s="910"/>
      <c r="E91" s="910"/>
      <c r="F91" s="910"/>
      <c r="G91" s="885"/>
      <c r="H91" s="937"/>
    </row>
    <row r="92" spans="1:8" ht="12" customHeight="1" x14ac:dyDescent="0.2">
      <c r="A92" s="253"/>
      <c r="B92" s="898" t="s">
        <v>250</v>
      </c>
      <c r="C92" s="910"/>
      <c r="D92" s="910"/>
      <c r="E92" s="910"/>
      <c r="F92" s="910"/>
      <c r="G92" s="885"/>
      <c r="H92" s="937"/>
    </row>
    <row r="93" spans="1:8" ht="12" customHeight="1" x14ac:dyDescent="0.2">
      <c r="A93" s="253"/>
      <c r="B93" s="900" t="s">
        <v>239</v>
      </c>
      <c r="C93" s="910"/>
      <c r="D93" s="910"/>
      <c r="E93" s="910">
        <v>3745</v>
      </c>
      <c r="F93" s="910">
        <f>3745+212</f>
        <v>3957</v>
      </c>
      <c r="G93" s="885">
        <f t="shared" si="21"/>
        <v>1.0566088117489987</v>
      </c>
      <c r="H93" s="937"/>
    </row>
    <row r="94" spans="1:8" ht="12" customHeight="1" x14ac:dyDescent="0.2">
      <c r="A94" s="253"/>
      <c r="B94" s="903" t="s">
        <v>97</v>
      </c>
      <c r="C94" s="910"/>
      <c r="D94" s="910"/>
      <c r="E94" s="910"/>
      <c r="F94" s="910"/>
      <c r="G94" s="885"/>
      <c r="H94" s="938"/>
    </row>
    <row r="95" spans="1:8" ht="12" customHeight="1" x14ac:dyDescent="0.2">
      <c r="A95" s="253"/>
      <c r="B95" s="903" t="s">
        <v>246</v>
      </c>
      <c r="C95" s="910"/>
      <c r="D95" s="910"/>
      <c r="E95" s="910"/>
      <c r="F95" s="910"/>
      <c r="G95" s="885"/>
      <c r="H95" s="937"/>
    </row>
    <row r="96" spans="1:8" ht="12" customHeight="1" thickBot="1" x14ac:dyDescent="0.25">
      <c r="A96" s="253"/>
      <c r="B96" s="904" t="s">
        <v>228</v>
      </c>
      <c r="C96" s="939">
        <f>500000+414000+200000</f>
        <v>1114000</v>
      </c>
      <c r="D96" s="939">
        <f>1114000+618235+1000000+100000</f>
        <v>2832235</v>
      </c>
      <c r="E96" s="939">
        <f>2832235-3745</f>
        <v>2828490</v>
      </c>
      <c r="F96" s="939">
        <f>2828490-212</f>
        <v>2828278</v>
      </c>
      <c r="G96" s="1083">
        <f t="shared" si="21"/>
        <v>0.99992504834735141</v>
      </c>
      <c r="H96" s="937"/>
    </row>
    <row r="97" spans="1:8" ht="12" customHeight="1" thickBot="1" x14ac:dyDescent="0.25">
      <c r="A97" s="930"/>
      <c r="B97" s="905" t="s">
        <v>106</v>
      </c>
      <c r="C97" s="906">
        <f t="shared" ref="C97:D97" si="22">SUM(C91:C96)</f>
        <v>1114000</v>
      </c>
      <c r="D97" s="906">
        <f t="shared" si="22"/>
        <v>2832235</v>
      </c>
      <c r="E97" s="906">
        <f t="shared" ref="E97:F97" si="23">SUM(E91:E96)</f>
        <v>2832235</v>
      </c>
      <c r="F97" s="906">
        <f t="shared" si="23"/>
        <v>2832235</v>
      </c>
      <c r="G97" s="1000">
        <f t="shared" si="21"/>
        <v>1</v>
      </c>
      <c r="H97" s="888"/>
    </row>
    <row r="98" spans="1:8" ht="12" customHeight="1" x14ac:dyDescent="0.2">
      <c r="A98" s="158">
        <v>3112</v>
      </c>
      <c r="B98" s="936" t="s">
        <v>344</v>
      </c>
      <c r="C98" s="908"/>
      <c r="D98" s="908"/>
      <c r="E98" s="908"/>
      <c r="F98" s="908"/>
      <c r="G98" s="885"/>
      <c r="H98" s="13"/>
    </row>
    <row r="99" spans="1:8" ht="12" customHeight="1" x14ac:dyDescent="0.2">
      <c r="A99" s="253"/>
      <c r="B99" s="897" t="s">
        <v>92</v>
      </c>
      <c r="C99" s="910"/>
      <c r="D99" s="910"/>
      <c r="E99" s="910"/>
      <c r="F99" s="910"/>
      <c r="G99" s="885"/>
      <c r="H99" s="937"/>
    </row>
    <row r="100" spans="1:8" ht="12" customHeight="1" x14ac:dyDescent="0.2">
      <c r="A100" s="253"/>
      <c r="B100" s="898" t="s">
        <v>250</v>
      </c>
      <c r="C100" s="910"/>
      <c r="D100" s="910"/>
      <c r="E100" s="910"/>
      <c r="F100" s="910"/>
      <c r="G100" s="885"/>
      <c r="H100" s="937"/>
    </row>
    <row r="101" spans="1:8" ht="12" customHeight="1" x14ac:dyDescent="0.2">
      <c r="A101" s="253"/>
      <c r="B101" s="900" t="s">
        <v>239</v>
      </c>
      <c r="C101" s="910">
        <v>40000</v>
      </c>
      <c r="D101" s="910">
        <f>40000+20614</f>
        <v>60614</v>
      </c>
      <c r="E101" s="910">
        <f>40000+20614</f>
        <v>60614</v>
      </c>
      <c r="F101" s="910">
        <f>40000+20614</f>
        <v>60614</v>
      </c>
      <c r="G101" s="1081">
        <f t="shared" si="21"/>
        <v>1</v>
      </c>
      <c r="H101" s="899" t="s">
        <v>1379</v>
      </c>
    </row>
    <row r="102" spans="1:8" ht="12" customHeight="1" x14ac:dyDescent="0.2">
      <c r="A102" s="253"/>
      <c r="B102" s="903" t="s">
        <v>97</v>
      </c>
      <c r="C102" s="910"/>
      <c r="D102" s="910"/>
      <c r="E102" s="910"/>
      <c r="F102" s="910"/>
      <c r="G102" s="943"/>
      <c r="H102" s="940" t="s">
        <v>437</v>
      </c>
    </row>
    <row r="103" spans="1:8" ht="12" customHeight="1" x14ac:dyDescent="0.2">
      <c r="A103" s="253"/>
      <c r="B103" s="903" t="s">
        <v>246</v>
      </c>
      <c r="C103" s="910"/>
      <c r="D103" s="910"/>
      <c r="E103" s="910"/>
      <c r="F103" s="910"/>
      <c r="G103" s="943"/>
      <c r="H103" s="937"/>
    </row>
    <row r="104" spans="1:8" ht="12" customHeight="1" thickBot="1" x14ac:dyDescent="0.25">
      <c r="A104" s="253"/>
      <c r="B104" s="904" t="s">
        <v>13</v>
      </c>
      <c r="C104" s="939"/>
      <c r="D104" s="939"/>
      <c r="E104" s="939"/>
      <c r="F104" s="939"/>
      <c r="G104" s="1082"/>
      <c r="H104" s="937"/>
    </row>
    <row r="105" spans="1:8" ht="12" customHeight="1" thickBot="1" x14ac:dyDescent="0.25">
      <c r="A105" s="930"/>
      <c r="B105" s="905" t="s">
        <v>106</v>
      </c>
      <c r="C105" s="906">
        <f t="shared" ref="C105:D105" si="24">SUM(C99:C104)</f>
        <v>40000</v>
      </c>
      <c r="D105" s="906">
        <f t="shared" si="24"/>
        <v>60614</v>
      </c>
      <c r="E105" s="906">
        <f t="shared" ref="E105:F105" si="25">SUM(E99:E104)</f>
        <v>60614</v>
      </c>
      <c r="F105" s="906">
        <f t="shared" si="25"/>
        <v>60614</v>
      </c>
      <c r="G105" s="1000">
        <f t="shared" si="21"/>
        <v>1</v>
      </c>
      <c r="H105" s="888"/>
    </row>
    <row r="106" spans="1:8" ht="12" customHeight="1" x14ac:dyDescent="0.2">
      <c r="A106" s="37">
        <v>3114</v>
      </c>
      <c r="B106" s="941" t="s">
        <v>100</v>
      </c>
      <c r="C106" s="241"/>
      <c r="D106" s="241"/>
      <c r="E106" s="241"/>
      <c r="F106" s="241"/>
      <c r="G106" s="885"/>
      <c r="H106" s="254"/>
    </row>
    <row r="107" spans="1:8" ht="12" customHeight="1" x14ac:dyDescent="0.2">
      <c r="A107" s="36"/>
      <c r="B107" s="34" t="s">
        <v>92</v>
      </c>
      <c r="C107" s="200"/>
      <c r="D107" s="200"/>
      <c r="E107" s="200"/>
      <c r="F107" s="200"/>
      <c r="G107" s="885"/>
      <c r="H107" s="937"/>
    </row>
    <row r="108" spans="1:8" ht="12" customHeight="1" x14ac:dyDescent="0.2">
      <c r="A108" s="36"/>
      <c r="B108" s="5" t="s">
        <v>250</v>
      </c>
      <c r="C108" s="200"/>
      <c r="D108" s="200"/>
      <c r="E108" s="200"/>
      <c r="F108" s="200"/>
      <c r="G108" s="885"/>
      <c r="H108" s="942"/>
    </row>
    <row r="109" spans="1:8" ht="12" customHeight="1" x14ac:dyDescent="0.2">
      <c r="A109" s="36"/>
      <c r="B109" s="243" t="s">
        <v>239</v>
      </c>
      <c r="C109" s="200">
        <v>55000</v>
      </c>
      <c r="D109" s="200">
        <f>55000+8411</f>
        <v>63411</v>
      </c>
      <c r="E109" s="200">
        <f>63411+2000</f>
        <v>65411</v>
      </c>
      <c r="F109" s="200">
        <f>65411+14800</f>
        <v>80211</v>
      </c>
      <c r="G109" s="943">
        <f t="shared" si="21"/>
        <v>1.2262616379508033</v>
      </c>
      <c r="H109" s="944" t="s">
        <v>1383</v>
      </c>
    </row>
    <row r="110" spans="1:8" ht="12" customHeight="1" x14ac:dyDescent="0.2">
      <c r="A110" s="36"/>
      <c r="B110" s="6" t="s">
        <v>97</v>
      </c>
      <c r="C110" s="200"/>
      <c r="D110" s="200"/>
      <c r="E110" s="200"/>
      <c r="F110" s="200"/>
      <c r="G110" s="943"/>
      <c r="H110" s="924"/>
    </row>
    <row r="111" spans="1:8" ht="12" customHeight="1" x14ac:dyDescent="0.2">
      <c r="A111" s="36"/>
      <c r="B111" s="6" t="s">
        <v>246</v>
      </c>
      <c r="C111" s="200"/>
      <c r="D111" s="200"/>
      <c r="E111" s="200"/>
      <c r="F111" s="200"/>
      <c r="G111" s="943"/>
      <c r="H111" s="942"/>
    </row>
    <row r="112" spans="1:8" ht="12" customHeight="1" x14ac:dyDescent="0.2">
      <c r="A112" s="36"/>
      <c r="B112" s="904" t="s">
        <v>212</v>
      </c>
      <c r="C112" s="200"/>
      <c r="D112" s="200">
        <v>20011</v>
      </c>
      <c r="E112" s="200">
        <v>20011</v>
      </c>
      <c r="F112" s="200">
        <f>20011+200</f>
        <v>20211</v>
      </c>
      <c r="G112" s="943">
        <f t="shared" si="21"/>
        <v>1.0099945030233373</v>
      </c>
      <c r="H112" s="945"/>
    </row>
    <row r="113" spans="1:8" ht="12" customHeight="1" x14ac:dyDescent="0.2">
      <c r="A113" s="36"/>
      <c r="B113" s="946" t="s">
        <v>418</v>
      </c>
      <c r="C113" s="200"/>
      <c r="D113" s="200"/>
      <c r="E113" s="200"/>
      <c r="F113" s="200"/>
      <c r="G113" s="885"/>
      <c r="H113" s="911"/>
    </row>
    <row r="114" spans="1:8" ht="12" customHeight="1" thickBot="1" x14ac:dyDescent="0.25">
      <c r="A114" s="36"/>
      <c r="B114" s="947" t="s">
        <v>1139</v>
      </c>
      <c r="C114" s="682"/>
      <c r="D114" s="682"/>
      <c r="E114" s="682"/>
      <c r="F114" s="682"/>
      <c r="G114" s="1079"/>
      <c r="H114" s="948"/>
    </row>
    <row r="115" spans="1:8" ht="12" customHeight="1" thickBot="1" x14ac:dyDescent="0.25">
      <c r="A115" s="247"/>
      <c r="B115" s="905" t="s">
        <v>106</v>
      </c>
      <c r="C115" s="949">
        <f t="shared" ref="C115:D115" si="26">SUM(C107:C114)</f>
        <v>55000</v>
      </c>
      <c r="D115" s="949">
        <f t="shared" si="26"/>
        <v>83422</v>
      </c>
      <c r="E115" s="949">
        <f t="shared" ref="E115:F115" si="27">SUM(E107:E114)</f>
        <v>85422</v>
      </c>
      <c r="F115" s="949">
        <f t="shared" si="27"/>
        <v>100422</v>
      </c>
      <c r="G115" s="1000">
        <f t="shared" si="21"/>
        <v>1.1755987918803119</v>
      </c>
      <c r="H115" s="888"/>
    </row>
    <row r="116" spans="1:8" ht="12" customHeight="1" x14ac:dyDescent="0.2">
      <c r="A116" s="37">
        <v>3115</v>
      </c>
      <c r="B116" s="941" t="s">
        <v>427</v>
      </c>
      <c r="C116" s="241"/>
      <c r="D116" s="241"/>
      <c r="E116" s="241"/>
      <c r="F116" s="241"/>
      <c r="G116" s="885"/>
      <c r="H116" s="254"/>
    </row>
    <row r="117" spans="1:8" ht="12" customHeight="1" x14ac:dyDescent="0.2">
      <c r="A117" s="36"/>
      <c r="B117" s="34" t="s">
        <v>92</v>
      </c>
      <c r="C117" s="200"/>
      <c r="D117" s="200"/>
      <c r="E117" s="200"/>
      <c r="F117" s="200"/>
      <c r="G117" s="885"/>
      <c r="H117" s="937"/>
    </row>
    <row r="118" spans="1:8" ht="12" customHeight="1" x14ac:dyDescent="0.2">
      <c r="A118" s="36"/>
      <c r="B118" s="5" t="s">
        <v>250</v>
      </c>
      <c r="C118" s="200"/>
      <c r="D118" s="200"/>
      <c r="E118" s="200"/>
      <c r="F118" s="200"/>
      <c r="G118" s="1081"/>
      <c r="H118" s="899" t="s">
        <v>1379</v>
      </c>
    </row>
    <row r="119" spans="1:8" ht="12" customHeight="1" x14ac:dyDescent="0.2">
      <c r="A119" s="36"/>
      <c r="B119" s="243" t="s">
        <v>239</v>
      </c>
      <c r="C119" s="200">
        <v>20000</v>
      </c>
      <c r="D119" s="200">
        <f>20000+272</f>
        <v>20272</v>
      </c>
      <c r="E119" s="200">
        <f>20000+272</f>
        <v>20272</v>
      </c>
      <c r="F119" s="200">
        <f>20000+272</f>
        <v>20272</v>
      </c>
      <c r="G119" s="943">
        <f t="shared" si="21"/>
        <v>1</v>
      </c>
      <c r="H119" s="902" t="s">
        <v>434</v>
      </c>
    </row>
    <row r="120" spans="1:8" ht="12" customHeight="1" x14ac:dyDescent="0.2">
      <c r="A120" s="36"/>
      <c r="B120" s="6" t="s">
        <v>97</v>
      </c>
      <c r="C120" s="200"/>
      <c r="D120" s="200"/>
      <c r="E120" s="200"/>
      <c r="F120" s="200"/>
      <c r="G120" s="943"/>
      <c r="H120" s="924"/>
    </row>
    <row r="121" spans="1:8" ht="12" customHeight="1" x14ac:dyDescent="0.2">
      <c r="A121" s="36"/>
      <c r="B121" s="6" t="s">
        <v>246</v>
      </c>
      <c r="C121" s="200"/>
      <c r="D121" s="200"/>
      <c r="E121" s="200"/>
      <c r="F121" s="200"/>
      <c r="G121" s="943"/>
      <c r="H121" s="911"/>
    </row>
    <row r="122" spans="1:8" ht="12" customHeight="1" thickBot="1" x14ac:dyDescent="0.25">
      <c r="A122" s="33"/>
      <c r="B122" s="950" t="s">
        <v>212</v>
      </c>
      <c r="C122" s="682"/>
      <c r="D122" s="682"/>
      <c r="E122" s="682"/>
      <c r="F122" s="682"/>
      <c r="G122" s="1082"/>
      <c r="H122" s="945"/>
    </row>
    <row r="123" spans="1:8" ht="12.75" customHeight="1" thickBot="1" x14ac:dyDescent="0.25">
      <c r="A123" s="247"/>
      <c r="B123" s="905" t="s">
        <v>106</v>
      </c>
      <c r="C123" s="949">
        <f t="shared" ref="C123:D123" si="28">SUM(C118:C122)</f>
        <v>20000</v>
      </c>
      <c r="D123" s="949">
        <f t="shared" si="28"/>
        <v>20272</v>
      </c>
      <c r="E123" s="949">
        <f t="shared" ref="E123:F123" si="29">SUM(E118:E122)</f>
        <v>20272</v>
      </c>
      <c r="F123" s="949">
        <f t="shared" si="29"/>
        <v>20272</v>
      </c>
      <c r="G123" s="1000">
        <f t="shared" si="21"/>
        <v>1</v>
      </c>
      <c r="H123" s="888"/>
    </row>
    <row r="124" spans="1:8" ht="12" customHeight="1" x14ac:dyDescent="0.2">
      <c r="A124" s="37">
        <v>3116</v>
      </c>
      <c r="B124" s="941" t="s">
        <v>412</v>
      </c>
      <c r="C124" s="241"/>
      <c r="D124" s="241"/>
      <c r="E124" s="241"/>
      <c r="F124" s="241"/>
      <c r="G124" s="885"/>
      <c r="H124" s="254"/>
    </row>
    <row r="125" spans="1:8" ht="12" customHeight="1" x14ac:dyDescent="0.2">
      <c r="A125" s="36"/>
      <c r="B125" s="34" t="s">
        <v>92</v>
      </c>
      <c r="C125" s="200"/>
      <c r="D125" s="200"/>
      <c r="E125" s="200"/>
      <c r="F125" s="200"/>
      <c r="G125" s="885"/>
      <c r="H125" s="937"/>
    </row>
    <row r="126" spans="1:8" ht="12" customHeight="1" x14ac:dyDescent="0.2">
      <c r="A126" s="36"/>
      <c r="B126" s="5" t="s">
        <v>250</v>
      </c>
      <c r="C126" s="200"/>
      <c r="D126" s="200"/>
      <c r="E126" s="200"/>
      <c r="F126" s="200"/>
      <c r="G126" s="1081"/>
      <c r="H126" s="940" t="s">
        <v>1384</v>
      </c>
    </row>
    <row r="127" spans="1:8" ht="12" customHeight="1" x14ac:dyDescent="0.2">
      <c r="A127" s="36"/>
      <c r="B127" s="243" t="s">
        <v>239</v>
      </c>
      <c r="C127" s="200">
        <v>6401</v>
      </c>
      <c r="D127" s="200">
        <f>6401+1698</f>
        <v>8099</v>
      </c>
      <c r="E127" s="200">
        <f>6401+1698</f>
        <v>8099</v>
      </c>
      <c r="F127" s="200">
        <f>6401+1698</f>
        <v>8099</v>
      </c>
      <c r="G127" s="943">
        <f t="shared" si="21"/>
        <v>1</v>
      </c>
      <c r="H127" s="944" t="s">
        <v>1383</v>
      </c>
    </row>
    <row r="128" spans="1:8" ht="12" customHeight="1" x14ac:dyDescent="0.2">
      <c r="A128" s="36"/>
      <c r="B128" s="6" t="s">
        <v>97</v>
      </c>
      <c r="C128" s="200"/>
      <c r="D128" s="200"/>
      <c r="E128" s="200"/>
      <c r="F128" s="200"/>
      <c r="G128" s="943"/>
      <c r="H128" s="924"/>
    </row>
    <row r="129" spans="1:8" ht="12" customHeight="1" x14ac:dyDescent="0.2">
      <c r="A129" s="36"/>
      <c r="B129" s="6" t="s">
        <v>246</v>
      </c>
      <c r="C129" s="200"/>
      <c r="D129" s="200"/>
      <c r="E129" s="200"/>
      <c r="F129" s="200"/>
      <c r="G129" s="943"/>
      <c r="H129" s="937"/>
    </row>
    <row r="130" spans="1:8" ht="12" customHeight="1" thickBot="1" x14ac:dyDescent="0.25">
      <c r="A130" s="33"/>
      <c r="B130" s="950" t="s">
        <v>65</v>
      </c>
      <c r="C130" s="682"/>
      <c r="D130" s="682"/>
      <c r="E130" s="682"/>
      <c r="F130" s="682"/>
      <c r="G130" s="1082"/>
      <c r="H130" s="945"/>
    </row>
    <row r="131" spans="1:8" ht="12" customHeight="1" thickBot="1" x14ac:dyDescent="0.25">
      <c r="A131" s="247"/>
      <c r="B131" s="905" t="s">
        <v>106</v>
      </c>
      <c r="C131" s="949">
        <f t="shared" ref="C131:D131" si="30">SUM(C126:C130)</f>
        <v>6401</v>
      </c>
      <c r="D131" s="949">
        <f t="shared" si="30"/>
        <v>8099</v>
      </c>
      <c r="E131" s="949">
        <f t="shared" ref="E131:F131" si="31">SUM(E126:E130)</f>
        <v>8099</v>
      </c>
      <c r="F131" s="949">
        <f t="shared" si="31"/>
        <v>8099</v>
      </c>
      <c r="G131" s="1000">
        <f t="shared" si="21"/>
        <v>1</v>
      </c>
      <c r="H131" s="888"/>
    </row>
    <row r="132" spans="1:8" ht="12" customHeight="1" thickBot="1" x14ac:dyDescent="0.25">
      <c r="A132" s="49">
        <v>3120</v>
      </c>
      <c r="B132" s="935" t="s">
        <v>308</v>
      </c>
      <c r="C132" s="949">
        <f>SUM(C140+C148+C156+C164+C172)</f>
        <v>29000</v>
      </c>
      <c r="D132" s="949">
        <f>SUM(D140+D148+D156+D164+D172)</f>
        <v>30566</v>
      </c>
      <c r="E132" s="949">
        <f>SUM(E140+E148+E156+E164+E172)</f>
        <v>34916</v>
      </c>
      <c r="F132" s="949">
        <f>SUM(F140+F148+F156+F164+F172)</f>
        <v>36916</v>
      </c>
      <c r="G132" s="1000">
        <f t="shared" si="21"/>
        <v>1.0572803299347004</v>
      </c>
      <c r="H132" s="888"/>
    </row>
    <row r="133" spans="1:8" ht="12" customHeight="1" x14ac:dyDescent="0.2">
      <c r="A133" s="10">
        <v>3121</v>
      </c>
      <c r="B133" s="951" t="s">
        <v>150</v>
      </c>
      <c r="C133" s="241"/>
      <c r="D133" s="241"/>
      <c r="E133" s="241"/>
      <c r="F133" s="241"/>
      <c r="G133" s="885"/>
      <c r="H133" s="2"/>
    </row>
    <row r="134" spans="1:8" ht="12" customHeight="1" x14ac:dyDescent="0.2">
      <c r="A134" s="10"/>
      <c r="B134" s="34" t="s">
        <v>92</v>
      </c>
      <c r="C134" s="241"/>
      <c r="D134" s="241"/>
      <c r="E134" s="241"/>
      <c r="F134" s="241"/>
      <c r="G134" s="885"/>
      <c r="H134" s="3"/>
    </row>
    <row r="135" spans="1:8" ht="12" customHeight="1" x14ac:dyDescent="0.2">
      <c r="A135" s="10"/>
      <c r="B135" s="5" t="s">
        <v>250</v>
      </c>
      <c r="C135" s="241"/>
      <c r="D135" s="241"/>
      <c r="E135" s="241"/>
      <c r="F135" s="241"/>
      <c r="G135" s="1081"/>
      <c r="H135" s="899" t="s">
        <v>1379</v>
      </c>
    </row>
    <row r="136" spans="1:8" ht="12" customHeight="1" x14ac:dyDescent="0.2">
      <c r="A136" s="37"/>
      <c r="B136" s="243" t="s">
        <v>239</v>
      </c>
      <c r="C136" s="953">
        <v>4000</v>
      </c>
      <c r="D136" s="953">
        <f>4000+671</f>
        <v>4671</v>
      </c>
      <c r="E136" s="953">
        <f>4671+2000</f>
        <v>6671</v>
      </c>
      <c r="F136" s="953">
        <f>4671+2000</f>
        <v>6671</v>
      </c>
      <c r="G136" s="943">
        <f t="shared" si="21"/>
        <v>1</v>
      </c>
      <c r="H136" s="952" t="s">
        <v>434</v>
      </c>
    </row>
    <row r="137" spans="1:8" ht="12" customHeight="1" x14ac:dyDescent="0.2">
      <c r="A137" s="37"/>
      <c r="B137" s="6" t="s">
        <v>246</v>
      </c>
      <c r="C137" s="953"/>
      <c r="D137" s="953"/>
      <c r="E137" s="953"/>
      <c r="F137" s="953"/>
      <c r="G137" s="943"/>
      <c r="H137" s="954"/>
    </row>
    <row r="138" spans="1:8" ht="12" customHeight="1" x14ac:dyDescent="0.2">
      <c r="A138" s="10"/>
      <c r="B138" s="6" t="s">
        <v>246</v>
      </c>
      <c r="C138" s="241"/>
      <c r="D138" s="241"/>
      <c r="E138" s="241"/>
      <c r="F138" s="241"/>
      <c r="G138" s="943"/>
      <c r="H138" s="911"/>
    </row>
    <row r="139" spans="1:8" ht="12" customHeight="1" thickBot="1" x14ac:dyDescent="0.25">
      <c r="A139" s="10"/>
      <c r="B139" s="904" t="s">
        <v>65</v>
      </c>
      <c r="C139" s="955"/>
      <c r="D139" s="955"/>
      <c r="E139" s="955"/>
      <c r="F139" s="955"/>
      <c r="G139" s="1082"/>
      <c r="H139" s="1"/>
    </row>
    <row r="140" spans="1:8" ht="12.6" customHeight="1" thickBot="1" x14ac:dyDescent="0.25">
      <c r="A140" s="247"/>
      <c r="B140" s="905" t="s">
        <v>106</v>
      </c>
      <c r="C140" s="949">
        <f t="shared" ref="C140:D140" si="32">SUM(C136:C139)</f>
        <v>4000</v>
      </c>
      <c r="D140" s="949">
        <f t="shared" si="32"/>
        <v>4671</v>
      </c>
      <c r="E140" s="949">
        <f t="shared" ref="E140:F140" si="33">SUM(E136:E139)</f>
        <v>6671</v>
      </c>
      <c r="F140" s="949">
        <f t="shared" si="33"/>
        <v>6671</v>
      </c>
      <c r="G140" s="1000">
        <f t="shared" si="21"/>
        <v>1</v>
      </c>
      <c r="H140" s="888"/>
    </row>
    <row r="141" spans="1:8" ht="12" customHeight="1" x14ac:dyDescent="0.2">
      <c r="A141" s="37">
        <v>3122</v>
      </c>
      <c r="B141" s="941" t="s">
        <v>144</v>
      </c>
      <c r="C141" s="241"/>
      <c r="D141" s="241"/>
      <c r="E141" s="241"/>
      <c r="F141" s="241"/>
      <c r="G141" s="885"/>
      <c r="H141" s="255"/>
    </row>
    <row r="142" spans="1:8" ht="12" customHeight="1" x14ac:dyDescent="0.2">
      <c r="A142" s="36"/>
      <c r="B142" s="34" t="s">
        <v>92</v>
      </c>
      <c r="C142" s="200"/>
      <c r="D142" s="200"/>
      <c r="E142" s="200"/>
      <c r="F142" s="200"/>
      <c r="G142" s="885"/>
      <c r="H142" s="937"/>
    </row>
    <row r="143" spans="1:8" ht="12" customHeight="1" x14ac:dyDescent="0.2">
      <c r="A143" s="36"/>
      <c r="B143" s="5" t="s">
        <v>250</v>
      </c>
      <c r="C143" s="200"/>
      <c r="D143" s="200"/>
      <c r="E143" s="200"/>
      <c r="F143" s="200"/>
      <c r="G143" s="1081"/>
      <c r="H143" s="937"/>
    </row>
    <row r="144" spans="1:8" ht="12" customHeight="1" x14ac:dyDescent="0.2">
      <c r="A144" s="36"/>
      <c r="B144" s="243" t="s">
        <v>239</v>
      </c>
      <c r="C144" s="200">
        <v>3000</v>
      </c>
      <c r="D144" s="200">
        <f>3000+34</f>
        <v>3034</v>
      </c>
      <c r="E144" s="200">
        <f>3034+1200</f>
        <v>4234</v>
      </c>
      <c r="F144" s="200">
        <f>3034+1200</f>
        <v>4234</v>
      </c>
      <c r="G144" s="943">
        <f t="shared" si="21"/>
        <v>1</v>
      </c>
      <c r="H144" s="924"/>
    </row>
    <row r="145" spans="1:8" ht="12" customHeight="1" x14ac:dyDescent="0.2">
      <c r="A145" s="36"/>
      <c r="B145" s="6" t="s">
        <v>97</v>
      </c>
      <c r="C145" s="200"/>
      <c r="D145" s="200"/>
      <c r="E145" s="200"/>
      <c r="F145" s="200"/>
      <c r="G145" s="943"/>
      <c r="H145" s="937"/>
    </row>
    <row r="146" spans="1:8" ht="12" customHeight="1" x14ac:dyDescent="0.2">
      <c r="A146" s="36"/>
      <c r="B146" s="6" t="s">
        <v>246</v>
      </c>
      <c r="C146" s="200"/>
      <c r="D146" s="200"/>
      <c r="E146" s="200"/>
      <c r="F146" s="200"/>
      <c r="G146" s="943"/>
      <c r="H146" s="911"/>
    </row>
    <row r="147" spans="1:8" ht="12" customHeight="1" thickBot="1" x14ac:dyDescent="0.25">
      <c r="A147" s="36"/>
      <c r="B147" s="904" t="s">
        <v>65</v>
      </c>
      <c r="C147" s="956"/>
      <c r="D147" s="956"/>
      <c r="E147" s="956"/>
      <c r="F147" s="956"/>
      <c r="G147" s="1082"/>
      <c r="H147" s="937"/>
    </row>
    <row r="148" spans="1:8" ht="12" customHeight="1" thickBot="1" x14ac:dyDescent="0.25">
      <c r="A148" s="236"/>
      <c r="B148" s="905" t="s">
        <v>106</v>
      </c>
      <c r="C148" s="949">
        <f t="shared" ref="C148:D148" si="34">SUM(C142:C147)</f>
        <v>3000</v>
      </c>
      <c r="D148" s="949">
        <f t="shared" si="34"/>
        <v>3034</v>
      </c>
      <c r="E148" s="949">
        <f t="shared" ref="E148:F148" si="35">SUM(E142:E147)</f>
        <v>4234</v>
      </c>
      <c r="F148" s="949">
        <f t="shared" si="35"/>
        <v>4234</v>
      </c>
      <c r="G148" s="1000">
        <f t="shared" si="21"/>
        <v>1</v>
      </c>
      <c r="H148" s="888"/>
    </row>
    <row r="149" spans="1:8" ht="12" customHeight="1" x14ac:dyDescent="0.2">
      <c r="A149" s="37">
        <v>3123</v>
      </c>
      <c r="B149" s="162" t="s">
        <v>99</v>
      </c>
      <c r="C149" s="241"/>
      <c r="D149" s="241"/>
      <c r="E149" s="241"/>
      <c r="F149" s="241"/>
      <c r="G149" s="885"/>
      <c r="H149" s="13"/>
    </row>
    <row r="150" spans="1:8" ht="12" customHeight="1" x14ac:dyDescent="0.2">
      <c r="A150" s="36"/>
      <c r="B150" s="34" t="s">
        <v>92</v>
      </c>
      <c r="C150" s="200"/>
      <c r="D150" s="200"/>
      <c r="E150" s="200"/>
      <c r="F150" s="200"/>
      <c r="G150" s="885"/>
      <c r="H150" s="937"/>
    </row>
    <row r="151" spans="1:8" ht="12" customHeight="1" x14ac:dyDescent="0.2">
      <c r="A151" s="36"/>
      <c r="B151" s="5" t="s">
        <v>250</v>
      </c>
      <c r="C151" s="200"/>
      <c r="D151" s="200"/>
      <c r="E151" s="200"/>
      <c r="F151" s="200"/>
      <c r="G151" s="1081"/>
      <c r="H151" s="938"/>
    </row>
    <row r="152" spans="1:8" ht="12" customHeight="1" x14ac:dyDescent="0.2">
      <c r="A152" s="36"/>
      <c r="B152" s="243" t="s">
        <v>239</v>
      </c>
      <c r="C152" s="200">
        <v>15000</v>
      </c>
      <c r="D152" s="200">
        <f>15000+861</f>
        <v>15861</v>
      </c>
      <c r="E152" s="200">
        <f>15000+861</f>
        <v>15861</v>
      </c>
      <c r="F152" s="200">
        <f>15000+861</f>
        <v>15861</v>
      </c>
      <c r="G152" s="943">
        <f t="shared" si="21"/>
        <v>1</v>
      </c>
      <c r="H152" s="924"/>
    </row>
    <row r="153" spans="1:8" ht="12" customHeight="1" x14ac:dyDescent="0.2">
      <c r="A153" s="36"/>
      <c r="B153" s="6" t="s">
        <v>97</v>
      </c>
      <c r="C153" s="200"/>
      <c r="D153" s="200"/>
      <c r="E153" s="200"/>
      <c r="F153" s="200"/>
      <c r="G153" s="943"/>
      <c r="H153" s="942"/>
    </row>
    <row r="154" spans="1:8" ht="12" customHeight="1" x14ac:dyDescent="0.2">
      <c r="A154" s="36"/>
      <c r="B154" s="6" t="s">
        <v>246</v>
      </c>
      <c r="C154" s="200"/>
      <c r="D154" s="200"/>
      <c r="E154" s="200"/>
      <c r="F154" s="200"/>
      <c r="G154" s="943"/>
      <c r="H154" s="911"/>
    </row>
    <row r="155" spans="1:8" ht="12" customHeight="1" thickBot="1" x14ac:dyDescent="0.25">
      <c r="A155" s="36"/>
      <c r="B155" s="904" t="s">
        <v>65</v>
      </c>
      <c r="C155" s="956"/>
      <c r="D155" s="956"/>
      <c r="E155" s="956"/>
      <c r="F155" s="956"/>
      <c r="G155" s="1082"/>
      <c r="H155" s="937"/>
    </row>
    <row r="156" spans="1:8" ht="12" customHeight="1" thickBot="1" x14ac:dyDescent="0.25">
      <c r="A156" s="236"/>
      <c r="B156" s="905" t="s">
        <v>106</v>
      </c>
      <c r="C156" s="949">
        <f t="shared" ref="C156:D156" si="36">SUM(C150:C155)</f>
        <v>15000</v>
      </c>
      <c r="D156" s="949">
        <f t="shared" si="36"/>
        <v>15861</v>
      </c>
      <c r="E156" s="949">
        <f t="shared" ref="E156:F156" si="37">SUM(E150:E155)</f>
        <v>15861</v>
      </c>
      <c r="F156" s="949">
        <f t="shared" si="37"/>
        <v>15861</v>
      </c>
      <c r="G156" s="1000">
        <f t="shared" ref="G156:G215" si="38">F156/E156</f>
        <v>1</v>
      </c>
      <c r="H156" s="888"/>
    </row>
    <row r="157" spans="1:8" ht="12" customHeight="1" x14ac:dyDescent="0.2">
      <c r="A157" s="37">
        <v>3124</v>
      </c>
      <c r="B157" s="162" t="s">
        <v>102</v>
      </c>
      <c r="C157" s="241"/>
      <c r="D157" s="241"/>
      <c r="E157" s="241"/>
      <c r="F157" s="241"/>
      <c r="G157" s="885"/>
      <c r="H157" s="13" t="s">
        <v>1381</v>
      </c>
    </row>
    <row r="158" spans="1:8" ht="12" customHeight="1" x14ac:dyDescent="0.2">
      <c r="A158" s="36"/>
      <c r="B158" s="34" t="s">
        <v>92</v>
      </c>
      <c r="C158" s="200"/>
      <c r="D158" s="200"/>
      <c r="E158" s="200"/>
      <c r="F158" s="200"/>
      <c r="G158" s="885"/>
      <c r="H158" s="937"/>
    </row>
    <row r="159" spans="1:8" ht="12" customHeight="1" x14ac:dyDescent="0.2">
      <c r="A159" s="36"/>
      <c r="B159" s="5" t="s">
        <v>250</v>
      </c>
      <c r="C159" s="200"/>
      <c r="D159" s="200"/>
      <c r="E159" s="200"/>
      <c r="F159" s="200"/>
      <c r="G159" s="1081"/>
      <c r="H159" s="937"/>
    </row>
    <row r="160" spans="1:8" ht="12" customHeight="1" x14ac:dyDescent="0.2">
      <c r="A160" s="36"/>
      <c r="B160" s="243" t="s">
        <v>239</v>
      </c>
      <c r="C160" s="200">
        <v>2000</v>
      </c>
      <c r="D160" s="200">
        <v>2000</v>
      </c>
      <c r="E160" s="200">
        <f>2000+1150</f>
        <v>3150</v>
      </c>
      <c r="F160" s="200">
        <f>3150+2000</f>
        <v>5150</v>
      </c>
      <c r="G160" s="943">
        <f t="shared" si="38"/>
        <v>1.6349206349206349</v>
      </c>
      <c r="H160" s="924"/>
    </row>
    <row r="161" spans="1:8" ht="12" customHeight="1" x14ac:dyDescent="0.2">
      <c r="A161" s="36"/>
      <c r="B161" s="6" t="s">
        <v>97</v>
      </c>
      <c r="C161" s="200"/>
      <c r="D161" s="200"/>
      <c r="E161" s="200"/>
      <c r="F161" s="200"/>
      <c r="G161" s="943"/>
      <c r="H161" s="937"/>
    </row>
    <row r="162" spans="1:8" ht="12" customHeight="1" x14ac:dyDescent="0.2">
      <c r="A162" s="36"/>
      <c r="B162" s="6" t="s">
        <v>246</v>
      </c>
      <c r="C162" s="200"/>
      <c r="D162" s="200"/>
      <c r="E162" s="200"/>
      <c r="F162" s="200"/>
      <c r="G162" s="943"/>
      <c r="H162" s="911"/>
    </row>
    <row r="163" spans="1:8" ht="12" customHeight="1" thickBot="1" x14ac:dyDescent="0.25">
      <c r="A163" s="36"/>
      <c r="B163" s="904" t="s">
        <v>65</v>
      </c>
      <c r="C163" s="956"/>
      <c r="D163" s="956"/>
      <c r="E163" s="956"/>
      <c r="F163" s="956"/>
      <c r="G163" s="1082"/>
      <c r="H163" s="937"/>
    </row>
    <row r="164" spans="1:8" ht="12" customHeight="1" thickBot="1" x14ac:dyDescent="0.25">
      <c r="A164" s="236"/>
      <c r="B164" s="905" t="s">
        <v>106</v>
      </c>
      <c r="C164" s="949">
        <f t="shared" ref="C164:D164" si="39">SUM(C158:C163)</f>
        <v>2000</v>
      </c>
      <c r="D164" s="949">
        <f t="shared" si="39"/>
        <v>2000</v>
      </c>
      <c r="E164" s="949">
        <f t="shared" ref="E164:F164" si="40">SUM(E158:E163)</f>
        <v>3150</v>
      </c>
      <c r="F164" s="949">
        <f t="shared" si="40"/>
        <v>5150</v>
      </c>
      <c r="G164" s="1000">
        <f t="shared" si="38"/>
        <v>1.6349206349206349</v>
      </c>
      <c r="H164" s="888"/>
    </row>
    <row r="165" spans="1:8" ht="12" customHeight="1" x14ac:dyDescent="0.2">
      <c r="A165" s="37">
        <v>3125</v>
      </c>
      <c r="B165" s="162" t="s">
        <v>1125</v>
      </c>
      <c r="C165" s="241"/>
      <c r="D165" s="241"/>
      <c r="E165" s="241"/>
      <c r="F165" s="241"/>
      <c r="G165" s="885"/>
      <c r="H165" s="13"/>
    </row>
    <row r="166" spans="1:8" ht="12" customHeight="1" x14ac:dyDescent="0.2">
      <c r="A166" s="36"/>
      <c r="B166" s="34" t="s">
        <v>92</v>
      </c>
      <c r="C166" s="200">
        <v>4425</v>
      </c>
      <c r="D166" s="200">
        <v>4425</v>
      </c>
      <c r="E166" s="200">
        <v>4425</v>
      </c>
      <c r="F166" s="200">
        <v>4425</v>
      </c>
      <c r="G166" s="1081">
        <f t="shared" si="38"/>
        <v>1</v>
      </c>
      <c r="H166" s="937"/>
    </row>
    <row r="167" spans="1:8" ht="12" customHeight="1" x14ac:dyDescent="0.2">
      <c r="A167" s="36"/>
      <c r="B167" s="5" t="s">
        <v>250</v>
      </c>
      <c r="C167" s="200">
        <v>575</v>
      </c>
      <c r="D167" s="200">
        <v>575</v>
      </c>
      <c r="E167" s="200">
        <v>575</v>
      </c>
      <c r="F167" s="200">
        <v>575</v>
      </c>
      <c r="G167" s="943">
        <f t="shared" si="38"/>
        <v>1</v>
      </c>
      <c r="H167" s="937"/>
    </row>
    <row r="168" spans="1:8" ht="12" customHeight="1" x14ac:dyDescent="0.2">
      <c r="A168" s="36"/>
      <c r="B168" s="243" t="s">
        <v>239</v>
      </c>
      <c r="C168" s="200"/>
      <c r="D168" s="200"/>
      <c r="E168" s="200"/>
      <c r="F168" s="200"/>
      <c r="G168" s="943"/>
      <c r="H168" s="924"/>
    </row>
    <row r="169" spans="1:8" ht="12" customHeight="1" x14ac:dyDescent="0.2">
      <c r="A169" s="36"/>
      <c r="B169" s="6" t="s">
        <v>97</v>
      </c>
      <c r="C169" s="200"/>
      <c r="D169" s="200"/>
      <c r="E169" s="200"/>
      <c r="F169" s="200"/>
      <c r="G169" s="943"/>
      <c r="H169" s="937"/>
    </row>
    <row r="170" spans="1:8" ht="12" customHeight="1" x14ac:dyDescent="0.2">
      <c r="A170" s="36"/>
      <c r="B170" s="6" t="s">
        <v>246</v>
      </c>
      <c r="C170" s="200"/>
      <c r="D170" s="200"/>
      <c r="E170" s="200"/>
      <c r="F170" s="200"/>
      <c r="G170" s="943"/>
      <c r="H170" s="911"/>
    </row>
    <row r="171" spans="1:8" ht="12" customHeight="1" thickBot="1" x14ac:dyDescent="0.25">
      <c r="A171" s="36"/>
      <c r="B171" s="904" t="s">
        <v>65</v>
      </c>
      <c r="C171" s="956"/>
      <c r="D171" s="956"/>
      <c r="E171" s="956"/>
      <c r="F171" s="956"/>
      <c r="G171" s="1082"/>
      <c r="H171" s="937"/>
    </row>
    <row r="172" spans="1:8" ht="12" customHeight="1" thickBot="1" x14ac:dyDescent="0.25">
      <c r="A172" s="236"/>
      <c r="B172" s="905" t="s">
        <v>106</v>
      </c>
      <c r="C172" s="949">
        <f>C166+C167+C168+C169+C170+C171</f>
        <v>5000</v>
      </c>
      <c r="D172" s="949">
        <f>D166+D167+D168+D169+D170+D171</f>
        <v>5000</v>
      </c>
      <c r="E172" s="949">
        <f>E166+E167+E168+E169+E170+E171</f>
        <v>5000</v>
      </c>
      <c r="F172" s="949">
        <f>F166+F167+F168+F169+F170+F171</f>
        <v>5000</v>
      </c>
      <c r="G172" s="1000">
        <f t="shared" si="38"/>
        <v>1</v>
      </c>
      <c r="H172" s="888"/>
    </row>
    <row r="173" spans="1:8" ht="12" customHeight="1" thickBot="1" x14ac:dyDescent="0.25">
      <c r="A173" s="37">
        <v>3140</v>
      </c>
      <c r="B173" s="162" t="s">
        <v>103</v>
      </c>
      <c r="C173" s="949">
        <f>SUM(C181+C190+C198+C206+C215+C224)+C233</f>
        <v>85500</v>
      </c>
      <c r="D173" s="949">
        <f>SUM(D181+D190+D198+D206+D215+D224)+D233</f>
        <v>103489</v>
      </c>
      <c r="E173" s="949">
        <f>SUM(E181+E190+E198+E206+E215+E224)+E233</f>
        <v>103489</v>
      </c>
      <c r="F173" s="949">
        <f>SUM(F181+F190+F198+F206+F215+F224)+F233</f>
        <v>103489</v>
      </c>
      <c r="G173" s="1000">
        <f t="shared" si="38"/>
        <v>1</v>
      </c>
      <c r="H173" s="957"/>
    </row>
    <row r="174" spans="1:8" ht="12" customHeight="1" x14ac:dyDescent="0.2">
      <c r="A174" s="37">
        <v>3141</v>
      </c>
      <c r="B174" s="162" t="s">
        <v>968</v>
      </c>
      <c r="C174" s="241"/>
      <c r="D174" s="241"/>
      <c r="E174" s="241"/>
      <c r="F174" s="241"/>
      <c r="G174" s="885"/>
      <c r="H174" s="937"/>
    </row>
    <row r="175" spans="1:8" ht="12" customHeight="1" x14ac:dyDescent="0.2">
      <c r="A175" s="36"/>
      <c r="B175" s="34" t="s">
        <v>92</v>
      </c>
      <c r="C175" s="200"/>
      <c r="D175" s="200"/>
      <c r="E175" s="200"/>
      <c r="F175" s="200"/>
      <c r="G175" s="885"/>
      <c r="H175" s="958" t="s">
        <v>1385</v>
      </c>
    </row>
    <row r="176" spans="1:8" ht="12" customHeight="1" x14ac:dyDescent="0.2">
      <c r="A176" s="36"/>
      <c r="B176" s="5" t="s">
        <v>250</v>
      </c>
      <c r="C176" s="200"/>
      <c r="D176" s="200"/>
      <c r="E176" s="200"/>
      <c r="F176" s="200"/>
      <c r="G176" s="1081"/>
      <c r="H176" s="938"/>
    </row>
    <row r="177" spans="1:8" ht="12" customHeight="1" x14ac:dyDescent="0.2">
      <c r="A177" s="36"/>
      <c r="B177" s="243" t="s">
        <v>239</v>
      </c>
      <c r="C177" s="200">
        <v>10000</v>
      </c>
      <c r="D177" s="200">
        <v>10000</v>
      </c>
      <c r="E177" s="200">
        <v>10000</v>
      </c>
      <c r="F177" s="200">
        <v>10000</v>
      </c>
      <c r="G177" s="943">
        <f t="shared" si="38"/>
        <v>1</v>
      </c>
      <c r="H177" s="938"/>
    </row>
    <row r="178" spans="1:8" ht="12" customHeight="1" x14ac:dyDescent="0.2">
      <c r="A178" s="36"/>
      <c r="B178" s="6" t="s">
        <v>97</v>
      </c>
      <c r="C178" s="200">
        <v>2500</v>
      </c>
      <c r="D178" s="200">
        <v>2500</v>
      </c>
      <c r="E178" s="200">
        <v>2500</v>
      </c>
      <c r="F178" s="200">
        <v>2500</v>
      </c>
      <c r="G178" s="943">
        <f t="shared" si="38"/>
        <v>1</v>
      </c>
      <c r="H178" s="938"/>
    </row>
    <row r="179" spans="1:8" ht="12" customHeight="1" x14ac:dyDescent="0.2">
      <c r="A179" s="36"/>
      <c r="B179" s="6" t="s">
        <v>246</v>
      </c>
      <c r="C179" s="953"/>
      <c r="D179" s="953"/>
      <c r="E179" s="953"/>
      <c r="F179" s="953"/>
      <c r="G179" s="943"/>
      <c r="H179" s="938"/>
    </row>
    <row r="180" spans="1:8" ht="12" customHeight="1" thickBot="1" x14ac:dyDescent="0.25">
      <c r="A180" s="36"/>
      <c r="B180" s="904" t="s">
        <v>65</v>
      </c>
      <c r="C180" s="956"/>
      <c r="D180" s="956"/>
      <c r="E180" s="956"/>
      <c r="F180" s="956"/>
      <c r="G180" s="1082"/>
      <c r="H180" s="959"/>
    </row>
    <row r="181" spans="1:8" ht="12" customHeight="1" thickBot="1" x14ac:dyDescent="0.25">
      <c r="A181" s="236"/>
      <c r="B181" s="905" t="s">
        <v>106</v>
      </c>
      <c r="C181" s="949">
        <f t="shared" ref="C181:D181" si="41">SUM(C175:C180)</f>
        <v>12500</v>
      </c>
      <c r="D181" s="949">
        <f t="shared" si="41"/>
        <v>12500</v>
      </c>
      <c r="E181" s="949">
        <f t="shared" ref="E181:F181" si="42">SUM(E175:E180)</f>
        <v>12500</v>
      </c>
      <c r="F181" s="949">
        <f t="shared" si="42"/>
        <v>12500</v>
      </c>
      <c r="G181" s="1000">
        <f t="shared" si="38"/>
        <v>1</v>
      </c>
      <c r="H181" s="888"/>
    </row>
    <row r="182" spans="1:8" ht="12" customHeight="1" x14ac:dyDescent="0.2">
      <c r="A182" s="37">
        <v>3142</v>
      </c>
      <c r="B182" s="960" t="s">
        <v>18</v>
      </c>
      <c r="C182" s="241"/>
      <c r="D182" s="241"/>
      <c r="E182" s="241"/>
      <c r="F182" s="241"/>
      <c r="G182" s="885"/>
      <c r="H182" s="2"/>
    </row>
    <row r="183" spans="1:8" ht="12" customHeight="1" x14ac:dyDescent="0.2">
      <c r="A183" s="37"/>
      <c r="B183" s="34" t="s">
        <v>92</v>
      </c>
      <c r="C183" s="200">
        <v>2700</v>
      </c>
      <c r="D183" s="200">
        <f>2700+978</f>
        <v>3678</v>
      </c>
      <c r="E183" s="200">
        <f>2700+978</f>
        <v>3678</v>
      </c>
      <c r="F183" s="200">
        <f>2700+978</f>
        <v>3678</v>
      </c>
      <c r="G183" s="1081">
        <f t="shared" si="38"/>
        <v>1</v>
      </c>
      <c r="H183" s="952"/>
    </row>
    <row r="184" spans="1:8" ht="12" customHeight="1" x14ac:dyDescent="0.2">
      <c r="A184" s="37"/>
      <c r="B184" s="5" t="s">
        <v>250</v>
      </c>
      <c r="C184" s="200">
        <v>800</v>
      </c>
      <c r="D184" s="200">
        <f>800+520</f>
        <v>1320</v>
      </c>
      <c r="E184" s="200">
        <f>800+520</f>
        <v>1320</v>
      </c>
      <c r="F184" s="200">
        <f>800+520</f>
        <v>1320</v>
      </c>
      <c r="G184" s="943">
        <f t="shared" si="38"/>
        <v>1</v>
      </c>
      <c r="H184" s="958" t="s">
        <v>1385</v>
      </c>
    </row>
    <row r="185" spans="1:8" ht="12" customHeight="1" x14ac:dyDescent="0.2">
      <c r="A185" s="37"/>
      <c r="B185" s="243" t="s">
        <v>239</v>
      </c>
      <c r="C185" s="953">
        <v>1500</v>
      </c>
      <c r="D185" s="953">
        <f>1500+570+3000</f>
        <v>5070</v>
      </c>
      <c r="E185" s="953">
        <f>5070-2000</f>
        <v>3070</v>
      </c>
      <c r="F185" s="953">
        <f>5070-2000</f>
        <v>3070</v>
      </c>
      <c r="G185" s="943">
        <f t="shared" si="38"/>
        <v>1</v>
      </c>
      <c r="H185" s="938"/>
    </row>
    <row r="186" spans="1:8" ht="12" customHeight="1" x14ac:dyDescent="0.2">
      <c r="A186" s="37"/>
      <c r="B186" s="6" t="s">
        <v>97</v>
      </c>
      <c r="C186" s="953"/>
      <c r="D186" s="953"/>
      <c r="E186" s="953"/>
      <c r="F186" s="953"/>
      <c r="G186" s="943"/>
      <c r="H186" s="937"/>
    </row>
    <row r="187" spans="1:8" ht="12" customHeight="1" x14ac:dyDescent="0.2">
      <c r="A187" s="37"/>
      <c r="B187" s="6" t="s">
        <v>246</v>
      </c>
      <c r="C187" s="953">
        <v>1000</v>
      </c>
      <c r="D187" s="953">
        <v>1000</v>
      </c>
      <c r="E187" s="953">
        <f>1000+2000</f>
        <v>3000</v>
      </c>
      <c r="F187" s="953">
        <f>1000+2000</f>
        <v>3000</v>
      </c>
      <c r="G187" s="943">
        <f t="shared" si="38"/>
        <v>1</v>
      </c>
      <c r="H187" s="954"/>
    </row>
    <row r="188" spans="1:8" ht="12" customHeight="1" x14ac:dyDescent="0.2">
      <c r="A188" s="37"/>
      <c r="B188" s="6" t="s">
        <v>212</v>
      </c>
      <c r="C188" s="953"/>
      <c r="D188" s="953">
        <v>770</v>
      </c>
      <c r="E188" s="953">
        <v>770</v>
      </c>
      <c r="F188" s="953">
        <v>770</v>
      </c>
      <c r="G188" s="943">
        <f t="shared" si="38"/>
        <v>1</v>
      </c>
      <c r="H188" s="954"/>
    </row>
    <row r="189" spans="1:8" ht="12.75" thickBot="1" x14ac:dyDescent="0.25">
      <c r="A189" s="37"/>
      <c r="B189" s="904" t="s">
        <v>228</v>
      </c>
      <c r="C189" s="962"/>
      <c r="D189" s="962"/>
      <c r="E189" s="962"/>
      <c r="F189" s="962"/>
      <c r="G189" s="1082"/>
      <c r="H189" s="18"/>
    </row>
    <row r="190" spans="1:8" ht="12" customHeight="1" thickBot="1" x14ac:dyDescent="0.25">
      <c r="A190" s="236"/>
      <c r="B190" s="905" t="s">
        <v>106</v>
      </c>
      <c r="C190" s="949">
        <f t="shared" ref="C190:D190" si="43">SUM(C183:C189)</f>
        <v>6000</v>
      </c>
      <c r="D190" s="949">
        <f t="shared" si="43"/>
        <v>11838</v>
      </c>
      <c r="E190" s="949">
        <f t="shared" ref="E190:F190" si="44">SUM(E183:E189)</f>
        <v>11838</v>
      </c>
      <c r="F190" s="949">
        <f t="shared" si="44"/>
        <v>11838</v>
      </c>
      <c r="G190" s="1000">
        <f t="shared" si="38"/>
        <v>1</v>
      </c>
      <c r="H190" s="888"/>
    </row>
    <row r="191" spans="1:8" ht="12" customHeight="1" x14ac:dyDescent="0.2">
      <c r="A191" s="245">
        <v>3143</v>
      </c>
      <c r="B191" s="941" t="s">
        <v>1030</v>
      </c>
      <c r="C191" s="241"/>
      <c r="D191" s="241"/>
      <c r="E191" s="241"/>
      <c r="F191" s="241"/>
      <c r="G191" s="885"/>
      <c r="H191" s="893" t="s">
        <v>1386</v>
      </c>
    </row>
    <row r="192" spans="1:8" ht="12" customHeight="1" x14ac:dyDescent="0.2">
      <c r="A192" s="36"/>
      <c r="B192" s="34" t="s">
        <v>92</v>
      </c>
      <c r="C192" s="200"/>
      <c r="D192" s="200"/>
      <c r="E192" s="200">
        <v>1500</v>
      </c>
      <c r="F192" s="200">
        <v>1500</v>
      </c>
      <c r="G192" s="885">
        <f t="shared" si="38"/>
        <v>1</v>
      </c>
      <c r="H192" s="940"/>
    </row>
    <row r="193" spans="1:8" ht="12" customHeight="1" x14ac:dyDescent="0.2">
      <c r="A193" s="36"/>
      <c r="B193" s="5" t="s">
        <v>250</v>
      </c>
      <c r="C193" s="200"/>
      <c r="D193" s="200"/>
      <c r="E193" s="200">
        <v>150</v>
      </c>
      <c r="F193" s="200">
        <v>150</v>
      </c>
      <c r="G193" s="943">
        <f t="shared" si="38"/>
        <v>1</v>
      </c>
      <c r="H193" s="952"/>
    </row>
    <row r="194" spans="1:8" ht="12" customHeight="1" x14ac:dyDescent="0.2">
      <c r="A194" s="36"/>
      <c r="B194" s="243" t="s">
        <v>239</v>
      </c>
      <c r="C194" s="953"/>
      <c r="D194" s="953"/>
      <c r="E194" s="953"/>
      <c r="F194" s="953"/>
      <c r="G194" s="885"/>
      <c r="H194" s="952"/>
    </row>
    <row r="195" spans="1:8" ht="12" customHeight="1" x14ac:dyDescent="0.2">
      <c r="A195" s="36"/>
      <c r="B195" s="6" t="s">
        <v>97</v>
      </c>
      <c r="C195" s="953"/>
      <c r="D195" s="953"/>
      <c r="E195" s="953"/>
      <c r="F195" s="953"/>
      <c r="G195" s="1081"/>
      <c r="H195" s="938"/>
    </row>
    <row r="196" spans="1:8" ht="12" customHeight="1" x14ac:dyDescent="0.2">
      <c r="A196" s="36"/>
      <c r="B196" s="6" t="s">
        <v>246</v>
      </c>
      <c r="C196" s="200">
        <v>5000</v>
      </c>
      <c r="D196" s="200">
        <f>5000+1170</f>
        <v>6170</v>
      </c>
      <c r="E196" s="200">
        <f>6170-1650</f>
        <v>4520</v>
      </c>
      <c r="F196" s="200">
        <f>6170-1650</f>
        <v>4520</v>
      </c>
      <c r="G196" s="943">
        <f t="shared" si="38"/>
        <v>1</v>
      </c>
      <c r="H196" s="937"/>
    </row>
    <row r="197" spans="1:8" ht="12" customHeight="1" thickBot="1" x14ac:dyDescent="0.25">
      <c r="A197" s="36"/>
      <c r="B197" s="904" t="s">
        <v>228</v>
      </c>
      <c r="C197" s="956"/>
      <c r="D197" s="956"/>
      <c r="E197" s="956"/>
      <c r="F197" s="956"/>
      <c r="G197" s="1082"/>
      <c r="H197" s="3"/>
    </row>
    <row r="198" spans="1:8" ht="12" customHeight="1" thickBot="1" x14ac:dyDescent="0.25">
      <c r="A198" s="236"/>
      <c r="B198" s="905" t="s">
        <v>106</v>
      </c>
      <c r="C198" s="949">
        <f t="shared" ref="C198:D198" si="45">SUM(C192:C197)</f>
        <v>5000</v>
      </c>
      <c r="D198" s="949">
        <f t="shared" si="45"/>
        <v>6170</v>
      </c>
      <c r="E198" s="949">
        <f t="shared" ref="E198:F198" si="46">SUM(E192:E197)</f>
        <v>6170</v>
      </c>
      <c r="F198" s="949">
        <f t="shared" si="46"/>
        <v>6170</v>
      </c>
      <c r="G198" s="1000">
        <f t="shared" si="38"/>
        <v>1</v>
      </c>
      <c r="H198" s="888"/>
    </row>
    <row r="199" spans="1:8" ht="12" customHeight="1" x14ac:dyDescent="0.2">
      <c r="A199" s="154">
        <v>3145</v>
      </c>
      <c r="B199" s="927" t="s">
        <v>322</v>
      </c>
      <c r="C199" s="908"/>
      <c r="D199" s="908"/>
      <c r="E199" s="908"/>
      <c r="F199" s="908"/>
      <c r="G199" s="885"/>
      <c r="H199" s="963"/>
    </row>
    <row r="200" spans="1:8" ht="12" customHeight="1" x14ac:dyDescent="0.2">
      <c r="A200" s="50"/>
      <c r="B200" s="897" t="s">
        <v>92</v>
      </c>
      <c r="C200" s="910">
        <v>560</v>
      </c>
      <c r="D200" s="910">
        <f>560+4</f>
        <v>564</v>
      </c>
      <c r="E200" s="910">
        <f>560+4</f>
        <v>564</v>
      </c>
      <c r="F200" s="910">
        <f>560+4</f>
        <v>564</v>
      </c>
      <c r="G200" s="1081">
        <f t="shared" si="38"/>
        <v>1</v>
      </c>
      <c r="H200" s="969"/>
    </row>
    <row r="201" spans="1:8" ht="12" customHeight="1" x14ac:dyDescent="0.2">
      <c r="A201" s="50"/>
      <c r="B201" s="898" t="s">
        <v>250</v>
      </c>
      <c r="C201" s="910">
        <v>340</v>
      </c>
      <c r="D201" s="910">
        <f>340+30</f>
        <v>370</v>
      </c>
      <c r="E201" s="910">
        <f>340+30</f>
        <v>370</v>
      </c>
      <c r="F201" s="910">
        <f>340+30</f>
        <v>370</v>
      </c>
      <c r="G201" s="943">
        <f t="shared" si="38"/>
        <v>1</v>
      </c>
      <c r="H201" s="2" t="s">
        <v>1386</v>
      </c>
    </row>
    <row r="202" spans="1:8" ht="12" customHeight="1" x14ac:dyDescent="0.2">
      <c r="A202" s="50"/>
      <c r="B202" s="900" t="s">
        <v>239</v>
      </c>
      <c r="C202" s="910">
        <v>5100</v>
      </c>
      <c r="D202" s="910">
        <f>5100+3746</f>
        <v>8846</v>
      </c>
      <c r="E202" s="910">
        <f>8846-1000</f>
        <v>7846</v>
      </c>
      <c r="F202" s="910">
        <f>8846-1000</f>
        <v>7846</v>
      </c>
      <c r="G202" s="943">
        <f t="shared" si="38"/>
        <v>1</v>
      </c>
      <c r="H202" s="963"/>
    </row>
    <row r="203" spans="1:8" ht="12" customHeight="1" x14ac:dyDescent="0.2">
      <c r="A203" s="50"/>
      <c r="B203" s="903" t="s">
        <v>97</v>
      </c>
      <c r="C203" s="910"/>
      <c r="D203" s="910"/>
      <c r="E203" s="910"/>
      <c r="F203" s="910"/>
      <c r="G203" s="943"/>
      <c r="H203" s="964"/>
    </row>
    <row r="204" spans="1:8" ht="12" customHeight="1" x14ac:dyDescent="0.2">
      <c r="A204" s="50"/>
      <c r="B204" s="903" t="s">
        <v>246</v>
      </c>
      <c r="C204" s="910"/>
      <c r="D204" s="910"/>
      <c r="E204" s="910">
        <v>1000</v>
      </c>
      <c r="F204" s="910">
        <v>1000</v>
      </c>
      <c r="G204" s="943">
        <f t="shared" si="38"/>
        <v>1</v>
      </c>
      <c r="H204" s="963"/>
    </row>
    <row r="205" spans="1:8" ht="12" customHeight="1" thickBot="1" x14ac:dyDescent="0.25">
      <c r="A205" s="50"/>
      <c r="B205" s="904" t="s">
        <v>65</v>
      </c>
      <c r="C205" s="939"/>
      <c r="D205" s="939"/>
      <c r="E205" s="939"/>
      <c r="F205" s="939"/>
      <c r="G205" s="1082"/>
      <c r="H205" s="965"/>
    </row>
    <row r="206" spans="1:8" ht="12" customHeight="1" thickBot="1" x14ac:dyDescent="0.25">
      <c r="A206" s="926"/>
      <c r="B206" s="905" t="s">
        <v>106</v>
      </c>
      <c r="C206" s="906">
        <f>SUM(C200:C205)</f>
        <v>6000</v>
      </c>
      <c r="D206" s="906">
        <f>SUM(D200:D205)</f>
        <v>9780</v>
      </c>
      <c r="E206" s="906">
        <f>SUM(E200:E205)</f>
        <v>9780</v>
      </c>
      <c r="F206" s="906">
        <f>SUM(F200:F205)</f>
        <v>9780</v>
      </c>
      <c r="G206" s="1000">
        <f t="shared" si="38"/>
        <v>1</v>
      </c>
      <c r="H206" s="966"/>
    </row>
    <row r="207" spans="1:8" ht="12" customHeight="1" x14ac:dyDescent="0.2">
      <c r="A207" s="154">
        <v>3146</v>
      </c>
      <c r="B207" s="927" t="s">
        <v>1006</v>
      </c>
      <c r="C207" s="908"/>
      <c r="D207" s="908"/>
      <c r="E207" s="908"/>
      <c r="F207" s="908"/>
      <c r="G207" s="885"/>
      <c r="H207" s="967" t="s">
        <v>1387</v>
      </c>
    </row>
    <row r="208" spans="1:8" ht="12" customHeight="1" x14ac:dyDescent="0.2">
      <c r="A208" s="50"/>
      <c r="B208" s="897" t="s">
        <v>92</v>
      </c>
      <c r="C208" s="910">
        <v>1400</v>
      </c>
      <c r="D208" s="910">
        <v>1400</v>
      </c>
      <c r="E208" s="910">
        <v>1400</v>
      </c>
      <c r="F208" s="910">
        <v>1400</v>
      </c>
      <c r="G208" s="1081">
        <f t="shared" si="38"/>
        <v>1</v>
      </c>
      <c r="H208" s="967"/>
    </row>
    <row r="209" spans="1:8" ht="12" customHeight="1" x14ac:dyDescent="0.2">
      <c r="A209" s="50"/>
      <c r="B209" s="898" t="s">
        <v>250</v>
      </c>
      <c r="C209" s="910">
        <v>500</v>
      </c>
      <c r="D209" s="910">
        <v>500</v>
      </c>
      <c r="E209" s="910">
        <v>500</v>
      </c>
      <c r="F209" s="910">
        <v>500</v>
      </c>
      <c r="G209" s="943">
        <f t="shared" si="38"/>
        <v>1</v>
      </c>
      <c r="H209" s="963"/>
    </row>
    <row r="210" spans="1:8" ht="12" customHeight="1" x14ac:dyDescent="0.2">
      <c r="A210" s="50"/>
      <c r="B210" s="900" t="s">
        <v>239</v>
      </c>
      <c r="C210" s="910">
        <v>1400</v>
      </c>
      <c r="D210" s="910">
        <v>1400</v>
      </c>
      <c r="E210" s="910">
        <v>1400</v>
      </c>
      <c r="F210" s="910">
        <v>1400</v>
      </c>
      <c r="G210" s="943">
        <f t="shared" si="38"/>
        <v>1</v>
      </c>
      <c r="H210" s="952"/>
    </row>
    <row r="211" spans="1:8" ht="12" customHeight="1" x14ac:dyDescent="0.2">
      <c r="A211" s="50"/>
      <c r="B211" s="903" t="s">
        <v>97</v>
      </c>
      <c r="C211" s="910"/>
      <c r="D211" s="910"/>
      <c r="E211" s="910"/>
      <c r="F211" s="910"/>
      <c r="G211" s="943"/>
      <c r="H211" s="963"/>
    </row>
    <row r="212" spans="1:8" ht="12" customHeight="1" x14ac:dyDescent="0.2">
      <c r="A212" s="50"/>
      <c r="B212" s="903" t="s">
        <v>246</v>
      </c>
      <c r="C212" s="910">
        <v>1700</v>
      </c>
      <c r="D212" s="910">
        <f>1700+250</f>
        <v>1950</v>
      </c>
      <c r="E212" s="910">
        <f>1700+250</f>
        <v>1950</v>
      </c>
      <c r="F212" s="910">
        <f>1700+250</f>
        <v>1950</v>
      </c>
      <c r="G212" s="943">
        <f t="shared" si="38"/>
        <v>1</v>
      </c>
      <c r="H212" s="963"/>
    </row>
    <row r="213" spans="1:8" ht="12" customHeight="1" x14ac:dyDescent="0.2">
      <c r="A213" s="50"/>
      <c r="B213" s="904" t="s">
        <v>212</v>
      </c>
      <c r="C213" s="910"/>
      <c r="D213" s="910"/>
      <c r="E213" s="910"/>
      <c r="F213" s="910"/>
      <c r="G213" s="943"/>
      <c r="H213" s="968"/>
    </row>
    <row r="214" spans="1:8" ht="12" customHeight="1" thickBot="1" x14ac:dyDescent="0.25">
      <c r="A214" s="50"/>
      <c r="B214" s="904" t="s">
        <v>228</v>
      </c>
      <c r="C214" s="934"/>
      <c r="D214" s="934"/>
      <c r="E214" s="934"/>
      <c r="F214" s="934"/>
      <c r="G214" s="1082"/>
      <c r="H214" s="965"/>
    </row>
    <row r="215" spans="1:8" ht="12" customHeight="1" thickBot="1" x14ac:dyDescent="0.25">
      <c r="A215" s="926"/>
      <c r="B215" s="905" t="s">
        <v>106</v>
      </c>
      <c r="C215" s="906">
        <f t="shared" ref="C215:D215" si="47">SUM(C208:C214)</f>
        <v>5000</v>
      </c>
      <c r="D215" s="906">
        <f t="shared" si="47"/>
        <v>5250</v>
      </c>
      <c r="E215" s="906">
        <f t="shared" ref="E215:F215" si="48">SUM(E208:E214)</f>
        <v>5250</v>
      </c>
      <c r="F215" s="906">
        <f t="shared" si="48"/>
        <v>5250</v>
      </c>
      <c r="G215" s="1000">
        <f t="shared" si="38"/>
        <v>1</v>
      </c>
      <c r="H215" s="966"/>
    </row>
    <row r="216" spans="1:8" ht="12" customHeight="1" x14ac:dyDescent="0.2">
      <c r="A216" s="154">
        <v>3147</v>
      </c>
      <c r="B216" s="927" t="s">
        <v>1038</v>
      </c>
      <c r="C216" s="908"/>
      <c r="D216" s="908"/>
      <c r="E216" s="908"/>
      <c r="F216" s="908"/>
      <c r="G216" s="885"/>
      <c r="H216" s="967"/>
    </row>
    <row r="217" spans="1:8" ht="12" customHeight="1" x14ac:dyDescent="0.2">
      <c r="A217" s="50"/>
      <c r="B217" s="897" t="s">
        <v>92</v>
      </c>
      <c r="C217" s="910"/>
      <c r="D217" s="910"/>
      <c r="E217" s="910"/>
      <c r="F217" s="910"/>
      <c r="G217" s="1081"/>
      <c r="H217" s="963"/>
    </row>
    <row r="218" spans="1:8" ht="12" customHeight="1" x14ac:dyDescent="0.2">
      <c r="A218" s="50"/>
      <c r="B218" s="898" t="s">
        <v>250</v>
      </c>
      <c r="C218" s="910"/>
      <c r="D218" s="910"/>
      <c r="E218" s="910"/>
      <c r="F218" s="910"/>
      <c r="G218" s="943"/>
      <c r="H218" s="963"/>
    </row>
    <row r="219" spans="1:8" ht="12" customHeight="1" x14ac:dyDescent="0.2">
      <c r="A219" s="50"/>
      <c r="B219" s="900" t="s">
        <v>239</v>
      </c>
      <c r="C219" s="910">
        <v>50000</v>
      </c>
      <c r="D219" s="910">
        <f>50000+5951</f>
        <v>55951</v>
      </c>
      <c r="E219" s="910">
        <f>50000+5951</f>
        <v>55951</v>
      </c>
      <c r="F219" s="910">
        <f>50000+5951</f>
        <v>55951</v>
      </c>
      <c r="G219" s="943">
        <f t="shared" ref="G219:G279" si="49">F219/E219</f>
        <v>1</v>
      </c>
      <c r="H219" s="952"/>
    </row>
    <row r="220" spans="1:8" ht="12" customHeight="1" x14ac:dyDescent="0.2">
      <c r="A220" s="50"/>
      <c r="B220" s="903" t="s">
        <v>97</v>
      </c>
      <c r="C220" s="910"/>
      <c r="D220" s="910"/>
      <c r="E220" s="910"/>
      <c r="F220" s="910"/>
      <c r="G220" s="943"/>
      <c r="H220" s="967" t="s">
        <v>1388</v>
      </c>
    </row>
    <row r="221" spans="1:8" ht="12" customHeight="1" x14ac:dyDescent="0.2">
      <c r="A221" s="50"/>
      <c r="B221" s="903" t="s">
        <v>246</v>
      </c>
      <c r="C221" s="910"/>
      <c r="D221" s="910"/>
      <c r="E221" s="910"/>
      <c r="F221" s="910"/>
      <c r="G221" s="943"/>
      <c r="H221" s="963"/>
    </row>
    <row r="222" spans="1:8" ht="12" customHeight="1" x14ac:dyDescent="0.2">
      <c r="A222" s="50"/>
      <c r="B222" s="904" t="s">
        <v>212</v>
      </c>
      <c r="C222" s="910"/>
      <c r="D222" s="910"/>
      <c r="E222" s="910"/>
      <c r="F222" s="910"/>
      <c r="G222" s="943"/>
      <c r="H222" s="969"/>
    </row>
    <row r="223" spans="1:8" ht="12" customHeight="1" thickBot="1" x14ac:dyDescent="0.25">
      <c r="A223" s="50"/>
      <c r="B223" s="904" t="s">
        <v>228</v>
      </c>
      <c r="C223" s="934"/>
      <c r="D223" s="934"/>
      <c r="E223" s="934"/>
      <c r="F223" s="934"/>
      <c r="G223" s="1082"/>
      <c r="H223" s="970"/>
    </row>
    <row r="224" spans="1:8" ht="12" customHeight="1" thickBot="1" x14ac:dyDescent="0.25">
      <c r="A224" s="926"/>
      <c r="B224" s="905" t="s">
        <v>106</v>
      </c>
      <c r="C224" s="906">
        <f t="shared" ref="C224:D224" si="50">SUM(C217:C223)</f>
        <v>50000</v>
      </c>
      <c r="D224" s="906">
        <f t="shared" si="50"/>
        <v>55951</v>
      </c>
      <c r="E224" s="906">
        <f t="shared" ref="E224:F224" si="51">SUM(E217:E223)</f>
        <v>55951</v>
      </c>
      <c r="F224" s="906">
        <f t="shared" si="51"/>
        <v>55951</v>
      </c>
      <c r="G224" s="1000">
        <f t="shared" si="49"/>
        <v>1</v>
      </c>
      <c r="H224" s="966"/>
    </row>
    <row r="225" spans="1:8" ht="12" customHeight="1" x14ac:dyDescent="0.2">
      <c r="A225" s="154">
        <v>3148</v>
      </c>
      <c r="B225" s="927" t="s">
        <v>1169</v>
      </c>
      <c r="C225" s="908"/>
      <c r="D225" s="908"/>
      <c r="E225" s="908"/>
      <c r="F225" s="908"/>
      <c r="G225" s="885"/>
      <c r="H225" s="967"/>
    </row>
    <row r="226" spans="1:8" ht="12" customHeight="1" x14ac:dyDescent="0.2">
      <c r="A226" s="50"/>
      <c r="B226" s="897" t="s">
        <v>92</v>
      </c>
      <c r="C226" s="910"/>
      <c r="D226" s="910"/>
      <c r="E226" s="910"/>
      <c r="F226" s="910"/>
      <c r="G226" s="885"/>
      <c r="H226" s="963"/>
    </row>
    <row r="227" spans="1:8" ht="12" customHeight="1" x14ac:dyDescent="0.2">
      <c r="A227" s="50"/>
      <c r="B227" s="898" t="s">
        <v>250</v>
      </c>
      <c r="C227" s="910"/>
      <c r="D227" s="910"/>
      <c r="E227" s="910"/>
      <c r="F227" s="910"/>
      <c r="G227" s="1081"/>
      <c r="H227" s="963"/>
    </row>
    <row r="228" spans="1:8" ht="12" customHeight="1" x14ac:dyDescent="0.2">
      <c r="A228" s="50"/>
      <c r="B228" s="900" t="s">
        <v>239</v>
      </c>
      <c r="C228" s="910">
        <v>1000</v>
      </c>
      <c r="D228" s="910">
        <f>1000+1000</f>
        <v>2000</v>
      </c>
      <c r="E228" s="910">
        <f>1000+1000</f>
        <v>2000</v>
      </c>
      <c r="F228" s="910">
        <f>1000+1000</f>
        <v>2000</v>
      </c>
      <c r="G228" s="943">
        <f t="shared" si="49"/>
        <v>1</v>
      </c>
      <c r="H228" s="952"/>
    </row>
    <row r="229" spans="1:8" ht="12" customHeight="1" x14ac:dyDescent="0.2">
      <c r="A229" s="50"/>
      <c r="B229" s="903" t="s">
        <v>97</v>
      </c>
      <c r="C229" s="910"/>
      <c r="D229" s="910"/>
      <c r="E229" s="910"/>
      <c r="F229" s="910"/>
      <c r="G229" s="943"/>
      <c r="H229" s="967"/>
    </row>
    <row r="230" spans="1:8" ht="12" customHeight="1" x14ac:dyDescent="0.2">
      <c r="A230" s="50"/>
      <c r="B230" s="903" t="s">
        <v>246</v>
      </c>
      <c r="C230" s="910"/>
      <c r="D230" s="910"/>
      <c r="E230" s="910"/>
      <c r="F230" s="910"/>
      <c r="G230" s="943"/>
      <c r="H230" s="963"/>
    </row>
    <row r="231" spans="1:8" ht="12" customHeight="1" x14ac:dyDescent="0.2">
      <c r="A231" s="50"/>
      <c r="B231" s="904" t="s">
        <v>212</v>
      </c>
      <c r="C231" s="910"/>
      <c r="D231" s="910"/>
      <c r="E231" s="910"/>
      <c r="F231" s="910"/>
      <c r="G231" s="943"/>
      <c r="H231" s="969"/>
    </row>
    <row r="232" spans="1:8" ht="12" customHeight="1" thickBot="1" x14ac:dyDescent="0.25">
      <c r="A232" s="50"/>
      <c r="B232" s="971" t="s">
        <v>228</v>
      </c>
      <c r="C232" s="934"/>
      <c r="D232" s="934"/>
      <c r="E232" s="934"/>
      <c r="F232" s="934"/>
      <c r="G232" s="1082"/>
      <c r="H232" s="970"/>
    </row>
    <row r="233" spans="1:8" ht="12" customHeight="1" thickBot="1" x14ac:dyDescent="0.25">
      <c r="A233" s="154"/>
      <c r="B233" s="972" t="s">
        <v>106</v>
      </c>
      <c r="C233" s="908">
        <f>SUM(C226:C232)</f>
        <v>1000</v>
      </c>
      <c r="D233" s="908">
        <f>SUM(D226:D232)</f>
        <v>2000</v>
      </c>
      <c r="E233" s="918">
        <f>SUM(E226:E232)</f>
        <v>2000</v>
      </c>
      <c r="F233" s="918">
        <f>SUM(F226:F232)</f>
        <v>2000</v>
      </c>
      <c r="G233" s="1000">
        <f t="shared" si="49"/>
        <v>1</v>
      </c>
      <c r="H233" s="967"/>
    </row>
    <row r="234" spans="1:8" ht="12.75" thickBot="1" x14ac:dyDescent="0.25">
      <c r="A234" s="49"/>
      <c r="B234" s="30" t="s">
        <v>35</v>
      </c>
      <c r="C234" s="949">
        <f>SUM(C261+C279+C297+C334+C305+C314+C345+C253+C354+C242+C269+C362)</f>
        <v>3718206</v>
      </c>
      <c r="D234" s="949">
        <f>SUM(D261+D279+D289+D297+D334+D305+D314+D345+D253+D354+D242+D269+D362)+D323</f>
        <v>4145241</v>
      </c>
      <c r="E234" s="949">
        <f>SUM(E261+E279+E289+E297+E334+E305+E314+E345+E253+E354+E242+E269+E362)+E323</f>
        <v>4171796</v>
      </c>
      <c r="F234" s="949">
        <f>SUM(F261+F279+F289+F297+F334+F305+F314+F345+F253+F354+F242+F269+F362)+F323</f>
        <v>4179578</v>
      </c>
      <c r="G234" s="1000">
        <f t="shared" si="49"/>
        <v>1.0018653836381262</v>
      </c>
      <c r="H234" s="888"/>
    </row>
    <row r="235" spans="1:8" x14ac:dyDescent="0.2">
      <c r="A235" s="37">
        <v>3200</v>
      </c>
      <c r="B235" s="973" t="s">
        <v>345</v>
      </c>
      <c r="C235" s="241"/>
      <c r="D235" s="241"/>
      <c r="E235" s="241"/>
      <c r="F235" s="241"/>
      <c r="G235" s="885"/>
      <c r="H235" s="893"/>
    </row>
    <row r="236" spans="1:8" x14ac:dyDescent="0.2">
      <c r="A236" s="33"/>
      <c r="B236" s="34" t="s">
        <v>92</v>
      </c>
      <c r="C236" s="200">
        <v>255124</v>
      </c>
      <c r="D236" s="200">
        <f>255124+1548</f>
        <v>256672</v>
      </c>
      <c r="E236" s="200">
        <f>255124+1548</f>
        <v>256672</v>
      </c>
      <c r="F236" s="200">
        <f>256672-200-6422</f>
        <v>250050</v>
      </c>
      <c r="G236" s="1081">
        <f t="shared" si="49"/>
        <v>0.97420053609275647</v>
      </c>
      <c r="H236" s="35"/>
    </row>
    <row r="237" spans="1:8" x14ac:dyDescent="0.2">
      <c r="A237" s="33"/>
      <c r="B237" s="5" t="s">
        <v>250</v>
      </c>
      <c r="C237" s="200">
        <v>24433</v>
      </c>
      <c r="D237" s="200">
        <f>24433+376</f>
        <v>24809</v>
      </c>
      <c r="E237" s="200">
        <f>24433+376</f>
        <v>24809</v>
      </c>
      <c r="F237" s="200">
        <f>24809+100-796</f>
        <v>24113</v>
      </c>
      <c r="G237" s="943">
        <f t="shared" si="49"/>
        <v>0.97194566487968082</v>
      </c>
      <c r="H237" s="952"/>
    </row>
    <row r="238" spans="1:8" x14ac:dyDescent="0.2">
      <c r="A238" s="36"/>
      <c r="B238" s="243" t="s">
        <v>239</v>
      </c>
      <c r="C238" s="200">
        <v>128</v>
      </c>
      <c r="D238" s="200">
        <f>128+8</f>
        <v>136</v>
      </c>
      <c r="E238" s="200">
        <f>128+8</f>
        <v>136</v>
      </c>
      <c r="F238" s="200">
        <f>136+100</f>
        <v>236</v>
      </c>
      <c r="G238" s="943">
        <f t="shared" si="49"/>
        <v>1.7352941176470589</v>
      </c>
      <c r="H238" s="952"/>
    </row>
    <row r="239" spans="1:8" x14ac:dyDescent="0.2">
      <c r="A239" s="36"/>
      <c r="B239" s="6" t="s">
        <v>97</v>
      </c>
      <c r="C239" s="200"/>
      <c r="D239" s="200"/>
      <c r="E239" s="200"/>
      <c r="F239" s="200"/>
      <c r="G239" s="943"/>
      <c r="H239" s="952"/>
    </row>
    <row r="240" spans="1:8" x14ac:dyDescent="0.2">
      <c r="A240" s="33"/>
      <c r="B240" s="6" t="s">
        <v>246</v>
      </c>
      <c r="C240" s="200"/>
      <c r="D240" s="200"/>
      <c r="E240" s="200"/>
      <c r="F240" s="200"/>
      <c r="G240" s="943"/>
      <c r="H240" s="974"/>
    </row>
    <row r="241" spans="1:9" ht="12.75" thickBot="1" x14ac:dyDescent="0.25">
      <c r="A241" s="36"/>
      <c r="B241" s="904" t="s">
        <v>65</v>
      </c>
      <c r="C241" s="956"/>
      <c r="D241" s="956"/>
      <c r="E241" s="956"/>
      <c r="F241" s="956"/>
      <c r="G241" s="1082"/>
      <c r="H241" s="886"/>
    </row>
    <row r="242" spans="1:9" ht="12.75" thickBot="1" x14ac:dyDescent="0.25">
      <c r="A242" s="10"/>
      <c r="B242" s="905" t="s">
        <v>106</v>
      </c>
      <c r="C242" s="949">
        <f>SUM(C236:C241)</f>
        <v>279685</v>
      </c>
      <c r="D242" s="949">
        <f>SUM(D236:D241)</f>
        <v>281617</v>
      </c>
      <c r="E242" s="949">
        <f>SUM(E236:E241)</f>
        <v>281617</v>
      </c>
      <c r="F242" s="949">
        <f>SUM(F236:F241)</f>
        <v>274399</v>
      </c>
      <c r="G242" s="1000">
        <f t="shared" si="49"/>
        <v>0.9743694450264011</v>
      </c>
      <c r="H242" s="888"/>
    </row>
    <row r="243" spans="1:9" x14ac:dyDescent="0.2">
      <c r="A243" s="10"/>
      <c r="B243" s="975" t="s">
        <v>1067</v>
      </c>
      <c r="C243" s="976">
        <v>50935</v>
      </c>
      <c r="D243" s="1086">
        <v>52859</v>
      </c>
      <c r="E243" s="1086">
        <v>52859</v>
      </c>
      <c r="F243" s="1086">
        <f>52859+3438+447+489+64+108+14+188+53+267+53</f>
        <v>57980</v>
      </c>
      <c r="G243" s="1085">
        <f t="shared" si="49"/>
        <v>1.0968803798785447</v>
      </c>
      <c r="H243" s="893"/>
      <c r="I243" s="16"/>
    </row>
    <row r="244" spans="1:9" x14ac:dyDescent="0.2">
      <c r="A244" s="37"/>
      <c r="B244" s="977" t="s">
        <v>1068</v>
      </c>
      <c r="C244" s="976">
        <v>137746</v>
      </c>
      <c r="D244" s="1086">
        <v>137746</v>
      </c>
      <c r="E244" s="1086">
        <v>137746</v>
      </c>
      <c r="F244" s="1086">
        <f>137746-5016-652</f>
        <v>132078</v>
      </c>
      <c r="G244" s="1085">
        <f t="shared" si="49"/>
        <v>0.95885179968928314</v>
      </c>
      <c r="H244" s="3"/>
    </row>
    <row r="245" spans="1:9" ht="12.75" thickBot="1" x14ac:dyDescent="0.25">
      <c r="A245" s="247"/>
      <c r="B245" s="978" t="s">
        <v>1069</v>
      </c>
      <c r="C245" s="979">
        <v>91004</v>
      </c>
      <c r="D245" s="1087">
        <v>91004</v>
      </c>
      <c r="E245" s="1087">
        <v>91004</v>
      </c>
      <c r="F245" s="1087">
        <f>91004-5896-767</f>
        <v>84341</v>
      </c>
      <c r="G245" s="1088">
        <f t="shared" si="49"/>
        <v>0.92678343809063335</v>
      </c>
      <c r="H245" s="980"/>
    </row>
    <row r="246" spans="1:9" x14ac:dyDescent="0.2">
      <c r="A246" s="37">
        <v>3201</v>
      </c>
      <c r="B246" s="935" t="s">
        <v>301</v>
      </c>
      <c r="C246" s="241"/>
      <c r="D246" s="241"/>
      <c r="E246" s="241"/>
      <c r="F246" s="241"/>
      <c r="G246" s="885"/>
      <c r="H246" s="893"/>
    </row>
    <row r="247" spans="1:9" x14ac:dyDescent="0.2">
      <c r="A247" s="37"/>
      <c r="B247" s="243" t="s">
        <v>92</v>
      </c>
      <c r="C247" s="953">
        <v>12500</v>
      </c>
      <c r="D247" s="953">
        <f>12500+1819</f>
        <v>14319</v>
      </c>
      <c r="E247" s="953">
        <f>14319+15986</f>
        <v>30305</v>
      </c>
      <c r="F247" s="953">
        <f>30305-1655</f>
        <v>28650</v>
      </c>
      <c r="G247" s="1081">
        <f t="shared" si="49"/>
        <v>0.94538854974426667</v>
      </c>
      <c r="H247" s="952"/>
    </row>
    <row r="248" spans="1:9" x14ac:dyDescent="0.2">
      <c r="A248" s="37"/>
      <c r="B248" s="5" t="s">
        <v>250</v>
      </c>
      <c r="C248" s="953">
        <v>2000</v>
      </c>
      <c r="D248" s="953">
        <f>2000+714</f>
        <v>2714</v>
      </c>
      <c r="E248" s="953">
        <f>2714+3245</f>
        <v>5959</v>
      </c>
      <c r="F248" s="953">
        <f>5959-985</f>
        <v>4974</v>
      </c>
      <c r="G248" s="943">
        <f t="shared" si="49"/>
        <v>0.83470380936398725</v>
      </c>
      <c r="H248" s="952"/>
    </row>
    <row r="249" spans="1:9" x14ac:dyDescent="0.2">
      <c r="A249" s="37"/>
      <c r="B249" s="243" t="s">
        <v>239</v>
      </c>
      <c r="C249" s="953">
        <v>55500</v>
      </c>
      <c r="D249" s="953">
        <f>55500+4926+96</f>
        <v>60522</v>
      </c>
      <c r="E249" s="953">
        <f>60522+3000+4324</f>
        <v>67846</v>
      </c>
      <c r="F249" s="953">
        <f>67846+1770</f>
        <v>69616</v>
      </c>
      <c r="G249" s="943">
        <f t="shared" si="49"/>
        <v>1.0260884945317337</v>
      </c>
      <c r="H249" s="952"/>
    </row>
    <row r="250" spans="1:9" x14ac:dyDescent="0.2">
      <c r="A250" s="37"/>
      <c r="B250" s="981" t="s">
        <v>97</v>
      </c>
      <c r="C250" s="953"/>
      <c r="D250" s="953"/>
      <c r="E250" s="953"/>
      <c r="F250" s="953"/>
      <c r="G250" s="943"/>
      <c r="H250" s="952"/>
    </row>
    <row r="251" spans="1:9" x14ac:dyDescent="0.2">
      <c r="A251" s="37"/>
      <c r="B251" s="981" t="s">
        <v>246</v>
      </c>
      <c r="C251" s="953"/>
      <c r="D251" s="953"/>
      <c r="E251" s="953"/>
      <c r="F251" s="953"/>
      <c r="G251" s="943"/>
      <c r="H251" s="952"/>
    </row>
    <row r="252" spans="1:9" ht="12.75" thickBot="1" x14ac:dyDescent="0.25">
      <c r="A252" s="37"/>
      <c r="B252" s="904" t="s">
        <v>212</v>
      </c>
      <c r="C252" s="686"/>
      <c r="D252" s="686"/>
      <c r="E252" s="686"/>
      <c r="F252" s="686">
        <v>870</v>
      </c>
      <c r="G252" s="1082"/>
      <c r="H252" s="3"/>
    </row>
    <row r="253" spans="1:9" ht="12.75" thickBot="1" x14ac:dyDescent="0.25">
      <c r="A253" s="247"/>
      <c r="B253" s="905" t="s">
        <v>106</v>
      </c>
      <c r="C253" s="949">
        <f>SUM(C247:C252)</f>
        <v>70000</v>
      </c>
      <c r="D253" s="949">
        <f>SUM(D247:D252)</f>
        <v>77555</v>
      </c>
      <c r="E253" s="949">
        <f>SUM(E247:E252)</f>
        <v>104110</v>
      </c>
      <c r="F253" s="949">
        <f>SUM(F247:F252)</f>
        <v>104110</v>
      </c>
      <c r="G253" s="1000">
        <f t="shared" si="49"/>
        <v>1</v>
      </c>
      <c r="H253" s="888"/>
    </row>
    <row r="254" spans="1:9" x14ac:dyDescent="0.2">
      <c r="A254" s="10">
        <v>3202</v>
      </c>
      <c r="B254" s="960" t="s">
        <v>1009</v>
      </c>
      <c r="C254" s="241"/>
      <c r="D254" s="241"/>
      <c r="E254" s="241"/>
      <c r="F254" s="241"/>
      <c r="G254" s="885"/>
      <c r="H254" s="967"/>
    </row>
    <row r="255" spans="1:9" x14ac:dyDescent="0.2">
      <c r="A255" s="10"/>
      <c r="B255" s="34" t="s">
        <v>92</v>
      </c>
      <c r="C255" s="953">
        <v>1500</v>
      </c>
      <c r="D255" s="953">
        <v>1500</v>
      </c>
      <c r="E255" s="953">
        <v>1500</v>
      </c>
      <c r="F255" s="953">
        <v>1500</v>
      </c>
      <c r="G255" s="1081">
        <f t="shared" si="49"/>
        <v>1</v>
      </c>
      <c r="H255" s="3" t="s">
        <v>1387</v>
      </c>
    </row>
    <row r="256" spans="1:9" x14ac:dyDescent="0.2">
      <c r="A256" s="10"/>
      <c r="B256" s="5" t="s">
        <v>250</v>
      </c>
      <c r="C256" s="953">
        <v>700</v>
      </c>
      <c r="D256" s="953">
        <v>700</v>
      </c>
      <c r="E256" s="953">
        <v>700</v>
      </c>
      <c r="F256" s="953">
        <v>700</v>
      </c>
      <c r="G256" s="943">
        <f t="shared" si="49"/>
        <v>1</v>
      </c>
      <c r="H256" s="954"/>
    </row>
    <row r="257" spans="1:8" x14ac:dyDescent="0.2">
      <c r="A257" s="10"/>
      <c r="B257" s="243" t="s">
        <v>239</v>
      </c>
      <c r="C257" s="953">
        <v>1800</v>
      </c>
      <c r="D257" s="953">
        <f>1800+50</f>
        <v>1850</v>
      </c>
      <c r="E257" s="953">
        <f>1850-500</f>
        <v>1350</v>
      </c>
      <c r="F257" s="953">
        <f>1850-500</f>
        <v>1350</v>
      </c>
      <c r="G257" s="943">
        <f t="shared" si="49"/>
        <v>1</v>
      </c>
      <c r="H257" s="961" t="s">
        <v>1389</v>
      </c>
    </row>
    <row r="258" spans="1:8" x14ac:dyDescent="0.2">
      <c r="A258" s="10"/>
      <c r="B258" s="6" t="s">
        <v>97</v>
      </c>
      <c r="C258" s="953"/>
      <c r="D258" s="953"/>
      <c r="E258" s="953"/>
      <c r="F258" s="953"/>
      <c r="G258" s="943"/>
      <c r="H258" s="954"/>
    </row>
    <row r="259" spans="1:8" x14ac:dyDescent="0.2">
      <c r="A259" s="10"/>
      <c r="B259" s="6" t="s">
        <v>246</v>
      </c>
      <c r="C259" s="953">
        <v>1000</v>
      </c>
      <c r="D259" s="953">
        <f>1000+1050</f>
        <v>2050</v>
      </c>
      <c r="E259" s="953">
        <f>2050+500</f>
        <v>2550</v>
      </c>
      <c r="F259" s="953">
        <f>2050+500</f>
        <v>2550</v>
      </c>
      <c r="G259" s="943">
        <f t="shared" si="49"/>
        <v>1</v>
      </c>
      <c r="H259" s="954"/>
    </row>
    <row r="260" spans="1:8" ht="12.75" thickBot="1" x14ac:dyDescent="0.25">
      <c r="A260" s="10"/>
      <c r="B260" s="904" t="s">
        <v>228</v>
      </c>
      <c r="C260" s="962"/>
      <c r="D260" s="962"/>
      <c r="E260" s="962"/>
      <c r="F260" s="962"/>
      <c r="G260" s="1082"/>
      <c r="H260" s="886"/>
    </row>
    <row r="261" spans="1:8" ht="12.75" thickBot="1" x14ac:dyDescent="0.25">
      <c r="A261" s="247"/>
      <c r="B261" s="905" t="s">
        <v>106</v>
      </c>
      <c r="C261" s="949">
        <f t="shared" ref="C261:D261" si="52">SUM(C255:C260)</f>
        <v>5000</v>
      </c>
      <c r="D261" s="949">
        <f t="shared" si="52"/>
        <v>6100</v>
      </c>
      <c r="E261" s="949">
        <f t="shared" ref="E261:F261" si="53">SUM(E255:E260)</f>
        <v>6100</v>
      </c>
      <c r="F261" s="949">
        <f t="shared" si="53"/>
        <v>6100</v>
      </c>
      <c r="G261" s="1000">
        <f t="shared" si="49"/>
        <v>1</v>
      </c>
      <c r="H261" s="888"/>
    </row>
    <row r="262" spans="1:8" ht="12" customHeight="1" x14ac:dyDescent="0.2">
      <c r="A262" s="10">
        <v>3204</v>
      </c>
      <c r="B262" s="941" t="s">
        <v>325</v>
      </c>
      <c r="C262" s="241"/>
      <c r="D262" s="241"/>
      <c r="E262" s="241"/>
      <c r="F262" s="241"/>
      <c r="G262" s="885"/>
      <c r="H262" s="2"/>
    </row>
    <row r="263" spans="1:8" ht="12" customHeight="1" x14ac:dyDescent="0.2">
      <c r="A263" s="33"/>
      <c r="B263" s="34" t="s">
        <v>92</v>
      </c>
      <c r="C263" s="200"/>
      <c r="D263" s="200"/>
      <c r="E263" s="200"/>
      <c r="F263" s="200"/>
      <c r="G263" s="885"/>
      <c r="H263" s="3"/>
    </row>
    <row r="264" spans="1:8" ht="12" customHeight="1" x14ac:dyDescent="0.2">
      <c r="A264" s="33"/>
      <c r="B264" s="5" t="s">
        <v>250</v>
      </c>
      <c r="C264" s="200"/>
      <c r="D264" s="200"/>
      <c r="E264" s="200"/>
      <c r="F264" s="200"/>
      <c r="G264" s="1081"/>
      <c r="H264" s="899" t="s">
        <v>1390</v>
      </c>
    </row>
    <row r="265" spans="1:8" ht="12" customHeight="1" x14ac:dyDescent="0.2">
      <c r="A265" s="33"/>
      <c r="B265" s="243" t="s">
        <v>239</v>
      </c>
      <c r="C265" s="200">
        <v>18000</v>
      </c>
      <c r="D265" s="200">
        <f>18000+2413</f>
        <v>20413</v>
      </c>
      <c r="E265" s="200">
        <f>18000+2413</f>
        <v>20413</v>
      </c>
      <c r="F265" s="200">
        <f>18000+2413</f>
        <v>20413</v>
      </c>
      <c r="G265" s="943">
        <f t="shared" si="49"/>
        <v>1</v>
      </c>
      <c r="H265" s="902" t="s">
        <v>434</v>
      </c>
    </row>
    <row r="266" spans="1:8" ht="12" customHeight="1" x14ac:dyDescent="0.2">
      <c r="A266" s="33"/>
      <c r="B266" s="6" t="s">
        <v>246</v>
      </c>
      <c r="C266" s="200"/>
      <c r="D266" s="200"/>
      <c r="E266" s="200"/>
      <c r="F266" s="200"/>
      <c r="G266" s="943"/>
      <c r="H266" s="982"/>
    </row>
    <row r="267" spans="1:8" ht="12" customHeight="1" x14ac:dyDescent="0.2">
      <c r="A267" s="33"/>
      <c r="B267" s="6" t="s">
        <v>97</v>
      </c>
      <c r="C267" s="200"/>
      <c r="D267" s="200"/>
      <c r="E267" s="200"/>
      <c r="F267" s="200"/>
      <c r="G267" s="943"/>
      <c r="H267" s="952"/>
    </row>
    <row r="268" spans="1:8" ht="12" customHeight="1" thickBot="1" x14ac:dyDescent="0.25">
      <c r="A268" s="33"/>
      <c r="B268" s="904" t="s">
        <v>212</v>
      </c>
      <c r="C268" s="956"/>
      <c r="D268" s="956"/>
      <c r="E268" s="956"/>
      <c r="F268" s="956"/>
      <c r="G268" s="1082"/>
      <c r="H268" s="983"/>
    </row>
    <row r="269" spans="1:8" ht="12" customHeight="1" thickBot="1" x14ac:dyDescent="0.25">
      <c r="A269" s="247"/>
      <c r="B269" s="905" t="s">
        <v>106</v>
      </c>
      <c r="C269" s="949">
        <f t="shared" ref="C269:D269" si="54">SUM(C263:C268)</f>
        <v>18000</v>
      </c>
      <c r="D269" s="949">
        <f t="shared" si="54"/>
        <v>20413</v>
      </c>
      <c r="E269" s="949">
        <f t="shared" ref="E269:F269" si="55">SUM(E263:E268)</f>
        <v>20413</v>
      </c>
      <c r="F269" s="949">
        <f t="shared" si="55"/>
        <v>20413</v>
      </c>
      <c r="G269" s="1000">
        <f t="shared" si="49"/>
        <v>1</v>
      </c>
      <c r="H269" s="888"/>
    </row>
    <row r="270" spans="1:8" ht="12" customHeight="1" x14ac:dyDescent="0.2">
      <c r="A270" s="10">
        <v>3205</v>
      </c>
      <c r="B270" s="941" t="s">
        <v>302</v>
      </c>
      <c r="C270" s="241"/>
      <c r="D270" s="241"/>
      <c r="E270" s="241"/>
      <c r="F270" s="241"/>
      <c r="G270" s="885"/>
      <c r="H270" s="2"/>
    </row>
    <row r="271" spans="1:8" ht="12" customHeight="1" x14ac:dyDescent="0.2">
      <c r="A271" s="33"/>
      <c r="B271" s="34" t="s">
        <v>92</v>
      </c>
      <c r="C271" s="200">
        <v>4000</v>
      </c>
      <c r="D271" s="200">
        <f>4000+900</f>
        <v>4900</v>
      </c>
      <c r="E271" s="200">
        <f>4900+1200</f>
        <v>6100</v>
      </c>
      <c r="F271" s="200">
        <f>4900+1200</f>
        <v>6100</v>
      </c>
      <c r="G271" s="1081">
        <f t="shared" si="49"/>
        <v>1</v>
      </c>
      <c r="H271" s="899" t="s">
        <v>1390</v>
      </c>
    </row>
    <row r="272" spans="1:8" ht="12" customHeight="1" x14ac:dyDescent="0.2">
      <c r="A272" s="33"/>
      <c r="B272" s="5" t="s">
        <v>250</v>
      </c>
      <c r="C272" s="200">
        <v>1000</v>
      </c>
      <c r="D272" s="200">
        <f>1000+117</f>
        <v>1117</v>
      </c>
      <c r="E272" s="200">
        <f>1000+117</f>
        <v>1117</v>
      </c>
      <c r="F272" s="200">
        <f>1000+117</f>
        <v>1117</v>
      </c>
      <c r="G272" s="943">
        <f t="shared" si="49"/>
        <v>1</v>
      </c>
      <c r="H272" s="937"/>
    </row>
    <row r="273" spans="1:8" ht="12" customHeight="1" x14ac:dyDescent="0.2">
      <c r="A273" s="36"/>
      <c r="B273" s="243" t="s">
        <v>239</v>
      </c>
      <c r="C273" s="200">
        <v>9500</v>
      </c>
      <c r="D273" s="200">
        <f>9500+9707</f>
        <v>19207</v>
      </c>
      <c r="E273" s="200">
        <f>19207+15000</f>
        <v>34207</v>
      </c>
      <c r="F273" s="200">
        <f>19207+15000</f>
        <v>34207</v>
      </c>
      <c r="G273" s="943">
        <f t="shared" si="49"/>
        <v>1</v>
      </c>
      <c r="H273" s="938"/>
    </row>
    <row r="274" spans="1:8" ht="12" customHeight="1" x14ac:dyDescent="0.2">
      <c r="A274" s="36"/>
      <c r="B274" s="6" t="s">
        <v>97</v>
      </c>
      <c r="C274" s="200"/>
      <c r="D274" s="200"/>
      <c r="E274" s="200"/>
      <c r="F274" s="200"/>
      <c r="G274" s="943"/>
      <c r="H274" s="938"/>
    </row>
    <row r="275" spans="1:8" ht="12" customHeight="1" x14ac:dyDescent="0.2">
      <c r="A275" s="36"/>
      <c r="B275" s="6" t="s">
        <v>246</v>
      </c>
      <c r="C275" s="200">
        <v>10000</v>
      </c>
      <c r="D275" s="200">
        <f>10000+11709</f>
        <v>21709</v>
      </c>
      <c r="E275" s="200">
        <f>21709-16200</f>
        <v>5509</v>
      </c>
      <c r="F275" s="200">
        <f>5509+10500</f>
        <v>16009</v>
      </c>
      <c r="G275" s="943">
        <f t="shared" si="49"/>
        <v>2.9059720457433289</v>
      </c>
      <c r="H275" s="945"/>
    </row>
    <row r="276" spans="1:8" ht="12" customHeight="1" x14ac:dyDescent="0.2">
      <c r="A276" s="36"/>
      <c r="B276" s="6" t="s">
        <v>97</v>
      </c>
      <c r="C276" s="200"/>
      <c r="D276" s="200"/>
      <c r="E276" s="200"/>
      <c r="F276" s="200"/>
      <c r="G276" s="943"/>
      <c r="H276" s="945"/>
    </row>
    <row r="277" spans="1:8" ht="12" customHeight="1" x14ac:dyDescent="0.2">
      <c r="A277" s="36"/>
      <c r="B277" s="6" t="s">
        <v>13</v>
      </c>
      <c r="C277" s="200"/>
      <c r="D277" s="200"/>
      <c r="E277" s="200"/>
      <c r="F277" s="200"/>
      <c r="G277" s="943"/>
      <c r="H277" s="945"/>
    </row>
    <row r="278" spans="1:8" ht="12" customHeight="1" thickBot="1" x14ac:dyDescent="0.25">
      <c r="A278" s="36"/>
      <c r="B278" s="904" t="s">
        <v>228</v>
      </c>
      <c r="C278" s="956">
        <v>40000</v>
      </c>
      <c r="D278" s="956">
        <f>40000+5990</f>
        <v>45990</v>
      </c>
      <c r="E278" s="956">
        <f>40000+5990</f>
        <v>45990</v>
      </c>
      <c r="F278" s="956">
        <f>45990-10500</f>
        <v>35490</v>
      </c>
      <c r="G278" s="1082">
        <f t="shared" si="49"/>
        <v>0.77168949771689499</v>
      </c>
      <c r="H278" s="984"/>
    </row>
    <row r="279" spans="1:8" ht="12" customHeight="1" thickBot="1" x14ac:dyDescent="0.25">
      <c r="A279" s="247"/>
      <c r="B279" s="905" t="s">
        <v>106</v>
      </c>
      <c r="C279" s="949">
        <f>SUM(C271:C278)</f>
        <v>64500</v>
      </c>
      <c r="D279" s="949">
        <f>SUM(D271:D278)</f>
        <v>92923</v>
      </c>
      <c r="E279" s="949">
        <f>SUM(E271:E278)</f>
        <v>92923</v>
      </c>
      <c r="F279" s="949">
        <f>SUM(F271:F278)</f>
        <v>92923</v>
      </c>
      <c r="G279" s="1000">
        <f t="shared" si="49"/>
        <v>1</v>
      </c>
      <c r="H279" s="985"/>
    </row>
    <row r="280" spans="1:8" ht="12" customHeight="1" x14ac:dyDescent="0.2">
      <c r="A280" s="10">
        <v>3206</v>
      </c>
      <c r="B280" s="941" t="s">
        <v>1039</v>
      </c>
      <c r="C280" s="241"/>
      <c r="D280" s="241"/>
      <c r="E280" s="241"/>
      <c r="F280" s="241"/>
      <c r="G280" s="885"/>
      <c r="H280" s="2"/>
    </row>
    <row r="281" spans="1:8" ht="12" customHeight="1" x14ac:dyDescent="0.2">
      <c r="A281" s="33"/>
      <c r="B281" s="34" t="s">
        <v>92</v>
      </c>
      <c r="C281" s="200"/>
      <c r="D281" s="200"/>
      <c r="E281" s="200"/>
      <c r="F281" s="200"/>
      <c r="G281" s="885"/>
      <c r="H281" s="3"/>
    </row>
    <row r="282" spans="1:8" ht="12" customHeight="1" x14ac:dyDescent="0.2">
      <c r="A282" s="33"/>
      <c r="B282" s="5" t="s">
        <v>250</v>
      </c>
      <c r="C282" s="200"/>
      <c r="D282" s="200"/>
      <c r="E282" s="200"/>
      <c r="F282" s="200"/>
      <c r="G282" s="885"/>
      <c r="H282" s="937"/>
    </row>
    <row r="283" spans="1:8" ht="12" customHeight="1" x14ac:dyDescent="0.2">
      <c r="A283" s="36"/>
      <c r="B283" s="243" t="s">
        <v>239</v>
      </c>
      <c r="C283" s="200"/>
      <c r="D283" s="200"/>
      <c r="E283" s="200"/>
      <c r="F283" s="200"/>
      <c r="G283" s="885"/>
      <c r="H283" s="938"/>
    </row>
    <row r="284" spans="1:8" ht="12" customHeight="1" x14ac:dyDescent="0.2">
      <c r="A284" s="36"/>
      <c r="B284" s="6" t="s">
        <v>97</v>
      </c>
      <c r="C284" s="200"/>
      <c r="D284" s="200"/>
      <c r="E284" s="200"/>
      <c r="F284" s="200"/>
      <c r="G284" s="885"/>
      <c r="H284" s="938"/>
    </row>
    <row r="285" spans="1:8" ht="12" customHeight="1" x14ac:dyDescent="0.2">
      <c r="A285" s="36"/>
      <c r="B285" s="6" t="s">
        <v>246</v>
      </c>
      <c r="C285" s="200"/>
      <c r="D285" s="200"/>
      <c r="E285" s="200"/>
      <c r="F285" s="200">
        <v>3000</v>
      </c>
      <c r="G285" s="885"/>
      <c r="H285" s="945"/>
    </row>
    <row r="286" spans="1:8" ht="12" customHeight="1" x14ac:dyDescent="0.2">
      <c r="A286" s="36"/>
      <c r="B286" s="6" t="s">
        <v>97</v>
      </c>
      <c r="C286" s="200"/>
      <c r="D286" s="200"/>
      <c r="E286" s="200"/>
      <c r="F286" s="200"/>
      <c r="G286" s="1081"/>
      <c r="H286" s="945"/>
    </row>
    <row r="287" spans="1:8" ht="12" customHeight="1" x14ac:dyDescent="0.2">
      <c r="A287" s="36"/>
      <c r="B287" s="6" t="s">
        <v>13</v>
      </c>
      <c r="C287" s="200">
        <v>5000</v>
      </c>
      <c r="D287" s="200">
        <v>5000</v>
      </c>
      <c r="E287" s="200">
        <v>5000</v>
      </c>
      <c r="F287" s="200">
        <v>5000</v>
      </c>
      <c r="G287" s="943">
        <f t="shared" ref="G287:G341" si="56">F287/E287</f>
        <v>1</v>
      </c>
      <c r="H287" s="945"/>
    </row>
    <row r="288" spans="1:8" ht="12" customHeight="1" thickBot="1" x14ac:dyDescent="0.25">
      <c r="A288" s="36"/>
      <c r="B288" s="904" t="s">
        <v>228</v>
      </c>
      <c r="C288" s="682">
        <v>5000</v>
      </c>
      <c r="D288" s="682">
        <v>5000</v>
      </c>
      <c r="E288" s="682">
        <v>5000</v>
      </c>
      <c r="F288" s="682">
        <f>5000-3000</f>
        <v>2000</v>
      </c>
      <c r="G288" s="1082">
        <f t="shared" si="56"/>
        <v>0.4</v>
      </c>
      <c r="H288" s="984"/>
    </row>
    <row r="289" spans="1:8" ht="12" customHeight="1" thickBot="1" x14ac:dyDescent="0.25">
      <c r="A289" s="247"/>
      <c r="B289" s="905" t="s">
        <v>106</v>
      </c>
      <c r="C289" s="949">
        <f t="shared" ref="C289:D289" si="57">SUM(C281:C288)</f>
        <v>10000</v>
      </c>
      <c r="D289" s="949">
        <f t="shared" si="57"/>
        <v>10000</v>
      </c>
      <c r="E289" s="949">
        <f t="shared" ref="E289:F289" si="58">SUM(E281:E288)</f>
        <v>10000</v>
      </c>
      <c r="F289" s="949">
        <f t="shared" si="58"/>
        <v>10000</v>
      </c>
      <c r="G289" s="1000">
        <f t="shared" si="56"/>
        <v>1</v>
      </c>
      <c r="H289" s="985"/>
    </row>
    <row r="290" spans="1:8" ht="12" customHeight="1" x14ac:dyDescent="0.2">
      <c r="A290" s="37">
        <v>3207</v>
      </c>
      <c r="B290" s="941" t="s">
        <v>243</v>
      </c>
      <c r="C290" s="241"/>
      <c r="D290" s="241"/>
      <c r="E290" s="241"/>
      <c r="F290" s="241"/>
      <c r="G290" s="885"/>
      <c r="H290" s="937"/>
    </row>
    <row r="291" spans="1:8" ht="12" customHeight="1" x14ac:dyDescent="0.2">
      <c r="A291" s="36"/>
      <c r="B291" s="34" t="s">
        <v>92</v>
      </c>
      <c r="C291" s="200"/>
      <c r="D291" s="200"/>
      <c r="E291" s="200"/>
      <c r="F291" s="200"/>
      <c r="G291" s="885"/>
      <c r="H291" s="937"/>
    </row>
    <row r="292" spans="1:8" ht="12" customHeight="1" x14ac:dyDescent="0.2">
      <c r="A292" s="36"/>
      <c r="B292" s="5" t="s">
        <v>250</v>
      </c>
      <c r="C292" s="200"/>
      <c r="D292" s="200"/>
      <c r="E292" s="200"/>
      <c r="F292" s="200"/>
      <c r="G292" s="1081"/>
      <c r="H292" s="924"/>
    </row>
    <row r="293" spans="1:8" ht="12" customHeight="1" x14ac:dyDescent="0.2">
      <c r="A293" s="36"/>
      <c r="B293" s="243" t="s">
        <v>239</v>
      </c>
      <c r="C293" s="200">
        <v>37760</v>
      </c>
      <c r="D293" s="200">
        <f>37760+2828</f>
        <v>40588</v>
      </c>
      <c r="E293" s="200">
        <f>37760+2828</f>
        <v>40588</v>
      </c>
      <c r="F293" s="200">
        <f>37760+2828</f>
        <v>40588</v>
      </c>
      <c r="G293" s="943">
        <f t="shared" si="56"/>
        <v>1</v>
      </c>
      <c r="H293" s="938"/>
    </row>
    <row r="294" spans="1:8" ht="12" customHeight="1" x14ac:dyDescent="0.2">
      <c r="A294" s="36"/>
      <c r="B294" s="6" t="s">
        <v>97</v>
      </c>
      <c r="C294" s="200"/>
      <c r="D294" s="200"/>
      <c r="E294" s="200"/>
      <c r="F294" s="200"/>
      <c r="G294" s="943"/>
      <c r="H294" s="938"/>
    </row>
    <row r="295" spans="1:8" ht="12" customHeight="1" x14ac:dyDescent="0.2">
      <c r="A295" s="36"/>
      <c r="B295" s="6" t="s">
        <v>246</v>
      </c>
      <c r="C295" s="200"/>
      <c r="D295" s="200"/>
      <c r="E295" s="200"/>
      <c r="F295" s="200"/>
      <c r="G295" s="943"/>
      <c r="H295" s="937"/>
    </row>
    <row r="296" spans="1:8" ht="12" customHeight="1" thickBot="1" x14ac:dyDescent="0.25">
      <c r="A296" s="36"/>
      <c r="B296" s="904" t="s">
        <v>65</v>
      </c>
      <c r="C296" s="956"/>
      <c r="D296" s="956"/>
      <c r="E296" s="956"/>
      <c r="F296" s="956"/>
      <c r="G296" s="1082"/>
      <c r="H296" s="1"/>
    </row>
    <row r="297" spans="1:8" ht="12.75" thickBot="1" x14ac:dyDescent="0.25">
      <c r="A297" s="236"/>
      <c r="B297" s="905" t="s">
        <v>106</v>
      </c>
      <c r="C297" s="949">
        <f t="shared" ref="C297:D297" si="59">SUM(C291:C296)</f>
        <v>37760</v>
      </c>
      <c r="D297" s="949">
        <f t="shared" si="59"/>
        <v>40588</v>
      </c>
      <c r="E297" s="949">
        <f t="shared" ref="E297:F297" si="60">SUM(E291:E296)</f>
        <v>40588</v>
      </c>
      <c r="F297" s="949">
        <f t="shared" si="60"/>
        <v>40588</v>
      </c>
      <c r="G297" s="1000">
        <f t="shared" si="56"/>
        <v>1</v>
      </c>
      <c r="H297" s="888"/>
    </row>
    <row r="298" spans="1:8" x14ac:dyDescent="0.2">
      <c r="A298" s="37">
        <v>3208</v>
      </c>
      <c r="B298" s="941" t="s">
        <v>153</v>
      </c>
      <c r="C298" s="241"/>
      <c r="D298" s="241"/>
      <c r="E298" s="241"/>
      <c r="F298" s="241"/>
      <c r="G298" s="885"/>
      <c r="H298" s="937"/>
    </row>
    <row r="299" spans="1:8" x14ac:dyDescent="0.2">
      <c r="A299" s="36"/>
      <c r="B299" s="34" t="s">
        <v>92</v>
      </c>
      <c r="C299" s="200"/>
      <c r="D299" s="200"/>
      <c r="E299" s="200"/>
      <c r="F299" s="200"/>
      <c r="G299" s="885"/>
      <c r="H299" s="937"/>
    </row>
    <row r="300" spans="1:8" x14ac:dyDescent="0.2">
      <c r="A300" s="36"/>
      <c r="B300" s="5" t="s">
        <v>250</v>
      </c>
      <c r="C300" s="200"/>
      <c r="D300" s="200"/>
      <c r="E300" s="200"/>
      <c r="F300" s="200"/>
      <c r="G300" s="1081"/>
      <c r="H300" s="938"/>
    </row>
    <row r="301" spans="1:8" x14ac:dyDescent="0.2">
      <c r="A301" s="36"/>
      <c r="B301" s="243" t="s">
        <v>239</v>
      </c>
      <c r="C301" s="200">
        <v>18000</v>
      </c>
      <c r="D301" s="200">
        <f>18000+1396</f>
        <v>19396</v>
      </c>
      <c r="E301" s="200">
        <f>18000+1396</f>
        <v>19396</v>
      </c>
      <c r="F301" s="200">
        <f>18000+1396</f>
        <v>19396</v>
      </c>
      <c r="G301" s="943">
        <f t="shared" si="56"/>
        <v>1</v>
      </c>
      <c r="H301" s="938"/>
    </row>
    <row r="302" spans="1:8" x14ac:dyDescent="0.2">
      <c r="A302" s="36"/>
      <c r="B302" s="6" t="s">
        <v>97</v>
      </c>
      <c r="C302" s="200"/>
      <c r="D302" s="200"/>
      <c r="E302" s="200"/>
      <c r="F302" s="200"/>
      <c r="G302" s="943"/>
      <c r="H302" s="937"/>
    </row>
    <row r="303" spans="1:8" x14ac:dyDescent="0.2">
      <c r="A303" s="36"/>
      <c r="B303" s="6" t="s">
        <v>246</v>
      </c>
      <c r="C303" s="200"/>
      <c r="D303" s="200"/>
      <c r="E303" s="200"/>
      <c r="F303" s="200"/>
      <c r="G303" s="943"/>
      <c r="H303" s="937"/>
    </row>
    <row r="304" spans="1:8" ht="12.6" customHeight="1" thickBot="1" x14ac:dyDescent="0.25">
      <c r="A304" s="36"/>
      <c r="B304" s="904" t="s">
        <v>65</v>
      </c>
      <c r="C304" s="956"/>
      <c r="D304" s="956"/>
      <c r="E304" s="956"/>
      <c r="F304" s="956"/>
      <c r="G304" s="1082"/>
      <c r="H304" s="1"/>
    </row>
    <row r="305" spans="1:8" ht="12.6" customHeight="1" thickBot="1" x14ac:dyDescent="0.25">
      <c r="A305" s="236"/>
      <c r="B305" s="905" t="s">
        <v>106</v>
      </c>
      <c r="C305" s="949">
        <f t="shared" ref="C305:D305" si="61">SUM(C299:C304)</f>
        <v>18000</v>
      </c>
      <c r="D305" s="949">
        <f t="shared" si="61"/>
        <v>19396</v>
      </c>
      <c r="E305" s="949">
        <f t="shared" ref="E305:F305" si="62">SUM(E299:E304)</f>
        <v>19396</v>
      </c>
      <c r="F305" s="949">
        <f t="shared" si="62"/>
        <v>19396</v>
      </c>
      <c r="G305" s="1000">
        <f t="shared" si="56"/>
        <v>1</v>
      </c>
      <c r="H305" s="888"/>
    </row>
    <row r="306" spans="1:8" ht="12.6" customHeight="1" x14ac:dyDescent="0.2">
      <c r="A306" s="10">
        <v>3209</v>
      </c>
      <c r="B306" s="249" t="s">
        <v>55</v>
      </c>
      <c r="C306" s="241"/>
      <c r="D306" s="241"/>
      <c r="E306" s="241"/>
      <c r="F306" s="241"/>
      <c r="G306" s="885"/>
      <c r="H306" s="2"/>
    </row>
    <row r="307" spans="1:8" ht="12.6" customHeight="1" x14ac:dyDescent="0.2">
      <c r="A307" s="10"/>
      <c r="B307" s="243" t="s">
        <v>92</v>
      </c>
      <c r="C307" s="953"/>
      <c r="D307" s="953"/>
      <c r="E307" s="953"/>
      <c r="F307" s="953"/>
      <c r="G307" s="885"/>
      <c r="H307" s="3"/>
    </row>
    <row r="308" spans="1:8" ht="12.6" customHeight="1" x14ac:dyDescent="0.2">
      <c r="A308" s="10"/>
      <c r="B308" s="5" t="s">
        <v>250</v>
      </c>
      <c r="C308" s="953"/>
      <c r="D308" s="953"/>
      <c r="E308" s="953"/>
      <c r="F308" s="953"/>
      <c r="G308" s="1081"/>
      <c r="H308" s="938"/>
    </row>
    <row r="309" spans="1:8" ht="12.6" customHeight="1" x14ac:dyDescent="0.2">
      <c r="A309" s="10"/>
      <c r="B309" s="243" t="s">
        <v>239</v>
      </c>
      <c r="C309" s="953">
        <v>5000</v>
      </c>
      <c r="D309" s="953">
        <v>5000</v>
      </c>
      <c r="E309" s="953">
        <v>5000</v>
      </c>
      <c r="F309" s="953">
        <v>5000</v>
      </c>
      <c r="G309" s="943">
        <f t="shared" si="56"/>
        <v>1</v>
      </c>
      <c r="H309" s="938"/>
    </row>
    <row r="310" spans="1:8" x14ac:dyDescent="0.2">
      <c r="A310" s="10"/>
      <c r="B310" s="981" t="s">
        <v>97</v>
      </c>
      <c r="C310" s="953"/>
      <c r="D310" s="953"/>
      <c r="E310" s="953"/>
      <c r="F310" s="953"/>
      <c r="G310" s="943"/>
      <c r="H310" s="954"/>
    </row>
    <row r="311" spans="1:8" x14ac:dyDescent="0.2">
      <c r="A311" s="10"/>
      <c r="B311" s="981" t="s">
        <v>246</v>
      </c>
      <c r="C311" s="953"/>
      <c r="D311" s="953"/>
      <c r="E311" s="953"/>
      <c r="F311" s="953"/>
      <c r="G311" s="943"/>
      <c r="H311" s="3"/>
    </row>
    <row r="312" spans="1:8" x14ac:dyDescent="0.2">
      <c r="A312" s="10"/>
      <c r="B312" s="904" t="s">
        <v>212</v>
      </c>
      <c r="C312" s="953"/>
      <c r="D312" s="953"/>
      <c r="E312" s="953"/>
      <c r="F312" s="953"/>
      <c r="G312" s="943"/>
      <c r="H312" s="3"/>
    </row>
    <row r="313" spans="1:8" ht="12.75" thickBot="1" x14ac:dyDescent="0.25">
      <c r="A313" s="10"/>
      <c r="B313" s="947" t="s">
        <v>228</v>
      </c>
      <c r="C313" s="962"/>
      <c r="D313" s="962"/>
      <c r="E313" s="962"/>
      <c r="F313" s="962"/>
      <c r="G313" s="1082"/>
      <c r="H313" s="18"/>
    </row>
    <row r="314" spans="1:8" ht="12.6" customHeight="1" thickBot="1" x14ac:dyDescent="0.25">
      <c r="A314" s="247"/>
      <c r="B314" s="905" t="s">
        <v>106</v>
      </c>
      <c r="C314" s="949">
        <f t="shared" ref="C314:D314" si="63">SUM(C307:C313)</f>
        <v>5000</v>
      </c>
      <c r="D314" s="949">
        <f t="shared" si="63"/>
        <v>5000</v>
      </c>
      <c r="E314" s="949">
        <f t="shared" ref="E314:F314" si="64">SUM(E307:E313)</f>
        <v>5000</v>
      </c>
      <c r="F314" s="949">
        <f t="shared" si="64"/>
        <v>5000</v>
      </c>
      <c r="G314" s="1000">
        <f t="shared" si="56"/>
        <v>1</v>
      </c>
      <c r="H314" s="888"/>
    </row>
    <row r="315" spans="1:8" ht="12.6" customHeight="1" x14ac:dyDescent="0.2">
      <c r="A315" s="10">
        <v>3210</v>
      </c>
      <c r="B315" s="249" t="s">
        <v>1333</v>
      </c>
      <c r="C315" s="241"/>
      <c r="D315" s="241"/>
      <c r="E315" s="241"/>
      <c r="F315" s="241"/>
      <c r="G315" s="885"/>
      <c r="H315" s="893"/>
    </row>
    <row r="316" spans="1:8" ht="12.6" customHeight="1" x14ac:dyDescent="0.2">
      <c r="A316" s="10"/>
      <c r="B316" s="243" t="s">
        <v>92</v>
      </c>
      <c r="C316" s="953"/>
      <c r="D316" s="953"/>
      <c r="E316" s="953"/>
      <c r="F316" s="953"/>
      <c r="G316" s="885"/>
      <c r="H316" s="3"/>
    </row>
    <row r="317" spans="1:8" ht="12.6" customHeight="1" x14ac:dyDescent="0.2">
      <c r="A317" s="10"/>
      <c r="B317" s="5" t="s">
        <v>250</v>
      </c>
      <c r="C317" s="953"/>
      <c r="D317" s="953"/>
      <c r="E317" s="953"/>
      <c r="F317" s="953"/>
      <c r="G317" s="885"/>
      <c r="H317" s="3"/>
    </row>
    <row r="318" spans="1:8" ht="12.6" customHeight="1" x14ac:dyDescent="0.2">
      <c r="A318" s="10"/>
      <c r="B318" s="243" t="s">
        <v>239</v>
      </c>
      <c r="C318" s="953"/>
      <c r="D318" s="953">
        <v>5000</v>
      </c>
      <c r="E318" s="953">
        <v>5000</v>
      </c>
      <c r="F318" s="953">
        <v>5000</v>
      </c>
      <c r="G318" s="943">
        <f t="shared" si="56"/>
        <v>1</v>
      </c>
      <c r="H318" s="3"/>
    </row>
    <row r="319" spans="1:8" ht="12.6" customHeight="1" x14ac:dyDescent="0.2">
      <c r="A319" s="10"/>
      <c r="B319" s="981" t="s">
        <v>97</v>
      </c>
      <c r="C319" s="953"/>
      <c r="D319" s="953"/>
      <c r="E319" s="953"/>
      <c r="F319" s="953"/>
      <c r="G319" s="885"/>
      <c r="H319" s="3"/>
    </row>
    <row r="320" spans="1:8" ht="12.6" customHeight="1" x14ac:dyDescent="0.2">
      <c r="A320" s="10"/>
      <c r="B320" s="981" t="s">
        <v>246</v>
      </c>
      <c r="C320" s="953"/>
      <c r="D320" s="953"/>
      <c r="E320" s="953"/>
      <c r="F320" s="953"/>
      <c r="G320" s="885"/>
      <c r="H320" s="3"/>
    </row>
    <row r="321" spans="1:8" ht="12.6" customHeight="1" x14ac:dyDescent="0.2">
      <c r="A321" s="10"/>
      <c r="B321" s="904" t="s">
        <v>212</v>
      </c>
      <c r="C321" s="953"/>
      <c r="D321" s="953"/>
      <c r="E321" s="953"/>
      <c r="F321" s="953"/>
      <c r="G321" s="885"/>
      <c r="H321" s="3"/>
    </row>
    <row r="322" spans="1:8" ht="12.6" customHeight="1" thickBot="1" x14ac:dyDescent="0.25">
      <c r="A322" s="10"/>
      <c r="B322" s="947" t="s">
        <v>228</v>
      </c>
      <c r="C322" s="962"/>
      <c r="D322" s="962"/>
      <c r="E322" s="962"/>
      <c r="F322" s="962"/>
      <c r="G322" s="1079"/>
      <c r="H322" s="886"/>
    </row>
    <row r="323" spans="1:8" ht="12.6" customHeight="1" thickBot="1" x14ac:dyDescent="0.25">
      <c r="A323" s="247"/>
      <c r="B323" s="905" t="s">
        <v>106</v>
      </c>
      <c r="C323" s="949">
        <f t="shared" ref="C323" si="65">SUM(C316:C322)</f>
        <v>0</v>
      </c>
      <c r="D323" s="949">
        <f>SUM(D316:D322)</f>
        <v>5000</v>
      </c>
      <c r="E323" s="949">
        <f>SUM(E316:E322)</f>
        <v>5000</v>
      </c>
      <c r="F323" s="949">
        <f>SUM(F316:F322)</f>
        <v>5000</v>
      </c>
      <c r="G323" s="1000">
        <f t="shared" si="56"/>
        <v>1</v>
      </c>
      <c r="H323" s="1064"/>
    </row>
    <row r="324" spans="1:8" x14ac:dyDescent="0.2">
      <c r="A324" s="37"/>
      <c r="B324" s="960" t="s">
        <v>69</v>
      </c>
      <c r="C324" s="241">
        <f>SUM(C334+C345+C354+C362+C372)</f>
        <v>3440878</v>
      </c>
      <c r="D324" s="241">
        <f>SUM(D334+D345+D354+D362+D372)</f>
        <v>3822217</v>
      </c>
      <c r="E324" s="241">
        <f>SUM(E334+E345+E354+E362+E372)</f>
        <v>3822217</v>
      </c>
      <c r="F324" s="241">
        <f>SUM(F334+F345+F354+F362+F372)</f>
        <v>3837217</v>
      </c>
      <c r="G324" s="885">
        <f t="shared" si="56"/>
        <v>1.0039244239665095</v>
      </c>
      <c r="H324" s="893"/>
    </row>
    <row r="325" spans="1:8" x14ac:dyDescent="0.2">
      <c r="A325" s="37">
        <v>3211</v>
      </c>
      <c r="B325" s="254" t="s">
        <v>452</v>
      </c>
      <c r="C325" s="241"/>
      <c r="D325" s="241"/>
      <c r="E325" s="241"/>
      <c r="F325" s="241"/>
      <c r="G325" s="885"/>
      <c r="H325" s="2"/>
    </row>
    <row r="326" spans="1:8" x14ac:dyDescent="0.2">
      <c r="A326" s="37"/>
      <c r="B326" s="243" t="s">
        <v>92</v>
      </c>
      <c r="C326" s="241"/>
      <c r="D326" s="241"/>
      <c r="E326" s="241"/>
      <c r="F326" s="241"/>
      <c r="G326" s="885"/>
      <c r="H326" s="3"/>
    </row>
    <row r="327" spans="1:8" x14ac:dyDescent="0.2">
      <c r="A327" s="37"/>
      <c r="B327" s="5" t="s">
        <v>250</v>
      </c>
      <c r="C327" s="241"/>
      <c r="D327" s="241"/>
      <c r="E327" s="241"/>
      <c r="F327" s="241"/>
      <c r="G327" s="885"/>
      <c r="H327" s="958"/>
    </row>
    <row r="328" spans="1:8" x14ac:dyDescent="0.2">
      <c r="A328" s="37"/>
      <c r="B328" s="243" t="s">
        <v>239</v>
      </c>
      <c r="C328" s="953">
        <v>998300</v>
      </c>
      <c r="D328" s="953">
        <f>998300+77775+117348</f>
        <v>1193423</v>
      </c>
      <c r="E328" s="953">
        <f>998300+77775+117348</f>
        <v>1193423</v>
      </c>
      <c r="F328" s="953">
        <f>998300+77775+117348</f>
        <v>1193423</v>
      </c>
      <c r="G328" s="943">
        <f t="shared" si="56"/>
        <v>1</v>
      </c>
      <c r="H328" s="958" t="s">
        <v>453</v>
      </c>
    </row>
    <row r="329" spans="1:8" x14ac:dyDescent="0.2">
      <c r="A329" s="37"/>
      <c r="B329" s="986" t="s">
        <v>1132</v>
      </c>
      <c r="C329" s="953"/>
      <c r="D329" s="953"/>
      <c r="E329" s="953"/>
      <c r="F329" s="953"/>
      <c r="G329" s="885"/>
      <c r="H329" s="987"/>
    </row>
    <row r="330" spans="1:8" x14ac:dyDescent="0.2">
      <c r="A330" s="37"/>
      <c r="B330" s="986" t="s">
        <v>1133</v>
      </c>
      <c r="C330" s="953"/>
      <c r="D330" s="953"/>
      <c r="E330" s="953"/>
      <c r="F330" s="953"/>
      <c r="G330" s="885"/>
      <c r="H330" s="987"/>
    </row>
    <row r="331" spans="1:8" x14ac:dyDescent="0.2">
      <c r="A331" s="37"/>
      <c r="B331" s="981" t="s">
        <v>97</v>
      </c>
      <c r="C331" s="953"/>
      <c r="D331" s="953"/>
      <c r="E331" s="953"/>
      <c r="F331" s="953"/>
      <c r="G331" s="885"/>
      <c r="H331" s="944"/>
    </row>
    <row r="332" spans="1:8" x14ac:dyDescent="0.2">
      <c r="A332" s="37"/>
      <c r="B332" s="981" t="s">
        <v>246</v>
      </c>
      <c r="C332" s="241"/>
      <c r="D332" s="241"/>
      <c r="E332" s="241"/>
      <c r="F332" s="241"/>
      <c r="G332" s="885"/>
      <c r="H332" s="952"/>
    </row>
    <row r="333" spans="1:8" ht="12.75" thickBot="1" x14ac:dyDescent="0.25">
      <c r="A333" s="10"/>
      <c r="B333" s="904" t="s">
        <v>65</v>
      </c>
      <c r="C333" s="955"/>
      <c r="D333" s="955"/>
      <c r="E333" s="955"/>
      <c r="F333" s="955"/>
      <c r="G333" s="1079"/>
      <c r="H333" s="952"/>
    </row>
    <row r="334" spans="1:8" ht="12.75" thickBot="1" x14ac:dyDescent="0.25">
      <c r="A334" s="10"/>
      <c r="B334" s="905" t="s">
        <v>106</v>
      </c>
      <c r="C334" s="949">
        <f t="shared" ref="C334:D334" si="66">SUM(C328:C333)</f>
        <v>998300</v>
      </c>
      <c r="D334" s="949">
        <f t="shared" si="66"/>
        <v>1193423</v>
      </c>
      <c r="E334" s="949">
        <f t="shared" ref="E334:F334" si="67">SUM(E328:E333)</f>
        <v>1193423</v>
      </c>
      <c r="F334" s="949">
        <f t="shared" si="67"/>
        <v>1193423</v>
      </c>
      <c r="G334" s="1000">
        <f t="shared" si="56"/>
        <v>1</v>
      </c>
      <c r="H334" s="888"/>
    </row>
    <row r="335" spans="1:8" x14ac:dyDescent="0.2">
      <c r="A335" s="10"/>
      <c r="B335" s="988" t="s">
        <v>1064</v>
      </c>
      <c r="C335" s="976">
        <v>960200</v>
      </c>
      <c r="D335" s="1086">
        <v>960200</v>
      </c>
      <c r="E335" s="1086">
        <v>960200</v>
      </c>
      <c r="F335" s="1086">
        <v>960200</v>
      </c>
      <c r="G335" s="1090">
        <f t="shared" si="56"/>
        <v>1</v>
      </c>
      <c r="H335" s="893"/>
    </row>
    <row r="336" spans="1:8" ht="12.75" thickBot="1" x14ac:dyDescent="0.25">
      <c r="A336" s="10"/>
      <c r="B336" s="989" t="s">
        <v>1065</v>
      </c>
      <c r="C336" s="687">
        <v>38100</v>
      </c>
      <c r="D336" s="1089">
        <v>38100</v>
      </c>
      <c r="E336" s="1089">
        <v>38100</v>
      </c>
      <c r="F336" s="1089">
        <v>38100</v>
      </c>
      <c r="G336" s="1082">
        <f t="shared" si="56"/>
        <v>1</v>
      </c>
      <c r="H336" s="18"/>
    </row>
    <row r="337" spans="1:8" ht="12.75" thickBot="1" x14ac:dyDescent="0.25">
      <c r="A337" s="247"/>
      <c r="B337" s="905" t="s">
        <v>981</v>
      </c>
      <c r="C337" s="949">
        <f>SUM(C334)</f>
        <v>998300</v>
      </c>
      <c r="D337" s="949">
        <f>SUM(D334)</f>
        <v>1193423</v>
      </c>
      <c r="E337" s="949">
        <f>SUM(E334)</f>
        <v>1193423</v>
      </c>
      <c r="F337" s="949">
        <f>SUM(F334)</f>
        <v>1193423</v>
      </c>
      <c r="G337" s="1000">
        <f t="shared" si="56"/>
        <v>1</v>
      </c>
      <c r="H337" s="888"/>
    </row>
    <row r="338" spans="1:8" x14ac:dyDescent="0.2">
      <c r="A338" s="37">
        <v>3212</v>
      </c>
      <c r="B338" s="254" t="s">
        <v>346</v>
      </c>
      <c r="C338" s="241"/>
      <c r="D338" s="241"/>
      <c r="E338" s="241"/>
      <c r="F338" s="241"/>
      <c r="G338" s="885"/>
      <c r="H338" s="2"/>
    </row>
    <row r="339" spans="1:8" x14ac:dyDescent="0.2">
      <c r="A339" s="37"/>
      <c r="B339" s="243" t="s">
        <v>92</v>
      </c>
      <c r="C339" s="953"/>
      <c r="D339" s="953"/>
      <c r="E339" s="953"/>
      <c r="F339" s="953"/>
      <c r="G339" s="885"/>
      <c r="H339" s="3"/>
    </row>
    <row r="340" spans="1:8" x14ac:dyDescent="0.2">
      <c r="A340" s="37"/>
      <c r="B340" s="5" t="s">
        <v>250</v>
      </c>
      <c r="C340" s="953"/>
      <c r="D340" s="953"/>
      <c r="E340" s="953"/>
      <c r="F340" s="953"/>
      <c r="G340" s="885"/>
      <c r="H340" s="958" t="s">
        <v>1380</v>
      </c>
    </row>
    <row r="341" spans="1:8" x14ac:dyDescent="0.2">
      <c r="A341" s="37"/>
      <c r="B341" s="243" t="s">
        <v>239</v>
      </c>
      <c r="C341" s="953">
        <v>1313961</v>
      </c>
      <c r="D341" s="953">
        <f>1313961+136996-42418</f>
        <v>1408539</v>
      </c>
      <c r="E341" s="953">
        <f>1313961+136996-42418</f>
        <v>1408539</v>
      </c>
      <c r="F341" s="953">
        <f>1313961+136996-42418</f>
        <v>1408539</v>
      </c>
      <c r="G341" s="943">
        <f t="shared" si="56"/>
        <v>1</v>
      </c>
      <c r="H341" s="952"/>
    </row>
    <row r="342" spans="1:8" x14ac:dyDescent="0.2">
      <c r="A342" s="37"/>
      <c r="B342" s="981" t="s">
        <v>97</v>
      </c>
      <c r="C342" s="953"/>
      <c r="D342" s="953"/>
      <c r="E342" s="953"/>
      <c r="F342" s="953"/>
      <c r="G342" s="943"/>
      <c r="H342" s="944" t="s">
        <v>1383</v>
      </c>
    </row>
    <row r="343" spans="1:8" x14ac:dyDescent="0.2">
      <c r="A343" s="37"/>
      <c r="B343" s="981" t="s">
        <v>246</v>
      </c>
      <c r="C343" s="241"/>
      <c r="D343" s="241"/>
      <c r="E343" s="241"/>
      <c r="F343" s="241"/>
      <c r="G343" s="1081"/>
      <c r="H343" s="954"/>
    </row>
    <row r="344" spans="1:8" ht="12.75" thickBot="1" x14ac:dyDescent="0.25">
      <c r="A344" s="37"/>
      <c r="B344" s="904" t="s">
        <v>65</v>
      </c>
      <c r="C344" s="955"/>
      <c r="D344" s="955"/>
      <c r="E344" s="955"/>
      <c r="F344" s="955"/>
      <c r="G344" s="1080"/>
      <c r="H344" s="886"/>
    </row>
    <row r="345" spans="1:8" ht="12.75" thickBot="1" x14ac:dyDescent="0.25">
      <c r="A345" s="10"/>
      <c r="B345" s="905" t="s">
        <v>106</v>
      </c>
      <c r="C345" s="949">
        <f t="shared" ref="C345:D345" si="68">SUM(C339:C344)</f>
        <v>1313961</v>
      </c>
      <c r="D345" s="949">
        <f t="shared" si="68"/>
        <v>1408539</v>
      </c>
      <c r="E345" s="949">
        <f t="shared" ref="E345:F345" si="69">SUM(E339:E344)</f>
        <v>1408539</v>
      </c>
      <c r="F345" s="949">
        <f t="shared" si="69"/>
        <v>1408539</v>
      </c>
      <c r="G345" s="1000">
        <f t="shared" ref="G345:G406" si="70">F345/E345</f>
        <v>1</v>
      </c>
      <c r="H345" s="888"/>
    </row>
    <row r="346" spans="1:8" ht="12.75" thickBot="1" x14ac:dyDescent="0.25">
      <c r="A346" s="247"/>
      <c r="B346" s="990" t="s">
        <v>1066</v>
      </c>
      <c r="C346" s="991">
        <v>1061974</v>
      </c>
      <c r="D346" s="1091">
        <v>1061974</v>
      </c>
      <c r="E346" s="1091">
        <v>1061974</v>
      </c>
      <c r="F346" s="1091">
        <v>1061974</v>
      </c>
      <c r="G346" s="1092">
        <f t="shared" si="70"/>
        <v>1</v>
      </c>
      <c r="H346" s="18"/>
    </row>
    <row r="347" spans="1:8" x14ac:dyDescent="0.2">
      <c r="A347" s="37">
        <v>3213</v>
      </c>
      <c r="B347" s="250" t="s">
        <v>769</v>
      </c>
      <c r="C347" s="241"/>
      <c r="D347" s="241"/>
      <c r="E347" s="241"/>
      <c r="F347" s="241"/>
      <c r="G347" s="885"/>
      <c r="H347" s="2"/>
    </row>
    <row r="348" spans="1:8" x14ac:dyDescent="0.2">
      <c r="A348" s="37"/>
      <c r="B348" s="243" t="s">
        <v>92</v>
      </c>
      <c r="C348" s="241"/>
      <c r="D348" s="241"/>
      <c r="E348" s="241"/>
      <c r="F348" s="241"/>
      <c r="G348" s="885"/>
      <c r="H348" s="3"/>
    </row>
    <row r="349" spans="1:8" x14ac:dyDescent="0.2">
      <c r="A349" s="37"/>
      <c r="B349" s="5" t="s">
        <v>250</v>
      </c>
      <c r="C349" s="241"/>
      <c r="D349" s="241"/>
      <c r="E349" s="241"/>
      <c r="F349" s="241"/>
      <c r="G349" s="885"/>
      <c r="H349" s="952"/>
    </row>
    <row r="350" spans="1:8" x14ac:dyDescent="0.2">
      <c r="A350" s="37"/>
      <c r="B350" s="243" t="s">
        <v>239</v>
      </c>
      <c r="C350" s="953">
        <f>520000+70000</f>
        <v>590000</v>
      </c>
      <c r="D350" s="953">
        <f>590000+24777</f>
        <v>614777</v>
      </c>
      <c r="E350" s="953">
        <f>590000+24777</f>
        <v>614777</v>
      </c>
      <c r="F350" s="953">
        <f>614777+15000</f>
        <v>629777</v>
      </c>
      <c r="G350" s="1081">
        <f t="shared" si="70"/>
        <v>1.024399091052528</v>
      </c>
      <c r="H350" s="954"/>
    </row>
    <row r="351" spans="1:8" x14ac:dyDescent="0.2">
      <c r="A351" s="37"/>
      <c r="B351" s="981" t="s">
        <v>97</v>
      </c>
      <c r="C351" s="953"/>
      <c r="D351" s="953"/>
      <c r="E351" s="953"/>
      <c r="F351" s="953"/>
      <c r="G351" s="943"/>
      <c r="H351" s="954"/>
    </row>
    <row r="352" spans="1:8" x14ac:dyDescent="0.2">
      <c r="A352" s="37"/>
      <c r="B352" s="981" t="s">
        <v>246</v>
      </c>
      <c r="C352" s="241"/>
      <c r="D352" s="241"/>
      <c r="E352" s="241"/>
      <c r="F352" s="241"/>
      <c r="G352" s="943"/>
      <c r="H352" s="3"/>
    </row>
    <row r="353" spans="1:8" ht="12.75" thickBot="1" x14ac:dyDescent="0.25">
      <c r="A353" s="37"/>
      <c r="B353" s="904" t="s">
        <v>65</v>
      </c>
      <c r="C353" s="955"/>
      <c r="D353" s="955"/>
      <c r="E353" s="955"/>
      <c r="F353" s="955"/>
      <c r="G353" s="1082"/>
      <c r="H353" s="886"/>
    </row>
    <row r="354" spans="1:8" ht="12.75" thickBot="1" x14ac:dyDescent="0.25">
      <c r="A354" s="247"/>
      <c r="B354" s="905" t="s">
        <v>106</v>
      </c>
      <c r="C354" s="949">
        <f t="shared" ref="C354:D354" si="71">SUM(C350:C353)</f>
        <v>590000</v>
      </c>
      <c r="D354" s="949">
        <f t="shared" si="71"/>
        <v>614777</v>
      </c>
      <c r="E354" s="949">
        <f t="shared" ref="E354:F354" si="72">SUM(E350:E353)</f>
        <v>614777</v>
      </c>
      <c r="F354" s="949">
        <f t="shared" si="72"/>
        <v>629777</v>
      </c>
      <c r="G354" s="1000">
        <f t="shared" si="70"/>
        <v>1.024399091052528</v>
      </c>
      <c r="H354" s="18"/>
    </row>
    <row r="355" spans="1:8" x14ac:dyDescent="0.2">
      <c r="A355" s="895">
        <v>3216</v>
      </c>
      <c r="B355" s="935" t="s">
        <v>25</v>
      </c>
      <c r="C355" s="908"/>
      <c r="D355" s="908"/>
      <c r="E355" s="908"/>
      <c r="F355" s="908"/>
      <c r="G355" s="885"/>
      <c r="H355" s="992"/>
    </row>
    <row r="356" spans="1:8" x14ac:dyDescent="0.2">
      <c r="A356" s="895"/>
      <c r="B356" s="900" t="s">
        <v>92</v>
      </c>
      <c r="C356" s="908"/>
      <c r="D356" s="908"/>
      <c r="E356" s="908"/>
      <c r="F356" s="908"/>
      <c r="G356" s="885"/>
      <c r="H356" s="968"/>
    </row>
    <row r="357" spans="1:8" x14ac:dyDescent="0.2">
      <c r="A357" s="895"/>
      <c r="B357" s="898" t="s">
        <v>250</v>
      </c>
      <c r="C357" s="908"/>
      <c r="D357" s="908"/>
      <c r="E357" s="908"/>
      <c r="F357" s="908"/>
      <c r="G357" s="885"/>
      <c r="H357" s="958" t="s">
        <v>1380</v>
      </c>
    </row>
    <row r="358" spans="1:8" x14ac:dyDescent="0.2">
      <c r="A358" s="895"/>
      <c r="B358" s="900" t="s">
        <v>239</v>
      </c>
      <c r="C358" s="910">
        <f>283000+35000</f>
        <v>318000</v>
      </c>
      <c r="D358" s="910">
        <f>318000+51910</f>
        <v>369910</v>
      </c>
      <c r="E358" s="910">
        <f>318000+51910</f>
        <v>369910</v>
      </c>
      <c r="F358" s="910">
        <f>318000+51910</f>
        <v>369910</v>
      </c>
      <c r="G358" s="1081">
        <f t="shared" si="70"/>
        <v>1</v>
      </c>
      <c r="H358" s="902"/>
    </row>
    <row r="359" spans="1:8" x14ac:dyDescent="0.2">
      <c r="A359" s="895"/>
      <c r="B359" s="993" t="s">
        <v>97</v>
      </c>
      <c r="C359" s="910"/>
      <c r="D359" s="910"/>
      <c r="E359" s="910"/>
      <c r="F359" s="910"/>
      <c r="G359" s="943"/>
      <c r="H359" s="969"/>
    </row>
    <row r="360" spans="1:8" x14ac:dyDescent="0.2">
      <c r="A360" s="895"/>
      <c r="B360" s="981" t="s">
        <v>246</v>
      </c>
      <c r="C360" s="910"/>
      <c r="D360" s="910"/>
      <c r="E360" s="910"/>
      <c r="F360" s="910"/>
      <c r="G360" s="943"/>
      <c r="H360" s="944" t="s">
        <v>1383</v>
      </c>
    </row>
    <row r="361" spans="1:8" ht="12.75" thickBot="1" x14ac:dyDescent="0.25">
      <c r="A361" s="895"/>
      <c r="B361" s="904" t="s">
        <v>212</v>
      </c>
      <c r="C361" s="934"/>
      <c r="D361" s="934"/>
      <c r="E361" s="934"/>
      <c r="F361" s="934"/>
      <c r="G361" s="1082"/>
      <c r="H361" s="994"/>
    </row>
    <row r="362" spans="1:8" ht="12.75" thickBot="1" x14ac:dyDescent="0.25">
      <c r="A362" s="154"/>
      <c r="B362" s="905" t="s">
        <v>106</v>
      </c>
      <c r="C362" s="995">
        <f>SUM(C358:C361)</f>
        <v>318000</v>
      </c>
      <c r="D362" s="995">
        <f>SUM(D358:D361)</f>
        <v>369910</v>
      </c>
      <c r="E362" s="995">
        <f>SUM(E358:E361)</f>
        <v>369910</v>
      </c>
      <c r="F362" s="995">
        <f>SUM(F358:F361)</f>
        <v>369910</v>
      </c>
      <c r="G362" s="1000">
        <f t="shared" si="70"/>
        <v>1</v>
      </c>
      <c r="H362" s="966"/>
    </row>
    <row r="363" spans="1:8" x14ac:dyDescent="0.2">
      <c r="A363" s="154"/>
      <c r="B363" s="975" t="s">
        <v>1076</v>
      </c>
      <c r="C363" s="996">
        <v>283000</v>
      </c>
      <c r="D363" s="1093">
        <v>283000</v>
      </c>
      <c r="E363" s="1093">
        <v>283000</v>
      </c>
      <c r="F363" s="1093">
        <v>283000</v>
      </c>
      <c r="G363" s="1090">
        <f t="shared" si="70"/>
        <v>1</v>
      </c>
      <c r="H363" s="997"/>
    </row>
    <row r="364" spans="1:8" ht="12.75" thickBot="1" x14ac:dyDescent="0.25">
      <c r="A364" s="926"/>
      <c r="B364" s="978" t="s">
        <v>1077</v>
      </c>
      <c r="C364" s="998">
        <v>35000</v>
      </c>
      <c r="D364" s="1094">
        <v>35000</v>
      </c>
      <c r="E364" s="1110">
        <v>35000</v>
      </c>
      <c r="F364" s="1110">
        <v>35000</v>
      </c>
      <c r="G364" s="1082">
        <f t="shared" si="70"/>
        <v>1</v>
      </c>
      <c r="H364" s="968"/>
    </row>
    <row r="365" spans="1:8" x14ac:dyDescent="0.2">
      <c r="A365" s="895">
        <v>3217</v>
      </c>
      <c r="B365" s="935" t="s">
        <v>1141</v>
      </c>
      <c r="C365" s="908"/>
      <c r="D365" s="908"/>
      <c r="E365" s="908"/>
      <c r="F365" s="908"/>
      <c r="G365" s="885"/>
      <c r="H365" s="992"/>
    </row>
    <row r="366" spans="1:8" x14ac:dyDescent="0.2">
      <c r="A366" s="895"/>
      <c r="B366" s="900" t="s">
        <v>92</v>
      </c>
      <c r="C366" s="908"/>
      <c r="D366" s="908"/>
      <c r="E366" s="908"/>
      <c r="F366" s="908"/>
      <c r="G366" s="885"/>
      <c r="H366" s="968"/>
    </row>
    <row r="367" spans="1:8" x14ac:dyDescent="0.2">
      <c r="A367" s="895"/>
      <c r="B367" s="898" t="s">
        <v>250</v>
      </c>
      <c r="C367" s="908"/>
      <c r="D367" s="908"/>
      <c r="E367" s="908"/>
      <c r="F367" s="908"/>
      <c r="G367" s="885"/>
      <c r="H367" s="958" t="s">
        <v>1380</v>
      </c>
    </row>
    <row r="368" spans="1:8" x14ac:dyDescent="0.2">
      <c r="A368" s="895"/>
      <c r="B368" s="900" t="s">
        <v>239</v>
      </c>
      <c r="C368" s="910">
        <v>220617</v>
      </c>
      <c r="D368" s="910">
        <f>220617+14951</f>
        <v>235568</v>
      </c>
      <c r="E368" s="910">
        <f>220617+14951</f>
        <v>235568</v>
      </c>
      <c r="F368" s="910">
        <f>220617+14951</f>
        <v>235568</v>
      </c>
      <c r="G368" s="1081">
        <f t="shared" si="70"/>
        <v>1</v>
      </c>
      <c r="H368" s="902"/>
    </row>
    <row r="369" spans="1:8" x14ac:dyDescent="0.2">
      <c r="A369" s="895"/>
      <c r="B369" s="993" t="s">
        <v>97</v>
      </c>
      <c r="C369" s="910"/>
      <c r="D369" s="910"/>
      <c r="E369" s="910"/>
      <c r="F369" s="910"/>
      <c r="G369" s="943"/>
      <c r="H369" s="969"/>
    </row>
    <row r="370" spans="1:8" x14ac:dyDescent="0.2">
      <c r="A370" s="895"/>
      <c r="B370" s="981" t="s">
        <v>246</v>
      </c>
      <c r="C370" s="910"/>
      <c r="D370" s="910"/>
      <c r="E370" s="910"/>
      <c r="F370" s="910"/>
      <c r="G370" s="943"/>
      <c r="H370" s="944" t="s">
        <v>1383</v>
      </c>
    </row>
    <row r="371" spans="1:8" ht="12.75" thickBot="1" x14ac:dyDescent="0.25">
      <c r="A371" s="895"/>
      <c r="B371" s="904" t="s">
        <v>212</v>
      </c>
      <c r="C371" s="934"/>
      <c r="D371" s="934"/>
      <c r="E371" s="934"/>
      <c r="F371" s="934"/>
      <c r="G371" s="1082"/>
      <c r="H371" s="994"/>
    </row>
    <row r="372" spans="1:8" ht="12.75" thickBot="1" x14ac:dyDescent="0.25">
      <c r="A372" s="154"/>
      <c r="B372" s="905" t="s">
        <v>106</v>
      </c>
      <c r="C372" s="995">
        <f t="shared" ref="C372:D372" si="73">SUM(C368:C371)</f>
        <v>220617</v>
      </c>
      <c r="D372" s="995">
        <f t="shared" si="73"/>
        <v>235568</v>
      </c>
      <c r="E372" s="995">
        <f t="shared" ref="E372:F372" si="74">SUM(E368:E371)</f>
        <v>235568</v>
      </c>
      <c r="F372" s="995">
        <f t="shared" si="74"/>
        <v>235568</v>
      </c>
      <c r="G372" s="1000">
        <f t="shared" si="70"/>
        <v>1</v>
      </c>
      <c r="H372" s="966"/>
    </row>
    <row r="373" spans="1:8" x14ac:dyDescent="0.2">
      <c r="A373" s="154"/>
      <c r="B373" s="975" t="s">
        <v>1070</v>
      </c>
      <c r="C373" s="996">
        <v>90869</v>
      </c>
      <c r="D373" s="1093">
        <v>90869</v>
      </c>
      <c r="E373" s="1093">
        <v>90869</v>
      </c>
      <c r="F373" s="1093">
        <v>90869</v>
      </c>
      <c r="G373" s="1095">
        <f t="shared" si="70"/>
        <v>1</v>
      </c>
      <c r="H373" s="997"/>
    </row>
    <row r="374" spans="1:8" x14ac:dyDescent="0.2">
      <c r="A374" s="895"/>
      <c r="B374" s="977" t="s">
        <v>1071</v>
      </c>
      <c r="C374" s="996">
        <v>36000</v>
      </c>
      <c r="D374" s="1093">
        <v>36000</v>
      </c>
      <c r="E374" s="1093">
        <v>36000</v>
      </c>
      <c r="F374" s="1093">
        <v>36000</v>
      </c>
      <c r="G374" s="1085">
        <f t="shared" si="70"/>
        <v>1</v>
      </c>
      <c r="H374" s="968"/>
    </row>
    <row r="375" spans="1:8" x14ac:dyDescent="0.2">
      <c r="A375" s="895"/>
      <c r="B375" s="977" t="s">
        <v>1072</v>
      </c>
      <c r="C375" s="996">
        <v>64451</v>
      </c>
      <c r="D375" s="1093">
        <v>64451</v>
      </c>
      <c r="E375" s="1093">
        <v>64451</v>
      </c>
      <c r="F375" s="1093">
        <v>64451</v>
      </c>
      <c r="G375" s="1085">
        <f t="shared" si="70"/>
        <v>1</v>
      </c>
      <c r="H375" s="968"/>
    </row>
    <row r="376" spans="1:8" x14ac:dyDescent="0.2">
      <c r="A376" s="895"/>
      <c r="B376" s="977" t="s">
        <v>1073</v>
      </c>
      <c r="C376" s="996">
        <v>15873</v>
      </c>
      <c r="D376" s="1093">
        <v>15873</v>
      </c>
      <c r="E376" s="1093">
        <v>15873</v>
      </c>
      <c r="F376" s="1093">
        <v>15873</v>
      </c>
      <c r="G376" s="1085">
        <f t="shared" si="70"/>
        <v>1</v>
      </c>
      <c r="H376" s="968"/>
    </row>
    <row r="377" spans="1:8" x14ac:dyDescent="0.2">
      <c r="A377" s="895"/>
      <c r="B377" s="977" t="s">
        <v>1074</v>
      </c>
      <c r="C377" s="996">
        <v>7000</v>
      </c>
      <c r="D377" s="1093">
        <v>7000</v>
      </c>
      <c r="E377" s="1093">
        <v>7000</v>
      </c>
      <c r="F377" s="1093">
        <v>7000</v>
      </c>
      <c r="G377" s="1085">
        <f t="shared" si="70"/>
        <v>1</v>
      </c>
      <c r="H377" s="968"/>
    </row>
    <row r="378" spans="1:8" ht="12.75" thickBot="1" x14ac:dyDescent="0.25">
      <c r="A378" s="926"/>
      <c r="B378" s="977" t="s">
        <v>1130</v>
      </c>
      <c r="C378" s="996">
        <v>6424</v>
      </c>
      <c r="D378" s="1093">
        <v>6424</v>
      </c>
      <c r="E378" s="1111">
        <v>6424</v>
      </c>
      <c r="F378" s="1111">
        <v>6424</v>
      </c>
      <c r="G378" s="1096">
        <f t="shared" si="70"/>
        <v>1</v>
      </c>
      <c r="H378" s="968"/>
    </row>
    <row r="379" spans="1:8" ht="11.25" customHeight="1" thickBot="1" x14ac:dyDescent="0.25">
      <c r="A379" s="37">
        <v>3220</v>
      </c>
      <c r="B379" s="244" t="s">
        <v>309</v>
      </c>
      <c r="C379" s="949">
        <f>SUM(C397+C388+C406+C433)+C415+C424</f>
        <v>28100</v>
      </c>
      <c r="D379" s="949">
        <f>D397+D406+D415+D424+D433</f>
        <v>47184</v>
      </c>
      <c r="E379" s="949">
        <f>E397+E406+E415+E424+E433</f>
        <v>65004</v>
      </c>
      <c r="F379" s="949">
        <f>F397+F406+F415+F424+F433+F442</f>
        <v>71642</v>
      </c>
      <c r="G379" s="1000">
        <f t="shared" si="70"/>
        <v>1.10211679281275</v>
      </c>
      <c r="H379" s="888"/>
    </row>
    <row r="380" spans="1:8" ht="5.25" hidden="1" customHeight="1" thickBot="1" x14ac:dyDescent="0.25">
      <c r="A380" s="37">
        <v>3221</v>
      </c>
      <c r="B380" s="249" t="s">
        <v>466</v>
      </c>
      <c r="C380" s="241"/>
      <c r="D380" s="241"/>
      <c r="E380" s="241"/>
      <c r="F380" s="241"/>
      <c r="G380" s="885" t="e">
        <f t="shared" si="70"/>
        <v>#DIV/0!</v>
      </c>
      <c r="H380" s="893"/>
    </row>
    <row r="381" spans="1:8" ht="12.75" hidden="1" thickBot="1" x14ac:dyDescent="0.25">
      <c r="A381" s="37"/>
      <c r="B381" s="34" t="s">
        <v>92</v>
      </c>
      <c r="C381" s="953">
        <v>0</v>
      </c>
      <c r="D381" s="953">
        <v>0</v>
      </c>
      <c r="E381" s="953">
        <v>0</v>
      </c>
      <c r="F381" s="953">
        <v>0</v>
      </c>
      <c r="G381" s="885" t="e">
        <f t="shared" si="70"/>
        <v>#DIV/0!</v>
      </c>
      <c r="H381" s="2"/>
    </row>
    <row r="382" spans="1:8" ht="12.75" hidden="1" thickBot="1" x14ac:dyDescent="0.25">
      <c r="A382" s="37"/>
      <c r="B382" s="5" t="s">
        <v>250</v>
      </c>
      <c r="C382" s="953">
        <v>0</v>
      </c>
      <c r="D382" s="953">
        <v>0</v>
      </c>
      <c r="E382" s="953">
        <v>0</v>
      </c>
      <c r="F382" s="953">
        <v>0</v>
      </c>
      <c r="G382" s="885" t="e">
        <f t="shared" si="70"/>
        <v>#DIV/0!</v>
      </c>
      <c r="H382" s="938"/>
    </row>
    <row r="383" spans="1:8" ht="12.75" hidden="1" thickBot="1" x14ac:dyDescent="0.25">
      <c r="A383" s="37"/>
      <c r="B383" s="243" t="s">
        <v>239</v>
      </c>
      <c r="C383" s="953">
        <v>0</v>
      </c>
      <c r="D383" s="953">
        <v>0</v>
      </c>
      <c r="E383" s="953">
        <v>0</v>
      </c>
      <c r="F383" s="953">
        <v>0</v>
      </c>
      <c r="G383" s="885" t="e">
        <f t="shared" si="70"/>
        <v>#DIV/0!</v>
      </c>
      <c r="H383" s="954"/>
    </row>
    <row r="384" spans="1:8" ht="12.75" hidden="1" thickBot="1" x14ac:dyDescent="0.25">
      <c r="A384" s="37"/>
      <c r="B384" s="6" t="s">
        <v>97</v>
      </c>
      <c r="C384" s="953"/>
      <c r="D384" s="953"/>
      <c r="E384" s="953"/>
      <c r="F384" s="953"/>
      <c r="G384" s="885" t="e">
        <f t="shared" si="70"/>
        <v>#DIV/0!</v>
      </c>
      <c r="H384" s="954"/>
    </row>
    <row r="385" spans="1:8" ht="12.75" hidden="1" thickBot="1" x14ac:dyDescent="0.25">
      <c r="A385" s="37"/>
      <c r="B385" s="6" t="s">
        <v>246</v>
      </c>
      <c r="C385" s="241"/>
      <c r="D385" s="241"/>
      <c r="E385" s="241"/>
      <c r="F385" s="241"/>
      <c r="G385" s="885" t="e">
        <f t="shared" si="70"/>
        <v>#DIV/0!</v>
      </c>
      <c r="H385" s="3"/>
    </row>
    <row r="386" spans="1:8" ht="12.75" hidden="1" thickBot="1" x14ac:dyDescent="0.25">
      <c r="A386" s="37"/>
      <c r="B386" s="6" t="s">
        <v>464</v>
      </c>
      <c r="C386" s="953"/>
      <c r="D386" s="953"/>
      <c r="E386" s="953"/>
      <c r="F386" s="953"/>
      <c r="G386" s="885" t="e">
        <f t="shared" si="70"/>
        <v>#DIV/0!</v>
      </c>
      <c r="H386" s="980"/>
    </row>
    <row r="387" spans="1:8" ht="12.75" hidden="1" thickBot="1" x14ac:dyDescent="0.25">
      <c r="A387" s="37"/>
      <c r="B387" s="904" t="s">
        <v>228</v>
      </c>
      <c r="C387" s="962"/>
      <c r="D387" s="962"/>
      <c r="E387" s="686"/>
      <c r="F387" s="686"/>
      <c r="G387" s="885" t="e">
        <f t="shared" si="70"/>
        <v>#DIV/0!</v>
      </c>
      <c r="H387" s="886"/>
    </row>
    <row r="388" spans="1:8" ht="12.75" hidden="1" thickBot="1" x14ac:dyDescent="0.25">
      <c r="A388" s="247"/>
      <c r="B388" s="905" t="s">
        <v>106</v>
      </c>
      <c r="C388" s="949">
        <f t="shared" ref="C388:D388" si="75">SUM(C381:C387)</f>
        <v>0</v>
      </c>
      <c r="D388" s="949">
        <f t="shared" si="75"/>
        <v>0</v>
      </c>
      <c r="E388" s="270">
        <f t="shared" ref="E388:F388" si="76">SUM(E381:E387)</f>
        <v>0</v>
      </c>
      <c r="F388" s="270">
        <f t="shared" si="76"/>
        <v>0</v>
      </c>
      <c r="G388" s="885" t="e">
        <f t="shared" si="70"/>
        <v>#DIV/0!</v>
      </c>
      <c r="H388" s="888"/>
    </row>
    <row r="389" spans="1:8" x14ac:dyDescent="0.2">
      <c r="A389" s="37">
        <v>3223</v>
      </c>
      <c r="B389" s="249" t="s">
        <v>58</v>
      </c>
      <c r="C389" s="241"/>
      <c r="D389" s="241"/>
      <c r="E389" s="241"/>
      <c r="F389" s="241"/>
      <c r="G389" s="885"/>
      <c r="H389" s="893"/>
    </row>
    <row r="390" spans="1:8" x14ac:dyDescent="0.2">
      <c r="A390" s="37"/>
      <c r="B390" s="34" t="s">
        <v>92</v>
      </c>
      <c r="C390" s="953"/>
      <c r="D390" s="953"/>
      <c r="E390" s="953">
        <v>320</v>
      </c>
      <c r="F390" s="953">
        <v>320</v>
      </c>
      <c r="G390" s="885">
        <f t="shared" si="70"/>
        <v>1</v>
      </c>
      <c r="H390" s="2"/>
    </row>
    <row r="391" spans="1:8" x14ac:dyDescent="0.2">
      <c r="A391" s="37"/>
      <c r="B391" s="5" t="s">
        <v>250</v>
      </c>
      <c r="C391" s="953"/>
      <c r="D391" s="953"/>
      <c r="E391" s="953">
        <v>42</v>
      </c>
      <c r="F391" s="953">
        <v>42</v>
      </c>
      <c r="G391" s="885">
        <f t="shared" si="70"/>
        <v>1</v>
      </c>
      <c r="H391" s="938"/>
    </row>
    <row r="392" spans="1:8" x14ac:dyDescent="0.2">
      <c r="A392" s="37"/>
      <c r="B392" s="243" t="s">
        <v>239</v>
      </c>
      <c r="C392" s="953">
        <f>3000+20000</f>
        <v>23000</v>
      </c>
      <c r="D392" s="953">
        <f>3000+20000</f>
        <v>23000</v>
      </c>
      <c r="E392" s="953">
        <f>23000+4738</f>
        <v>27738</v>
      </c>
      <c r="F392" s="953">
        <f>23000+4738</f>
        <v>27738</v>
      </c>
      <c r="G392" s="943">
        <f t="shared" si="70"/>
        <v>1</v>
      </c>
      <c r="H392" s="954"/>
    </row>
    <row r="393" spans="1:8" x14ac:dyDescent="0.2">
      <c r="A393" s="37"/>
      <c r="B393" s="6" t="s">
        <v>97</v>
      </c>
      <c r="C393" s="953"/>
      <c r="D393" s="953"/>
      <c r="E393" s="953"/>
      <c r="F393" s="953"/>
      <c r="G393" s="943"/>
      <c r="H393" s="954"/>
    </row>
    <row r="394" spans="1:8" x14ac:dyDescent="0.2">
      <c r="A394" s="37"/>
      <c r="B394" s="6" t="s">
        <v>246</v>
      </c>
      <c r="C394" s="953"/>
      <c r="D394" s="953"/>
      <c r="E394" s="953"/>
      <c r="F394" s="953"/>
      <c r="G394" s="943"/>
      <c r="H394" s="3"/>
    </row>
    <row r="395" spans="1:8" x14ac:dyDescent="0.2">
      <c r="A395" s="37"/>
      <c r="B395" s="6" t="s">
        <v>464</v>
      </c>
      <c r="C395" s="953"/>
      <c r="D395" s="953"/>
      <c r="E395" s="953"/>
      <c r="F395" s="953"/>
      <c r="G395" s="943"/>
      <c r="H395" s="980"/>
    </row>
    <row r="396" spans="1:8" ht="12.75" thickBot="1" x14ac:dyDescent="0.25">
      <c r="A396" s="37"/>
      <c r="B396" s="904" t="s">
        <v>228</v>
      </c>
      <c r="C396" s="962">
        <f>5200-100</f>
        <v>5100</v>
      </c>
      <c r="D396" s="962">
        <f>5200-100</f>
        <v>5100</v>
      </c>
      <c r="E396" s="962">
        <f>5100-5100</f>
        <v>0</v>
      </c>
      <c r="F396" s="962">
        <f>5100-5100</f>
        <v>0</v>
      </c>
      <c r="G396" s="1083"/>
      <c r="H396" s="999"/>
    </row>
    <row r="397" spans="1:8" ht="12.75" thickBot="1" x14ac:dyDescent="0.25">
      <c r="A397" s="247"/>
      <c r="B397" s="905" t="s">
        <v>106</v>
      </c>
      <c r="C397" s="949">
        <f t="shared" ref="C397:D397" si="77">SUM(C390:C396)</f>
        <v>28100</v>
      </c>
      <c r="D397" s="949">
        <f t="shared" si="77"/>
        <v>28100</v>
      </c>
      <c r="E397" s="949">
        <f t="shared" ref="E397:F397" si="78">SUM(E390:E396)</f>
        <v>28100</v>
      </c>
      <c r="F397" s="949">
        <f t="shared" si="78"/>
        <v>28100</v>
      </c>
      <c r="G397" s="1000">
        <f t="shared" si="70"/>
        <v>1</v>
      </c>
      <c r="H397" s="888"/>
    </row>
    <row r="398" spans="1:8" x14ac:dyDescent="0.2">
      <c r="A398" s="37">
        <v>3222</v>
      </c>
      <c r="B398" s="249" t="s">
        <v>1015</v>
      </c>
      <c r="C398" s="241"/>
      <c r="D398" s="241"/>
      <c r="E398" s="241"/>
      <c r="F398" s="241"/>
      <c r="G398" s="885"/>
      <c r="H398" s="893"/>
    </row>
    <row r="399" spans="1:8" x14ac:dyDescent="0.2">
      <c r="A399" s="37"/>
      <c r="B399" s="34" t="s">
        <v>92</v>
      </c>
      <c r="C399" s="953"/>
      <c r="D399" s="953">
        <v>76</v>
      </c>
      <c r="E399" s="953">
        <v>76</v>
      </c>
      <c r="F399" s="953">
        <v>76</v>
      </c>
      <c r="G399" s="943">
        <f t="shared" si="70"/>
        <v>1</v>
      </c>
      <c r="H399" s="2"/>
    </row>
    <row r="400" spans="1:8" x14ac:dyDescent="0.2">
      <c r="A400" s="37"/>
      <c r="B400" s="5" t="s">
        <v>250</v>
      </c>
      <c r="C400" s="953"/>
      <c r="D400" s="953">
        <v>11</v>
      </c>
      <c r="E400" s="953">
        <v>11</v>
      </c>
      <c r="F400" s="953">
        <v>11</v>
      </c>
      <c r="G400" s="943">
        <f t="shared" si="70"/>
        <v>1</v>
      </c>
      <c r="H400" s="938"/>
    </row>
    <row r="401" spans="1:8" x14ac:dyDescent="0.2">
      <c r="A401" s="37"/>
      <c r="B401" s="243" t="s">
        <v>239</v>
      </c>
      <c r="C401" s="953"/>
      <c r="D401" s="953">
        <v>100</v>
      </c>
      <c r="E401" s="953">
        <v>100</v>
      </c>
      <c r="F401" s="953">
        <v>100</v>
      </c>
      <c r="G401" s="943">
        <f t="shared" si="70"/>
        <v>1</v>
      </c>
      <c r="H401" s="954"/>
    </row>
    <row r="402" spans="1:8" x14ac:dyDescent="0.2">
      <c r="A402" s="37"/>
      <c r="B402" s="6" t="s">
        <v>97</v>
      </c>
      <c r="C402" s="953"/>
      <c r="D402" s="953"/>
      <c r="E402" s="953"/>
      <c r="F402" s="953"/>
      <c r="G402" s="885"/>
      <c r="H402" s="954"/>
    </row>
    <row r="403" spans="1:8" x14ac:dyDescent="0.2">
      <c r="A403" s="37"/>
      <c r="B403" s="6" t="s">
        <v>246</v>
      </c>
      <c r="C403" s="241"/>
      <c r="D403" s="241"/>
      <c r="E403" s="241"/>
      <c r="F403" s="241"/>
      <c r="G403" s="885"/>
      <c r="H403" s="3"/>
    </row>
    <row r="404" spans="1:8" x14ac:dyDescent="0.2">
      <c r="A404" s="37"/>
      <c r="B404" s="6" t="s">
        <v>464</v>
      </c>
      <c r="C404" s="953"/>
      <c r="D404" s="953"/>
      <c r="E404" s="953"/>
      <c r="F404" s="953"/>
      <c r="G404" s="885"/>
      <c r="H404" s="980"/>
    </row>
    <row r="405" spans="1:8" ht="12.75" thickBot="1" x14ac:dyDescent="0.25">
      <c r="A405" s="37"/>
      <c r="B405" s="904" t="s">
        <v>228</v>
      </c>
      <c r="C405" s="962"/>
      <c r="D405" s="962"/>
      <c r="E405" s="962"/>
      <c r="F405" s="962"/>
      <c r="G405" s="1079"/>
      <c r="H405" s="999"/>
    </row>
    <row r="406" spans="1:8" ht="12.75" thickBot="1" x14ac:dyDescent="0.25">
      <c r="A406" s="247"/>
      <c r="B406" s="905" t="s">
        <v>106</v>
      </c>
      <c r="C406" s="949"/>
      <c r="D406" s="949">
        <f>SUM(D399:D405)</f>
        <v>187</v>
      </c>
      <c r="E406" s="949">
        <f>SUM(E399:E405)</f>
        <v>187</v>
      </c>
      <c r="F406" s="949">
        <f>SUM(F399:F405)</f>
        <v>187</v>
      </c>
      <c r="G406" s="1000">
        <f t="shared" si="70"/>
        <v>1</v>
      </c>
      <c r="H406" s="888"/>
    </row>
    <row r="407" spans="1:8" x14ac:dyDescent="0.2">
      <c r="A407" s="37">
        <v>3224</v>
      </c>
      <c r="B407" s="249" t="s">
        <v>1115</v>
      </c>
      <c r="C407" s="241"/>
      <c r="D407" s="241"/>
      <c r="E407" s="241"/>
      <c r="F407" s="241"/>
      <c r="G407" s="885"/>
      <c r="H407" s="893"/>
    </row>
    <row r="408" spans="1:8" x14ac:dyDescent="0.2">
      <c r="A408" s="37"/>
      <c r="B408" s="34" t="s">
        <v>92</v>
      </c>
      <c r="C408" s="953"/>
      <c r="D408" s="953"/>
      <c r="E408" s="953"/>
      <c r="F408" s="953"/>
      <c r="G408" s="885"/>
      <c r="H408" s="2"/>
    </row>
    <row r="409" spans="1:8" x14ac:dyDescent="0.2">
      <c r="A409" s="37"/>
      <c r="B409" s="5" t="s">
        <v>250</v>
      </c>
      <c r="C409" s="953"/>
      <c r="D409" s="953"/>
      <c r="E409" s="953"/>
      <c r="F409" s="953"/>
      <c r="G409" s="885"/>
      <c r="H409" s="938"/>
    </row>
    <row r="410" spans="1:8" x14ac:dyDescent="0.2">
      <c r="A410" s="37"/>
      <c r="B410" s="243" t="s">
        <v>239</v>
      </c>
      <c r="C410" s="953"/>
      <c r="D410" s="953"/>
      <c r="E410" s="953"/>
      <c r="F410" s="953"/>
      <c r="G410" s="885"/>
      <c r="H410" s="954"/>
    </row>
    <row r="411" spans="1:8" x14ac:dyDescent="0.2">
      <c r="A411" s="37"/>
      <c r="B411" s="6" t="s">
        <v>97</v>
      </c>
      <c r="C411" s="953"/>
      <c r="D411" s="953"/>
      <c r="E411" s="953"/>
      <c r="F411" s="953"/>
      <c r="G411" s="885"/>
      <c r="H411" s="954"/>
    </row>
    <row r="412" spans="1:8" x14ac:dyDescent="0.2">
      <c r="A412" s="37"/>
      <c r="B412" s="6" t="s">
        <v>246</v>
      </c>
      <c r="C412" s="953"/>
      <c r="D412" s="953"/>
      <c r="E412" s="953"/>
      <c r="F412" s="953"/>
      <c r="G412" s="885"/>
      <c r="H412" s="3"/>
    </row>
    <row r="413" spans="1:8" x14ac:dyDescent="0.2">
      <c r="A413" s="37"/>
      <c r="B413" s="6" t="s">
        <v>464</v>
      </c>
      <c r="C413" s="953"/>
      <c r="D413" s="953"/>
      <c r="E413" s="953"/>
      <c r="F413" s="953"/>
      <c r="G413" s="885"/>
      <c r="H413" s="980"/>
    </row>
    <row r="414" spans="1:8" ht="12.75" thickBot="1" x14ac:dyDescent="0.25">
      <c r="A414" s="37"/>
      <c r="B414" s="904" t="s">
        <v>228</v>
      </c>
      <c r="C414" s="962"/>
      <c r="D414" s="962"/>
      <c r="E414" s="686"/>
      <c r="F414" s="686"/>
      <c r="G414" s="885"/>
      <c r="H414" s="999"/>
    </row>
    <row r="415" spans="1:8" ht="12.75" thickBot="1" x14ac:dyDescent="0.25">
      <c r="A415" s="247"/>
      <c r="B415" s="905" t="s">
        <v>106</v>
      </c>
      <c r="C415" s="949">
        <f t="shared" ref="C415:D415" si="79">SUM(C408:C414)</f>
        <v>0</v>
      </c>
      <c r="D415" s="949">
        <f t="shared" si="79"/>
        <v>0</v>
      </c>
      <c r="E415" s="949">
        <f t="shared" ref="E415:F415" si="80">SUM(E408:E414)</f>
        <v>0</v>
      </c>
      <c r="F415" s="949">
        <f t="shared" si="80"/>
        <v>0</v>
      </c>
      <c r="G415" s="949"/>
      <c r="H415" s="888"/>
    </row>
    <row r="416" spans="1:8" x14ac:dyDescent="0.2">
      <c r="A416" s="37">
        <v>3226</v>
      </c>
      <c r="B416" s="249" t="s">
        <v>1123</v>
      </c>
      <c r="C416" s="241"/>
      <c r="D416" s="241"/>
      <c r="E416" s="241"/>
      <c r="F416" s="241"/>
      <c r="G416" s="885"/>
      <c r="H416" s="893"/>
    </row>
    <row r="417" spans="1:8" x14ac:dyDescent="0.2">
      <c r="A417" s="37"/>
      <c r="B417" s="34" t="s">
        <v>92</v>
      </c>
      <c r="C417" s="953"/>
      <c r="D417" s="953"/>
      <c r="E417" s="953"/>
      <c r="F417" s="953"/>
      <c r="G417" s="885"/>
      <c r="H417" s="2"/>
    </row>
    <row r="418" spans="1:8" x14ac:dyDescent="0.2">
      <c r="A418" s="37"/>
      <c r="B418" s="5" t="s">
        <v>250</v>
      </c>
      <c r="C418" s="953"/>
      <c r="D418" s="953"/>
      <c r="E418" s="953"/>
      <c r="F418" s="953"/>
      <c r="G418" s="885"/>
      <c r="H418" s="938"/>
    </row>
    <row r="419" spans="1:8" x14ac:dyDescent="0.2">
      <c r="A419" s="37"/>
      <c r="B419" s="243" t="s">
        <v>239</v>
      </c>
      <c r="C419" s="953"/>
      <c r="D419" s="953">
        <v>18605</v>
      </c>
      <c r="E419" s="953">
        <v>18605</v>
      </c>
      <c r="F419" s="953">
        <v>18605</v>
      </c>
      <c r="G419" s="943">
        <f t="shared" ref="G419:G479" si="81">F419/E419</f>
        <v>1</v>
      </c>
      <c r="H419" s="954"/>
    </row>
    <row r="420" spans="1:8" x14ac:dyDescent="0.2">
      <c r="A420" s="37"/>
      <c r="B420" s="6" t="s">
        <v>97</v>
      </c>
      <c r="C420" s="953"/>
      <c r="D420" s="953"/>
      <c r="E420" s="953"/>
      <c r="F420" s="953"/>
      <c r="G420" s="885"/>
      <c r="H420" s="954"/>
    </row>
    <row r="421" spans="1:8" x14ac:dyDescent="0.2">
      <c r="A421" s="37"/>
      <c r="B421" s="6" t="s">
        <v>246</v>
      </c>
      <c r="C421" s="953"/>
      <c r="D421" s="953"/>
      <c r="E421" s="953"/>
      <c r="F421" s="953"/>
      <c r="G421" s="885"/>
      <c r="H421" s="3"/>
    </row>
    <row r="422" spans="1:8" x14ac:dyDescent="0.2">
      <c r="A422" s="37"/>
      <c r="B422" s="6" t="s">
        <v>464</v>
      </c>
      <c r="C422" s="953"/>
      <c r="D422" s="953"/>
      <c r="E422" s="953"/>
      <c r="F422" s="953"/>
      <c r="G422" s="885"/>
      <c r="H422" s="980"/>
    </row>
    <row r="423" spans="1:8" ht="12.75" thickBot="1" x14ac:dyDescent="0.25">
      <c r="A423" s="37"/>
      <c r="B423" s="904" t="s">
        <v>228</v>
      </c>
      <c r="C423" s="962"/>
      <c r="D423" s="962"/>
      <c r="E423" s="686"/>
      <c r="F423" s="686"/>
      <c r="G423" s="885"/>
      <c r="H423" s="999"/>
    </row>
    <row r="424" spans="1:8" ht="12.75" thickBot="1" x14ac:dyDescent="0.25">
      <c r="A424" s="247"/>
      <c r="B424" s="905" t="s">
        <v>106</v>
      </c>
      <c r="C424" s="949">
        <f t="shared" ref="C424:D424" si="82">SUM(C417:C423)</f>
        <v>0</v>
      </c>
      <c r="D424" s="949">
        <f t="shared" si="82"/>
        <v>18605</v>
      </c>
      <c r="E424" s="949">
        <f t="shared" ref="E424:F424" si="83">SUM(E417:E423)</f>
        <v>18605</v>
      </c>
      <c r="F424" s="949">
        <f t="shared" si="83"/>
        <v>18605</v>
      </c>
      <c r="G424" s="1000">
        <f t="shared" si="81"/>
        <v>1</v>
      </c>
      <c r="H424" s="888"/>
    </row>
    <row r="425" spans="1:8" x14ac:dyDescent="0.2">
      <c r="A425" s="37">
        <v>3227</v>
      </c>
      <c r="B425" s="249" t="s">
        <v>1257</v>
      </c>
      <c r="C425" s="241"/>
      <c r="D425" s="241"/>
      <c r="E425" s="241"/>
      <c r="F425" s="241"/>
      <c r="G425" s="885"/>
      <c r="H425" s="893"/>
    </row>
    <row r="426" spans="1:8" x14ac:dyDescent="0.2">
      <c r="A426" s="37"/>
      <c r="B426" s="34" t="s">
        <v>92</v>
      </c>
      <c r="C426" s="953"/>
      <c r="D426" s="953"/>
      <c r="E426" s="953">
        <v>15700</v>
      </c>
      <c r="F426" s="953">
        <f>15700-2655</f>
        <v>13045</v>
      </c>
      <c r="G426" s="885">
        <f t="shared" si="81"/>
        <v>0.83089171974522291</v>
      </c>
      <c r="H426" s="2"/>
    </row>
    <row r="427" spans="1:8" x14ac:dyDescent="0.2">
      <c r="A427" s="37"/>
      <c r="B427" s="5" t="s">
        <v>250</v>
      </c>
      <c r="C427" s="953"/>
      <c r="D427" s="953">
        <v>12</v>
      </c>
      <c r="E427" s="953">
        <f>12+2040</f>
        <v>2052</v>
      </c>
      <c r="F427" s="953">
        <f>2052-345</f>
        <v>1707</v>
      </c>
      <c r="G427" s="943">
        <f t="shared" si="81"/>
        <v>0.83187134502923976</v>
      </c>
      <c r="H427" s="938"/>
    </row>
    <row r="428" spans="1:8" x14ac:dyDescent="0.2">
      <c r="A428" s="37"/>
      <c r="B428" s="243" t="s">
        <v>239</v>
      </c>
      <c r="C428" s="953"/>
      <c r="D428" s="953">
        <v>280</v>
      </c>
      <c r="E428" s="953">
        <f>280+80</f>
        <v>360</v>
      </c>
      <c r="F428" s="953">
        <f>360+3000</f>
        <v>3360</v>
      </c>
      <c r="G428" s="943">
        <f t="shared" si="81"/>
        <v>9.3333333333333339</v>
      </c>
      <c r="H428" s="954"/>
    </row>
    <row r="429" spans="1:8" x14ac:dyDescent="0.2">
      <c r="A429" s="37"/>
      <c r="B429" s="6" t="s">
        <v>97</v>
      </c>
      <c r="C429" s="953"/>
      <c r="D429" s="953"/>
      <c r="E429" s="953"/>
      <c r="F429" s="953"/>
      <c r="G429" s="885"/>
      <c r="H429" s="954"/>
    </row>
    <row r="430" spans="1:8" x14ac:dyDescent="0.2">
      <c r="A430" s="37"/>
      <c r="B430" s="6" t="s">
        <v>246</v>
      </c>
      <c r="C430" s="953"/>
      <c r="D430" s="953"/>
      <c r="E430" s="953"/>
      <c r="F430" s="953"/>
      <c r="G430" s="885"/>
      <c r="H430" s="3"/>
    </row>
    <row r="431" spans="1:8" x14ac:dyDescent="0.2">
      <c r="A431" s="37"/>
      <c r="B431" s="6" t="s">
        <v>464</v>
      </c>
      <c r="C431" s="953"/>
      <c r="D431" s="953"/>
      <c r="E431" s="953"/>
      <c r="F431" s="953"/>
      <c r="G431" s="885"/>
      <c r="H431" s="980"/>
    </row>
    <row r="432" spans="1:8" ht="12.75" thickBot="1" x14ac:dyDescent="0.25">
      <c r="A432" s="37"/>
      <c r="B432" s="904" t="s">
        <v>228</v>
      </c>
      <c r="C432" s="962"/>
      <c r="D432" s="962"/>
      <c r="E432" s="686"/>
      <c r="F432" s="686"/>
      <c r="G432" s="885"/>
      <c r="H432" s="999"/>
    </row>
    <row r="433" spans="1:8" ht="12.75" thickBot="1" x14ac:dyDescent="0.25">
      <c r="A433" s="247"/>
      <c r="B433" s="905" t="s">
        <v>106</v>
      </c>
      <c r="C433" s="949">
        <f t="shared" ref="C433:D433" si="84">SUM(C426:C432)</f>
        <v>0</v>
      </c>
      <c r="D433" s="949">
        <f t="shared" si="84"/>
        <v>292</v>
      </c>
      <c r="E433" s="949">
        <f t="shared" ref="E433:F433" si="85">SUM(E426:E432)</f>
        <v>18112</v>
      </c>
      <c r="F433" s="949">
        <f t="shared" si="85"/>
        <v>18112</v>
      </c>
      <c r="G433" s="1000">
        <f t="shared" si="81"/>
        <v>1</v>
      </c>
      <c r="H433" s="888"/>
    </row>
    <row r="434" spans="1:8" x14ac:dyDescent="0.2">
      <c r="A434" s="37">
        <v>3228</v>
      </c>
      <c r="B434" s="249" t="s">
        <v>1366</v>
      </c>
      <c r="C434" s="241"/>
      <c r="D434" s="241"/>
      <c r="E434" s="241"/>
      <c r="F434" s="241"/>
      <c r="G434" s="885"/>
      <c r="H434" s="893"/>
    </row>
    <row r="435" spans="1:8" x14ac:dyDescent="0.2">
      <c r="A435" s="37"/>
      <c r="B435" s="34" t="s">
        <v>92</v>
      </c>
      <c r="C435" s="953"/>
      <c r="D435" s="953"/>
      <c r="E435" s="953"/>
      <c r="F435" s="953"/>
      <c r="G435" s="885"/>
      <c r="H435" s="2"/>
    </row>
    <row r="436" spans="1:8" x14ac:dyDescent="0.2">
      <c r="A436" s="37"/>
      <c r="B436" s="5" t="s">
        <v>250</v>
      </c>
      <c r="C436" s="953"/>
      <c r="D436" s="953"/>
      <c r="E436" s="953"/>
      <c r="F436" s="953"/>
      <c r="G436" s="943"/>
      <c r="H436" s="938"/>
    </row>
    <row r="437" spans="1:8" x14ac:dyDescent="0.2">
      <c r="A437" s="37"/>
      <c r="B437" s="243" t="s">
        <v>239</v>
      </c>
      <c r="C437" s="953"/>
      <c r="D437" s="953"/>
      <c r="E437" s="953"/>
      <c r="F437" s="953"/>
      <c r="G437" s="943"/>
      <c r="H437" s="954"/>
    </row>
    <row r="438" spans="1:8" x14ac:dyDescent="0.2">
      <c r="A438" s="37"/>
      <c r="B438" s="6" t="s">
        <v>97</v>
      </c>
      <c r="C438" s="953"/>
      <c r="D438" s="953"/>
      <c r="E438" s="953"/>
      <c r="F438" s="953"/>
      <c r="G438" s="885"/>
      <c r="H438" s="954"/>
    </row>
    <row r="439" spans="1:8" x14ac:dyDescent="0.2">
      <c r="A439" s="37"/>
      <c r="B439" s="6" t="s">
        <v>246</v>
      </c>
      <c r="C439" s="953"/>
      <c r="D439" s="953"/>
      <c r="E439" s="953"/>
      <c r="F439" s="953"/>
      <c r="G439" s="885"/>
      <c r="H439" s="3"/>
    </row>
    <row r="440" spans="1:8" x14ac:dyDescent="0.2">
      <c r="A440" s="37"/>
      <c r="B440" s="6" t="s">
        <v>464</v>
      </c>
      <c r="C440" s="953"/>
      <c r="D440" s="953"/>
      <c r="E440" s="953"/>
      <c r="F440" s="953">
        <v>6638</v>
      </c>
      <c r="G440" s="885"/>
      <c r="H440" s="980"/>
    </row>
    <row r="441" spans="1:8" ht="12.75" thickBot="1" x14ac:dyDescent="0.25">
      <c r="A441" s="37"/>
      <c r="B441" s="904" t="s">
        <v>228</v>
      </c>
      <c r="C441" s="962"/>
      <c r="D441" s="962"/>
      <c r="E441" s="686"/>
      <c r="F441" s="686"/>
      <c r="G441" s="885"/>
      <c r="H441" s="999"/>
    </row>
    <row r="442" spans="1:8" ht="12.75" thickBot="1" x14ac:dyDescent="0.25">
      <c r="A442" s="247"/>
      <c r="B442" s="905" t="s">
        <v>106</v>
      </c>
      <c r="C442" s="949"/>
      <c r="D442" s="949"/>
      <c r="E442" s="949"/>
      <c r="F442" s="949">
        <f>F435+F436+F437+F438+F439+F440+F441</f>
        <v>6638</v>
      </c>
      <c r="G442" s="1000"/>
      <c r="H442" s="888"/>
    </row>
    <row r="443" spans="1:8" ht="12" customHeight="1" thickBot="1" x14ac:dyDescent="0.25">
      <c r="A443" s="37">
        <v>3300</v>
      </c>
      <c r="B443" s="30" t="s">
        <v>36</v>
      </c>
      <c r="C443" s="949">
        <f>SUM(C451+C459+C479+C488+C513+C521+C553+C577+C585+C594+C611+C619+C627+C635+C643+C651+C668+C685+C693+C701+C529+C537+C545+C561+C659)+C505+C603+C677+C569</f>
        <v>871984</v>
      </c>
      <c r="D443" s="949">
        <f>SUM(D451+D459+D479+D488+D513+D521+D553+D577+D585+D594+D611+D619+D627+D635+D643+D651+D668+D685+D693+D701+D529+D537+D545+D561+D659)+D505+D603+D677+D569</f>
        <v>472358</v>
      </c>
      <c r="E443" s="949">
        <f>SUM(E451+E459+E479+E488+E513+E521+E553+E577+E585+E594+E611+E619+E627+E635+E643+E651+E668+E685+E693+E701+E529+E537+E545+E561+E659)+E505+E603+E677+E569</f>
        <v>470878</v>
      </c>
      <c r="F443" s="949">
        <f>SUM(F451+F459+F479+F488+F513+F521+F553+F577+F585+F594+F611+F619+F627+F635+F643+F651+F668+F685+F693+F701+F529+F537+F545+F561+F659)+F505+F603+F677+F569</f>
        <v>458878</v>
      </c>
      <c r="G443" s="1000">
        <f t="shared" si="81"/>
        <v>0.97451569196267396</v>
      </c>
      <c r="H443" s="1001"/>
    </row>
    <row r="444" spans="1:8" ht="12" customHeight="1" x14ac:dyDescent="0.2">
      <c r="A444" s="37">
        <v>3301</v>
      </c>
      <c r="B444" s="250" t="s">
        <v>120</v>
      </c>
      <c r="C444" s="241"/>
      <c r="D444" s="241"/>
      <c r="E444" s="241"/>
      <c r="F444" s="241"/>
      <c r="G444" s="885"/>
      <c r="H444" s="893"/>
    </row>
    <row r="445" spans="1:8" ht="12" customHeight="1" x14ac:dyDescent="0.2">
      <c r="A445" s="10"/>
      <c r="B445" s="34" t="s">
        <v>92</v>
      </c>
      <c r="C445" s="953">
        <v>1000</v>
      </c>
      <c r="D445" s="953">
        <v>1000</v>
      </c>
      <c r="E445" s="953">
        <v>1000</v>
      </c>
      <c r="F445" s="953">
        <v>1000</v>
      </c>
      <c r="G445" s="1081">
        <f t="shared" si="81"/>
        <v>1</v>
      </c>
      <c r="H445" s="940"/>
    </row>
    <row r="446" spans="1:8" ht="12" customHeight="1" x14ac:dyDescent="0.2">
      <c r="A446" s="10"/>
      <c r="B446" s="5" t="s">
        <v>250</v>
      </c>
      <c r="C446" s="953">
        <v>300</v>
      </c>
      <c r="D446" s="953">
        <v>300</v>
      </c>
      <c r="E446" s="953">
        <v>300</v>
      </c>
      <c r="F446" s="953">
        <v>300</v>
      </c>
      <c r="G446" s="943">
        <f t="shared" si="81"/>
        <v>1</v>
      </c>
      <c r="H446" s="954"/>
    </row>
    <row r="447" spans="1:8" ht="12" customHeight="1" x14ac:dyDescent="0.2">
      <c r="A447" s="37"/>
      <c r="B447" s="243" t="s">
        <v>239</v>
      </c>
      <c r="C447" s="200">
        <v>12200</v>
      </c>
      <c r="D447" s="200">
        <f>12200+2679</f>
        <v>14879</v>
      </c>
      <c r="E447" s="200">
        <f>14879-6900</f>
        <v>7979</v>
      </c>
      <c r="F447" s="200">
        <f>14879-6900</f>
        <v>7979</v>
      </c>
      <c r="G447" s="943">
        <f t="shared" si="81"/>
        <v>1</v>
      </c>
      <c r="H447" s="961" t="s">
        <v>1389</v>
      </c>
    </row>
    <row r="448" spans="1:8" ht="12" customHeight="1" x14ac:dyDescent="0.2">
      <c r="A448" s="37"/>
      <c r="B448" s="6" t="s">
        <v>97</v>
      </c>
      <c r="C448" s="200"/>
      <c r="D448" s="200"/>
      <c r="E448" s="200"/>
      <c r="F448" s="200"/>
      <c r="G448" s="943"/>
      <c r="H448" s="954"/>
    </row>
    <row r="449" spans="1:8" ht="12" customHeight="1" x14ac:dyDescent="0.2">
      <c r="A449" s="10"/>
      <c r="B449" s="6" t="s">
        <v>246</v>
      </c>
      <c r="C449" s="953">
        <v>2500</v>
      </c>
      <c r="D449" s="953">
        <v>2500</v>
      </c>
      <c r="E449" s="953">
        <v>2500</v>
      </c>
      <c r="F449" s="953">
        <v>2500</v>
      </c>
      <c r="G449" s="943">
        <f t="shared" si="81"/>
        <v>1</v>
      </c>
      <c r="H449" s="945"/>
    </row>
    <row r="450" spans="1:8" ht="12" customHeight="1" thickBot="1" x14ac:dyDescent="0.25">
      <c r="A450" s="10"/>
      <c r="B450" s="904" t="s">
        <v>228</v>
      </c>
      <c r="C450" s="686"/>
      <c r="D450" s="686"/>
      <c r="E450" s="686">
        <v>6900</v>
      </c>
      <c r="F450" s="686">
        <v>6900</v>
      </c>
      <c r="G450" s="1082">
        <f t="shared" si="81"/>
        <v>1</v>
      </c>
      <c r="H450" s="929"/>
    </row>
    <row r="451" spans="1:8" ht="13.5" customHeight="1" thickBot="1" x14ac:dyDescent="0.25">
      <c r="A451" s="247"/>
      <c r="B451" s="905" t="s">
        <v>106</v>
      </c>
      <c r="C451" s="949">
        <f t="shared" ref="C451:D451" si="86">SUM(C445:C450)</f>
        <v>16000</v>
      </c>
      <c r="D451" s="949">
        <f t="shared" si="86"/>
        <v>18679</v>
      </c>
      <c r="E451" s="949">
        <f t="shared" ref="E451:F451" si="87">SUM(E445:E450)</f>
        <v>18679</v>
      </c>
      <c r="F451" s="949">
        <f t="shared" si="87"/>
        <v>18679</v>
      </c>
      <c r="G451" s="1000">
        <f t="shared" si="81"/>
        <v>1</v>
      </c>
      <c r="H451" s="888"/>
    </row>
    <row r="452" spans="1:8" x14ac:dyDescent="0.2">
      <c r="A452" s="37">
        <v>3302</v>
      </c>
      <c r="B452" s="250" t="s">
        <v>319</v>
      </c>
      <c r="C452" s="241"/>
      <c r="D452" s="241"/>
      <c r="E452" s="241"/>
      <c r="F452" s="241"/>
      <c r="G452" s="885"/>
      <c r="H452" s="2"/>
    </row>
    <row r="453" spans="1:8" x14ac:dyDescent="0.2">
      <c r="A453" s="10"/>
      <c r="B453" s="34" t="s">
        <v>92</v>
      </c>
      <c r="C453" s="241"/>
      <c r="D453" s="241"/>
      <c r="E453" s="241"/>
      <c r="F453" s="241"/>
      <c r="G453" s="885"/>
      <c r="H453" s="937"/>
    </row>
    <row r="454" spans="1:8" x14ac:dyDescent="0.2">
      <c r="A454" s="10"/>
      <c r="B454" s="5" t="s">
        <v>250</v>
      </c>
      <c r="C454" s="953"/>
      <c r="D454" s="953"/>
      <c r="E454" s="953"/>
      <c r="F454" s="953"/>
      <c r="G454" s="885"/>
      <c r="H454" s="940" t="s">
        <v>1384</v>
      </c>
    </row>
    <row r="455" spans="1:8" x14ac:dyDescent="0.2">
      <c r="A455" s="37"/>
      <c r="B455" s="243" t="s">
        <v>239</v>
      </c>
      <c r="C455" s="200">
        <v>580870</v>
      </c>
      <c r="D455" s="200">
        <v>134920</v>
      </c>
      <c r="E455" s="200">
        <v>134920</v>
      </c>
      <c r="F455" s="200">
        <v>134920</v>
      </c>
      <c r="G455" s="1081">
        <f t="shared" si="81"/>
        <v>1</v>
      </c>
      <c r="H455" s="952"/>
    </row>
    <row r="456" spans="1:8" x14ac:dyDescent="0.2">
      <c r="A456" s="37"/>
      <c r="B456" s="6" t="s">
        <v>97</v>
      </c>
      <c r="C456" s="200"/>
      <c r="D456" s="200"/>
      <c r="E456" s="200"/>
      <c r="F456" s="200"/>
      <c r="G456" s="943"/>
      <c r="H456" s="944" t="s">
        <v>1383</v>
      </c>
    </row>
    <row r="457" spans="1:8" x14ac:dyDescent="0.2">
      <c r="A457" s="10"/>
      <c r="B457" s="6" t="s">
        <v>246</v>
      </c>
      <c r="C457" s="953"/>
      <c r="D457" s="953"/>
      <c r="E457" s="953"/>
      <c r="F457" s="953"/>
      <c r="G457" s="943"/>
      <c r="H457" s="945"/>
    </row>
    <row r="458" spans="1:8" ht="12.75" thickBot="1" x14ac:dyDescent="0.25">
      <c r="A458" s="10"/>
      <c r="B458" s="904" t="s">
        <v>65</v>
      </c>
      <c r="C458" s="955"/>
      <c r="D458" s="955"/>
      <c r="E458" s="955"/>
      <c r="F458" s="955"/>
      <c r="G458" s="1082"/>
      <c r="H458" s="929"/>
    </row>
    <row r="459" spans="1:8" ht="11.25" customHeight="1" thickBot="1" x14ac:dyDescent="0.25">
      <c r="A459" s="10"/>
      <c r="B459" s="905" t="s">
        <v>106</v>
      </c>
      <c r="C459" s="949">
        <f t="shared" ref="C459:D459" si="88">SUM(C453:C458)</f>
        <v>580870</v>
      </c>
      <c r="D459" s="949">
        <f t="shared" si="88"/>
        <v>134920</v>
      </c>
      <c r="E459" s="949">
        <f t="shared" ref="E459:F459" si="89">SUM(E453:E458)</f>
        <v>134920</v>
      </c>
      <c r="F459" s="949">
        <f t="shared" si="89"/>
        <v>134920</v>
      </c>
      <c r="G459" s="1000">
        <f t="shared" si="81"/>
        <v>1</v>
      </c>
      <c r="H459" s="888"/>
    </row>
    <row r="460" spans="1:8" ht="12.75" x14ac:dyDescent="0.2">
      <c r="A460" s="10"/>
      <c r="B460" s="1002" t="s">
        <v>1138</v>
      </c>
      <c r="C460" s="1003">
        <v>92939</v>
      </c>
      <c r="D460" s="1003">
        <v>20238</v>
      </c>
      <c r="E460" s="1003">
        <v>20238</v>
      </c>
      <c r="F460" s="1003">
        <v>20238</v>
      </c>
      <c r="G460" s="943">
        <f t="shared" si="81"/>
        <v>1</v>
      </c>
      <c r="H460" s="1004"/>
    </row>
    <row r="461" spans="1:8" ht="13.5" thickBot="1" x14ac:dyDescent="0.25">
      <c r="A461" s="247"/>
      <c r="B461" s="990" t="s">
        <v>1075</v>
      </c>
      <c r="C461" s="1005">
        <v>487931</v>
      </c>
      <c r="D461" s="1005">
        <v>114682</v>
      </c>
      <c r="E461" s="1005">
        <v>114682</v>
      </c>
      <c r="F461" s="1005">
        <v>114682</v>
      </c>
      <c r="G461" s="1083">
        <f t="shared" si="81"/>
        <v>1</v>
      </c>
      <c r="H461" s="1006"/>
    </row>
    <row r="462" spans="1:8" ht="12.75" x14ac:dyDescent="0.2">
      <c r="A462" s="10">
        <v>3304</v>
      </c>
      <c r="B462" s="250" t="s">
        <v>1258</v>
      </c>
      <c r="C462" s="1007"/>
      <c r="D462" s="1007"/>
      <c r="E462" s="1007"/>
      <c r="F462" s="1007"/>
      <c r="G462" s="885"/>
      <c r="H462" s="1008"/>
    </row>
    <row r="463" spans="1:8" ht="12.75" x14ac:dyDescent="0.2">
      <c r="A463" s="33"/>
      <c r="B463" s="34" t="s">
        <v>92</v>
      </c>
      <c r="C463" s="200"/>
      <c r="D463" s="200"/>
      <c r="E463" s="200"/>
      <c r="F463" s="200"/>
      <c r="G463" s="885"/>
      <c r="H463" s="1009"/>
    </row>
    <row r="464" spans="1:8" ht="12.75" x14ac:dyDescent="0.2">
      <c r="A464" s="33"/>
      <c r="B464" s="5" t="s">
        <v>250</v>
      </c>
      <c r="C464" s="200"/>
      <c r="D464" s="200"/>
      <c r="E464" s="200"/>
      <c r="F464" s="200"/>
      <c r="G464" s="885"/>
      <c r="H464" s="1010"/>
    </row>
    <row r="465" spans="1:8" ht="12.75" x14ac:dyDescent="0.2">
      <c r="A465" s="33"/>
      <c r="B465" s="243" t="s">
        <v>239</v>
      </c>
      <c r="C465" s="200"/>
      <c r="D465" s="200">
        <v>2296</v>
      </c>
      <c r="E465" s="200">
        <v>2296</v>
      </c>
      <c r="F465" s="200">
        <v>2296</v>
      </c>
      <c r="G465" s="943">
        <f t="shared" si="81"/>
        <v>1</v>
      </c>
      <c r="H465" s="1011"/>
    </row>
    <row r="466" spans="1:8" x14ac:dyDescent="0.2">
      <c r="A466" s="33"/>
      <c r="B466" s="6" t="s">
        <v>97</v>
      </c>
      <c r="C466" s="200"/>
      <c r="D466" s="200"/>
      <c r="E466" s="200"/>
      <c r="F466" s="200"/>
      <c r="G466" s="885"/>
      <c r="H466" s="952"/>
    </row>
    <row r="467" spans="1:8" ht="12.75" x14ac:dyDescent="0.2">
      <c r="A467" s="33"/>
      <c r="B467" s="6" t="s">
        <v>246</v>
      </c>
      <c r="C467" s="953"/>
      <c r="D467" s="953"/>
      <c r="E467" s="953"/>
      <c r="F467" s="953"/>
      <c r="G467" s="885"/>
      <c r="H467" s="1009"/>
    </row>
    <row r="468" spans="1:8" ht="12.75" x14ac:dyDescent="0.2">
      <c r="A468" s="33"/>
      <c r="B468" s="6" t="s">
        <v>97</v>
      </c>
      <c r="C468" s="200"/>
      <c r="D468" s="200"/>
      <c r="E468" s="200"/>
      <c r="F468" s="200"/>
      <c r="G468" s="885"/>
      <c r="H468" s="1012"/>
    </row>
    <row r="469" spans="1:8" ht="12.75" thickBot="1" x14ac:dyDescent="0.25">
      <c r="A469" s="33"/>
      <c r="B469" s="904" t="s">
        <v>65</v>
      </c>
      <c r="C469" s="956"/>
      <c r="D469" s="956"/>
      <c r="E469" s="956"/>
      <c r="F469" s="956"/>
      <c r="G469" s="1079"/>
      <c r="H469" s="18"/>
    </row>
    <row r="470" spans="1:8" ht="13.5" thickBot="1" x14ac:dyDescent="0.25">
      <c r="A470" s="247"/>
      <c r="B470" s="905" t="s">
        <v>106</v>
      </c>
      <c r="C470" s="949">
        <f t="shared" ref="C470:D470" si="90">SUM(C465:C466)</f>
        <v>0</v>
      </c>
      <c r="D470" s="949">
        <f t="shared" si="90"/>
        <v>2296</v>
      </c>
      <c r="E470" s="949">
        <f t="shared" ref="E470:F470" si="91">SUM(E465:E466)</f>
        <v>2296</v>
      </c>
      <c r="F470" s="949">
        <f t="shared" si="91"/>
        <v>2296</v>
      </c>
      <c r="G470" s="1000">
        <f t="shared" si="81"/>
        <v>1</v>
      </c>
      <c r="H470" s="1013"/>
    </row>
    <row r="471" spans="1:8" ht="12.75" x14ac:dyDescent="0.2">
      <c r="A471" s="248">
        <v>3306</v>
      </c>
      <c r="B471" s="941" t="s">
        <v>969</v>
      </c>
      <c r="C471" s="241"/>
      <c r="D471" s="241"/>
      <c r="E471" s="241"/>
      <c r="F471" s="241"/>
      <c r="G471" s="885"/>
      <c r="H471" s="1014"/>
    </row>
    <row r="472" spans="1:8" ht="12" customHeight="1" x14ac:dyDescent="0.2">
      <c r="A472" s="33"/>
      <c r="B472" s="34" t="s">
        <v>92</v>
      </c>
      <c r="C472" s="200"/>
      <c r="D472" s="200"/>
      <c r="E472" s="200"/>
      <c r="F472" s="200"/>
      <c r="G472" s="885"/>
      <c r="H472" s="1009"/>
    </row>
    <row r="473" spans="1:8" ht="12" customHeight="1" x14ac:dyDescent="0.2">
      <c r="A473" s="33"/>
      <c r="B473" s="5" t="s">
        <v>250</v>
      </c>
      <c r="C473" s="200"/>
      <c r="D473" s="200"/>
      <c r="E473" s="200"/>
      <c r="F473" s="200"/>
      <c r="G473" s="885"/>
      <c r="H473" s="1010"/>
    </row>
    <row r="474" spans="1:8" ht="12" customHeight="1" x14ac:dyDescent="0.2">
      <c r="A474" s="33"/>
      <c r="B474" s="243" t="s">
        <v>239</v>
      </c>
      <c r="C474" s="200"/>
      <c r="D474" s="200"/>
      <c r="E474" s="200"/>
      <c r="F474" s="200"/>
      <c r="G474" s="885"/>
      <c r="H474" s="1011"/>
    </row>
    <row r="475" spans="1:8" ht="12" customHeight="1" x14ac:dyDescent="0.2">
      <c r="A475" s="33"/>
      <c r="B475" s="6" t="s">
        <v>97</v>
      </c>
      <c r="C475" s="200">
        <v>19000</v>
      </c>
      <c r="D475" s="200">
        <f>19000+89</f>
        <v>19089</v>
      </c>
      <c r="E475" s="200">
        <f>19089+7000</f>
        <v>26089</v>
      </c>
      <c r="F475" s="200">
        <f>19089+7000</f>
        <v>26089</v>
      </c>
      <c r="G475" s="943">
        <f t="shared" si="81"/>
        <v>1</v>
      </c>
      <c r="H475" s="952"/>
    </row>
    <row r="476" spans="1:8" ht="12" customHeight="1" x14ac:dyDescent="0.2">
      <c r="A476" s="33"/>
      <c r="B476" s="6" t="s">
        <v>246</v>
      </c>
      <c r="C476" s="953"/>
      <c r="D476" s="953"/>
      <c r="E476" s="953"/>
      <c r="F476" s="953"/>
      <c r="G476" s="885"/>
      <c r="H476" s="1009"/>
    </row>
    <row r="477" spans="1:8" ht="12" customHeight="1" x14ac:dyDescent="0.2">
      <c r="A477" s="33"/>
      <c r="B477" s="6" t="s">
        <v>97</v>
      </c>
      <c r="C477" s="200"/>
      <c r="D477" s="200"/>
      <c r="E477" s="200"/>
      <c r="F477" s="200"/>
      <c r="G477" s="885"/>
      <c r="H477" s="1012"/>
    </row>
    <row r="478" spans="1:8" ht="12" customHeight="1" thickBot="1" x14ac:dyDescent="0.25">
      <c r="A478" s="33"/>
      <c r="B478" s="904" t="s">
        <v>65</v>
      </c>
      <c r="C478" s="956"/>
      <c r="D478" s="956"/>
      <c r="E478" s="956"/>
      <c r="F478" s="956"/>
      <c r="G478" s="1079"/>
      <c r="H478" s="18"/>
    </row>
    <row r="479" spans="1:8" ht="12.75" customHeight="1" thickBot="1" x14ac:dyDescent="0.25">
      <c r="A479" s="247"/>
      <c r="B479" s="905" t="s">
        <v>106</v>
      </c>
      <c r="C479" s="949">
        <f t="shared" ref="C479:D479" si="92">SUM(C474:C475)</f>
        <v>19000</v>
      </c>
      <c r="D479" s="949">
        <f t="shared" si="92"/>
        <v>19089</v>
      </c>
      <c r="E479" s="949">
        <f t="shared" ref="E479:F479" si="93">SUM(E474:E475)</f>
        <v>26089</v>
      </c>
      <c r="F479" s="949">
        <f t="shared" si="93"/>
        <v>26089</v>
      </c>
      <c r="G479" s="1000">
        <f t="shared" si="81"/>
        <v>1</v>
      </c>
      <c r="H479" s="1013"/>
    </row>
    <row r="480" spans="1:8" ht="12" customHeight="1" x14ac:dyDescent="0.2">
      <c r="A480" s="10">
        <v>3307</v>
      </c>
      <c r="B480" s="941" t="s">
        <v>165</v>
      </c>
      <c r="C480" s="241"/>
      <c r="D480" s="241"/>
      <c r="E480" s="241"/>
      <c r="F480" s="241"/>
      <c r="G480" s="885"/>
      <c r="H480" s="1014"/>
    </row>
    <row r="481" spans="1:8" ht="12" customHeight="1" x14ac:dyDescent="0.2">
      <c r="A481" s="33"/>
      <c r="B481" s="34" t="s">
        <v>92</v>
      </c>
      <c r="C481" s="200"/>
      <c r="D481" s="200"/>
      <c r="E481" s="200"/>
      <c r="F481" s="200"/>
      <c r="G481" s="885"/>
      <c r="H481" s="1009"/>
    </row>
    <row r="482" spans="1:8" ht="12" customHeight="1" x14ac:dyDescent="0.2">
      <c r="A482" s="33"/>
      <c r="B482" s="5" t="s">
        <v>250</v>
      </c>
      <c r="C482" s="200"/>
      <c r="D482" s="200"/>
      <c r="E482" s="200"/>
      <c r="F482" s="200"/>
      <c r="G482" s="885"/>
      <c r="H482" s="1010"/>
    </row>
    <row r="483" spans="1:8" ht="12" customHeight="1" x14ac:dyDescent="0.2">
      <c r="A483" s="33"/>
      <c r="B483" s="243" t="s">
        <v>239</v>
      </c>
      <c r="C483" s="200"/>
      <c r="D483" s="200"/>
      <c r="E483" s="200"/>
      <c r="F483" s="200"/>
      <c r="G483" s="1081"/>
      <c r="H483" s="1011"/>
    </row>
    <row r="484" spans="1:8" ht="12" customHeight="1" x14ac:dyDescent="0.2">
      <c r="A484" s="33"/>
      <c r="B484" s="6" t="s">
        <v>97</v>
      </c>
      <c r="C484" s="200">
        <v>500</v>
      </c>
      <c r="D484" s="200">
        <v>500</v>
      </c>
      <c r="E484" s="200">
        <v>500</v>
      </c>
      <c r="F484" s="200">
        <v>500</v>
      </c>
      <c r="G484" s="943">
        <f t="shared" ref="G484:G545" si="94">F484/E484</f>
        <v>1</v>
      </c>
      <c r="H484" s="1011"/>
    </row>
    <row r="485" spans="1:8" ht="12" customHeight="1" x14ac:dyDescent="0.2">
      <c r="A485" s="33"/>
      <c r="B485" s="6" t="s">
        <v>246</v>
      </c>
      <c r="C485" s="953"/>
      <c r="D485" s="953">
        <v>1063</v>
      </c>
      <c r="E485" s="953">
        <v>1063</v>
      </c>
      <c r="F485" s="953">
        <v>1063</v>
      </c>
      <c r="G485" s="943">
        <f t="shared" si="94"/>
        <v>1</v>
      </c>
      <c r="H485" s="952"/>
    </row>
    <row r="486" spans="1:8" ht="12" customHeight="1" x14ac:dyDescent="0.2">
      <c r="A486" s="33"/>
      <c r="B486" s="6" t="s">
        <v>97</v>
      </c>
      <c r="C486" s="200"/>
      <c r="D486" s="200"/>
      <c r="E486" s="200"/>
      <c r="F486" s="200"/>
      <c r="G486" s="943"/>
      <c r="H486" s="1012"/>
    </row>
    <row r="487" spans="1:8" ht="12" customHeight="1" thickBot="1" x14ac:dyDescent="0.25">
      <c r="A487" s="33"/>
      <c r="B487" s="904" t="s">
        <v>65</v>
      </c>
      <c r="C487" s="956"/>
      <c r="D487" s="956"/>
      <c r="E487" s="956"/>
      <c r="F487" s="956"/>
      <c r="G487" s="1082"/>
      <c r="H487" s="18"/>
    </row>
    <row r="488" spans="1:8" ht="12" customHeight="1" thickBot="1" x14ac:dyDescent="0.25">
      <c r="A488" s="247"/>
      <c r="B488" s="905" t="s">
        <v>106</v>
      </c>
      <c r="C488" s="949">
        <f t="shared" ref="C488:D488" si="95">SUM(C481:C487)</f>
        <v>500</v>
      </c>
      <c r="D488" s="949">
        <f t="shared" si="95"/>
        <v>1563</v>
      </c>
      <c r="E488" s="949">
        <f t="shared" ref="E488:F488" si="96">SUM(E481:E487)</f>
        <v>1563</v>
      </c>
      <c r="F488" s="949">
        <f t="shared" si="96"/>
        <v>1563</v>
      </c>
      <c r="G488" s="1000">
        <f t="shared" si="94"/>
        <v>1</v>
      </c>
      <c r="H488" s="1013"/>
    </row>
    <row r="489" spans="1:8" ht="12" customHeight="1" x14ac:dyDescent="0.2">
      <c r="A489" s="10">
        <v>3308</v>
      </c>
      <c r="B489" s="941" t="s">
        <v>1148</v>
      </c>
      <c r="C489" s="241"/>
      <c r="D489" s="241"/>
      <c r="E489" s="241"/>
      <c r="F489" s="241"/>
      <c r="G489" s="885"/>
      <c r="H489" s="1014"/>
    </row>
    <row r="490" spans="1:8" ht="12" customHeight="1" x14ac:dyDescent="0.2">
      <c r="A490" s="33"/>
      <c r="B490" s="34" t="s">
        <v>92</v>
      </c>
      <c r="C490" s="200"/>
      <c r="D490" s="200"/>
      <c r="E490" s="200"/>
      <c r="F490" s="200"/>
      <c r="G490" s="885"/>
      <c r="H490" s="1009"/>
    </row>
    <row r="491" spans="1:8" ht="12" customHeight="1" x14ac:dyDescent="0.2">
      <c r="A491" s="33"/>
      <c r="B491" s="5" t="s">
        <v>250</v>
      </c>
      <c r="C491" s="200"/>
      <c r="D491" s="200"/>
      <c r="E491" s="200"/>
      <c r="F491" s="200"/>
      <c r="G491" s="1081"/>
      <c r="H491" s="1010"/>
    </row>
    <row r="492" spans="1:8" ht="12" customHeight="1" x14ac:dyDescent="0.2">
      <c r="A492" s="33"/>
      <c r="B492" s="243" t="s">
        <v>239</v>
      </c>
      <c r="C492" s="200">
        <v>10000</v>
      </c>
      <c r="D492" s="200">
        <f>10000+20000</f>
        <v>30000</v>
      </c>
      <c r="E492" s="200">
        <f>10000+20000</f>
        <v>30000</v>
      </c>
      <c r="F492" s="200">
        <f>10000+20000</f>
        <v>30000</v>
      </c>
      <c r="G492" s="943">
        <f t="shared" si="94"/>
        <v>1</v>
      </c>
      <c r="H492" s="1011"/>
    </row>
    <row r="493" spans="1:8" ht="12" customHeight="1" x14ac:dyDescent="0.2">
      <c r="A493" s="33"/>
      <c r="B493" s="6" t="s">
        <v>97</v>
      </c>
      <c r="C493" s="200"/>
      <c r="D493" s="200"/>
      <c r="E493" s="200"/>
      <c r="F493" s="200"/>
      <c r="G493" s="943"/>
      <c r="H493" s="1011"/>
    </row>
    <row r="494" spans="1:8" ht="12" customHeight="1" x14ac:dyDescent="0.2">
      <c r="A494" s="33"/>
      <c r="B494" s="6" t="s">
        <v>246</v>
      </c>
      <c r="C494" s="953"/>
      <c r="D494" s="953"/>
      <c r="E494" s="953"/>
      <c r="F494" s="953"/>
      <c r="G494" s="943"/>
      <c r="H494" s="952"/>
    </row>
    <row r="495" spans="1:8" ht="12" customHeight="1" x14ac:dyDescent="0.2">
      <c r="A495" s="33"/>
      <c r="B495" s="6" t="s">
        <v>97</v>
      </c>
      <c r="C495" s="200"/>
      <c r="D495" s="200"/>
      <c r="E495" s="200"/>
      <c r="F495" s="200"/>
      <c r="G495" s="943"/>
      <c r="H495" s="1012"/>
    </row>
    <row r="496" spans="1:8" ht="12" customHeight="1" thickBot="1" x14ac:dyDescent="0.25">
      <c r="A496" s="33"/>
      <c r="B496" s="904" t="s">
        <v>65</v>
      </c>
      <c r="C496" s="956"/>
      <c r="D496" s="956"/>
      <c r="E496" s="956"/>
      <c r="F496" s="956"/>
      <c r="G496" s="1082"/>
      <c r="H496" s="18"/>
    </row>
    <row r="497" spans="1:8" ht="12" customHeight="1" thickBot="1" x14ac:dyDescent="0.25">
      <c r="A497" s="247"/>
      <c r="B497" s="905" t="s">
        <v>106</v>
      </c>
      <c r="C497" s="949">
        <f t="shared" ref="C497:D497" si="97">SUM(C490:C496)</f>
        <v>10000</v>
      </c>
      <c r="D497" s="949">
        <f t="shared" si="97"/>
        <v>30000</v>
      </c>
      <c r="E497" s="949">
        <f t="shared" ref="E497:F497" si="98">SUM(E490:E496)</f>
        <v>30000</v>
      </c>
      <c r="F497" s="949">
        <f t="shared" si="98"/>
        <v>30000</v>
      </c>
      <c r="G497" s="1000">
        <f t="shared" si="94"/>
        <v>1</v>
      </c>
      <c r="H497" s="1013"/>
    </row>
    <row r="498" spans="1:8" ht="12" customHeight="1" x14ac:dyDescent="0.2">
      <c r="A498" s="10">
        <v>3309</v>
      </c>
      <c r="B498" s="162" t="s">
        <v>1013</v>
      </c>
      <c r="C498" s="241"/>
      <c r="D498" s="241"/>
      <c r="E498" s="241"/>
      <c r="F498" s="241"/>
      <c r="G498" s="885"/>
      <c r="H498" s="937"/>
    </row>
    <row r="499" spans="1:8" ht="12" customHeight="1" x14ac:dyDescent="0.2">
      <c r="A499" s="33"/>
      <c r="B499" s="34" t="s">
        <v>92</v>
      </c>
      <c r="C499" s="200"/>
      <c r="D499" s="200"/>
      <c r="E499" s="200"/>
      <c r="F499" s="200"/>
      <c r="G499" s="885"/>
      <c r="H499" s="937"/>
    </row>
    <row r="500" spans="1:8" ht="12" customHeight="1" x14ac:dyDescent="0.2">
      <c r="A500" s="33"/>
      <c r="B500" s="5" t="s">
        <v>250</v>
      </c>
      <c r="C500" s="200"/>
      <c r="D500" s="200"/>
      <c r="E500" s="200"/>
      <c r="F500" s="200"/>
      <c r="G500" s="1081"/>
      <c r="H500" s="938"/>
    </row>
    <row r="501" spans="1:8" ht="12" customHeight="1" x14ac:dyDescent="0.2">
      <c r="A501" s="33"/>
      <c r="B501" s="243" t="s">
        <v>239</v>
      </c>
      <c r="C501" s="200"/>
      <c r="D501" s="200"/>
      <c r="E501" s="200"/>
      <c r="F501" s="200"/>
      <c r="G501" s="943"/>
      <c r="H501" s="952"/>
    </row>
    <row r="502" spans="1:8" ht="12" customHeight="1" x14ac:dyDescent="0.2">
      <c r="A502" s="33"/>
      <c r="B502" s="6" t="s">
        <v>97</v>
      </c>
      <c r="C502" s="200">
        <v>42000</v>
      </c>
      <c r="D502" s="200">
        <f>42000+176</f>
        <v>42176</v>
      </c>
      <c r="E502" s="200">
        <f>42000+176</f>
        <v>42176</v>
      </c>
      <c r="F502" s="200">
        <f>42000+176</f>
        <v>42176</v>
      </c>
      <c r="G502" s="943">
        <f t="shared" si="94"/>
        <v>1</v>
      </c>
      <c r="H502" s="1011"/>
    </row>
    <row r="503" spans="1:8" ht="12" customHeight="1" x14ac:dyDescent="0.2">
      <c r="A503" s="33"/>
      <c r="B503" s="6" t="s">
        <v>246</v>
      </c>
      <c r="C503" s="953"/>
      <c r="D503" s="953"/>
      <c r="E503" s="953"/>
      <c r="F503" s="953"/>
      <c r="G503" s="943"/>
      <c r="H503" s="1015"/>
    </row>
    <row r="504" spans="1:8" ht="12" customHeight="1" thickBot="1" x14ac:dyDescent="0.25">
      <c r="A504" s="33"/>
      <c r="B504" s="904" t="s">
        <v>65</v>
      </c>
      <c r="C504" s="956"/>
      <c r="D504" s="956"/>
      <c r="E504" s="956"/>
      <c r="F504" s="956"/>
      <c r="G504" s="1082"/>
      <c r="H504" s="18"/>
    </row>
    <row r="505" spans="1:8" ht="11.25" customHeight="1" thickBot="1" x14ac:dyDescent="0.25">
      <c r="A505" s="247"/>
      <c r="B505" s="905" t="s">
        <v>106</v>
      </c>
      <c r="C505" s="949">
        <f t="shared" ref="C505:D505" si="99">SUM(C499:C504)</f>
        <v>42000</v>
      </c>
      <c r="D505" s="949">
        <f t="shared" si="99"/>
        <v>42176</v>
      </c>
      <c r="E505" s="949">
        <f t="shared" ref="E505:F505" si="100">SUM(E499:E504)</f>
        <v>42176</v>
      </c>
      <c r="F505" s="949">
        <f t="shared" si="100"/>
        <v>42176</v>
      </c>
      <c r="G505" s="1000">
        <f t="shared" si="94"/>
        <v>1</v>
      </c>
      <c r="H505" s="888"/>
    </row>
    <row r="506" spans="1:8" ht="12" customHeight="1" x14ac:dyDescent="0.2">
      <c r="A506" s="10">
        <v>3311</v>
      </c>
      <c r="B506" s="162" t="s">
        <v>107</v>
      </c>
      <c r="C506" s="241"/>
      <c r="D506" s="241"/>
      <c r="E506" s="241"/>
      <c r="F506" s="241"/>
      <c r="G506" s="885"/>
      <c r="H506" s="937"/>
    </row>
    <row r="507" spans="1:8" ht="12" customHeight="1" x14ac:dyDescent="0.2">
      <c r="A507" s="33"/>
      <c r="B507" s="34" t="s">
        <v>92</v>
      </c>
      <c r="C507" s="200"/>
      <c r="D507" s="200"/>
      <c r="E507" s="200"/>
      <c r="F507" s="200"/>
      <c r="G507" s="885"/>
      <c r="H507" s="937"/>
    </row>
    <row r="508" spans="1:8" ht="12" customHeight="1" x14ac:dyDescent="0.2">
      <c r="A508" s="33"/>
      <c r="B508" s="5" t="s">
        <v>250</v>
      </c>
      <c r="C508" s="200"/>
      <c r="D508" s="200"/>
      <c r="E508" s="200"/>
      <c r="F508" s="200"/>
      <c r="G508" s="1081"/>
      <c r="H508" s="937"/>
    </row>
    <row r="509" spans="1:8" ht="12" customHeight="1" x14ac:dyDescent="0.2">
      <c r="A509" s="33"/>
      <c r="B509" s="243" t="s">
        <v>239</v>
      </c>
      <c r="C509" s="200"/>
      <c r="D509" s="200"/>
      <c r="E509" s="200"/>
      <c r="F509" s="200"/>
      <c r="G509" s="943"/>
      <c r="H509" s="938"/>
    </row>
    <row r="510" spans="1:8" ht="12" customHeight="1" x14ac:dyDescent="0.2">
      <c r="A510" s="33"/>
      <c r="B510" s="6" t="s">
        <v>97</v>
      </c>
      <c r="C510" s="200">
        <v>8000</v>
      </c>
      <c r="D510" s="200">
        <v>8000</v>
      </c>
      <c r="E510" s="200">
        <f>8000+500</f>
        <v>8500</v>
      </c>
      <c r="F510" s="200">
        <f>8000+500</f>
        <v>8500</v>
      </c>
      <c r="G510" s="943">
        <f t="shared" si="94"/>
        <v>1</v>
      </c>
      <c r="H510" s="1016"/>
    </row>
    <row r="511" spans="1:8" ht="12" customHeight="1" x14ac:dyDescent="0.2">
      <c r="A511" s="33"/>
      <c r="B511" s="6" t="s">
        <v>246</v>
      </c>
      <c r="C511" s="953"/>
      <c r="D511" s="953"/>
      <c r="E511" s="953"/>
      <c r="F511" s="953"/>
      <c r="G511" s="943"/>
      <c r="H511" s="1017"/>
    </row>
    <row r="512" spans="1:8" ht="12" customHeight="1" thickBot="1" x14ac:dyDescent="0.25">
      <c r="A512" s="33"/>
      <c r="B512" s="904" t="s">
        <v>65</v>
      </c>
      <c r="C512" s="956"/>
      <c r="D512" s="956"/>
      <c r="E512" s="956"/>
      <c r="F512" s="956"/>
      <c r="G512" s="1082"/>
      <c r="H512" s="18"/>
    </row>
    <row r="513" spans="1:8" ht="12.75" thickBot="1" x14ac:dyDescent="0.25">
      <c r="A513" s="247"/>
      <c r="B513" s="905" t="s">
        <v>106</v>
      </c>
      <c r="C513" s="949">
        <f t="shared" ref="C513:D513" si="101">SUM(C507:C512)</f>
        <v>8000</v>
      </c>
      <c r="D513" s="949">
        <f t="shared" si="101"/>
        <v>8000</v>
      </c>
      <c r="E513" s="949">
        <f t="shared" ref="E513:F513" si="102">SUM(E507:E512)</f>
        <v>8500</v>
      </c>
      <c r="F513" s="949">
        <f t="shared" si="102"/>
        <v>8500</v>
      </c>
      <c r="G513" s="1000">
        <f t="shared" si="94"/>
        <v>1</v>
      </c>
      <c r="H513" s="888"/>
    </row>
    <row r="514" spans="1:8" x14ac:dyDescent="0.2">
      <c r="A514" s="248">
        <v>3312</v>
      </c>
      <c r="B514" s="162" t="s">
        <v>321</v>
      </c>
      <c r="C514" s="241"/>
      <c r="D514" s="241"/>
      <c r="E514" s="241"/>
      <c r="F514" s="241"/>
      <c r="G514" s="885"/>
      <c r="H514" s="937"/>
    </row>
    <row r="515" spans="1:8" x14ac:dyDescent="0.2">
      <c r="A515" s="33"/>
      <c r="B515" s="34" t="s">
        <v>92</v>
      </c>
      <c r="C515" s="200"/>
      <c r="D515" s="200"/>
      <c r="E515" s="200"/>
      <c r="F515" s="200"/>
      <c r="G515" s="885"/>
      <c r="H515" s="937"/>
    </row>
    <row r="516" spans="1:8" ht="12.75" x14ac:dyDescent="0.2">
      <c r="A516" s="33"/>
      <c r="B516" s="5" t="s">
        <v>250</v>
      </c>
      <c r="C516" s="200"/>
      <c r="D516" s="200"/>
      <c r="E516" s="200"/>
      <c r="F516" s="200"/>
      <c r="G516" s="1081"/>
      <c r="H516" s="1017"/>
    </row>
    <row r="517" spans="1:8" x14ac:dyDescent="0.2">
      <c r="A517" s="33"/>
      <c r="B517" s="243" t="s">
        <v>239</v>
      </c>
      <c r="C517" s="200">
        <v>900</v>
      </c>
      <c r="D517" s="200">
        <v>900</v>
      </c>
      <c r="E517" s="200">
        <v>900</v>
      </c>
      <c r="F517" s="200">
        <v>900</v>
      </c>
      <c r="G517" s="943">
        <f t="shared" si="94"/>
        <v>1</v>
      </c>
      <c r="H517" s="952"/>
    </row>
    <row r="518" spans="1:8" x14ac:dyDescent="0.2">
      <c r="A518" s="33"/>
      <c r="B518" s="6" t="s">
        <v>97</v>
      </c>
      <c r="C518" s="200">
        <v>35000</v>
      </c>
      <c r="D518" s="200">
        <f>35000+133</f>
        <v>35133</v>
      </c>
      <c r="E518" s="200">
        <f>35133-7000</f>
        <v>28133</v>
      </c>
      <c r="F518" s="200">
        <f>35133-7000</f>
        <v>28133</v>
      </c>
      <c r="G518" s="943">
        <f t="shared" si="94"/>
        <v>1</v>
      </c>
      <c r="H518" s="938"/>
    </row>
    <row r="519" spans="1:8" ht="12.75" x14ac:dyDescent="0.2">
      <c r="A519" s="33"/>
      <c r="B519" s="6" t="s">
        <v>246</v>
      </c>
      <c r="C519" s="953"/>
      <c r="D519" s="953"/>
      <c r="E519" s="953"/>
      <c r="F519" s="953"/>
      <c r="G519" s="943"/>
      <c r="H519" s="1018"/>
    </row>
    <row r="520" spans="1:8" ht="12.75" thickBot="1" x14ac:dyDescent="0.25">
      <c r="A520" s="33"/>
      <c r="B520" s="904" t="s">
        <v>65</v>
      </c>
      <c r="C520" s="956"/>
      <c r="D520" s="956"/>
      <c r="E520" s="956"/>
      <c r="F520" s="956"/>
      <c r="G520" s="1083"/>
      <c r="H520" s="18"/>
    </row>
    <row r="521" spans="1:8" ht="12.75" thickBot="1" x14ac:dyDescent="0.25">
      <c r="A521" s="247"/>
      <c r="B521" s="905" t="s">
        <v>106</v>
      </c>
      <c r="C521" s="949">
        <f t="shared" ref="C521:D521" si="103">SUM(C515:C520)</f>
        <v>35900</v>
      </c>
      <c r="D521" s="949">
        <f t="shared" si="103"/>
        <v>36033</v>
      </c>
      <c r="E521" s="955">
        <f t="shared" ref="E521:F521" si="104">SUM(E515:E520)</f>
        <v>29033</v>
      </c>
      <c r="F521" s="955">
        <f t="shared" si="104"/>
        <v>29033</v>
      </c>
      <c r="G521" s="1082">
        <f t="shared" si="94"/>
        <v>1</v>
      </c>
      <c r="H521" s="888"/>
    </row>
    <row r="522" spans="1:8" x14ac:dyDescent="0.2">
      <c r="A522" s="248">
        <v>3313</v>
      </c>
      <c r="B522" s="941" t="s">
        <v>1022</v>
      </c>
      <c r="C522" s="241"/>
      <c r="D522" s="241"/>
      <c r="E522" s="241"/>
      <c r="F522" s="241"/>
      <c r="G522" s="885"/>
      <c r="H522" s="937"/>
    </row>
    <row r="523" spans="1:8" x14ac:dyDescent="0.2">
      <c r="A523" s="33"/>
      <c r="B523" s="34" t="s">
        <v>92</v>
      </c>
      <c r="C523" s="200"/>
      <c r="D523" s="200"/>
      <c r="E523" s="200"/>
      <c r="F523" s="200"/>
      <c r="G523" s="1081"/>
      <c r="H523" s="937"/>
    </row>
    <row r="524" spans="1:8" ht="12.75" x14ac:dyDescent="0.2">
      <c r="A524" s="33"/>
      <c r="B524" s="5" t="s">
        <v>250</v>
      </c>
      <c r="C524" s="200"/>
      <c r="D524" s="200"/>
      <c r="E524" s="200"/>
      <c r="F524" s="200"/>
      <c r="G524" s="943"/>
      <c r="H524" s="1017"/>
    </row>
    <row r="525" spans="1:8" x14ac:dyDescent="0.2">
      <c r="A525" s="33"/>
      <c r="B525" s="243" t="s">
        <v>239</v>
      </c>
      <c r="C525" s="200">
        <v>150</v>
      </c>
      <c r="D525" s="200">
        <v>150</v>
      </c>
      <c r="E525" s="200">
        <v>150</v>
      </c>
      <c r="F525" s="200">
        <v>150</v>
      </c>
      <c r="G525" s="943">
        <f t="shared" si="94"/>
        <v>1</v>
      </c>
      <c r="H525" s="952"/>
    </row>
    <row r="526" spans="1:8" x14ac:dyDescent="0.2">
      <c r="A526" s="33"/>
      <c r="B526" s="6" t="s">
        <v>97</v>
      </c>
      <c r="C526" s="200">
        <v>5000</v>
      </c>
      <c r="D526" s="200">
        <f>5000+45</f>
        <v>5045</v>
      </c>
      <c r="E526" s="200">
        <f>5045+6500</f>
        <v>11545</v>
      </c>
      <c r="F526" s="200">
        <f>5045+6500</f>
        <v>11545</v>
      </c>
      <c r="G526" s="943">
        <f t="shared" si="94"/>
        <v>1</v>
      </c>
      <c r="H526" s="938"/>
    </row>
    <row r="527" spans="1:8" ht="12.75" x14ac:dyDescent="0.2">
      <c r="A527" s="33"/>
      <c r="B527" s="6" t="s">
        <v>246</v>
      </c>
      <c r="C527" s="953"/>
      <c r="D527" s="953"/>
      <c r="E527" s="953"/>
      <c r="F527" s="953"/>
      <c r="G527" s="943"/>
      <c r="H527" s="1018"/>
    </row>
    <row r="528" spans="1:8" ht="12.75" thickBot="1" x14ac:dyDescent="0.25">
      <c r="A528" s="33"/>
      <c r="B528" s="904" t="s">
        <v>65</v>
      </c>
      <c r="C528" s="956"/>
      <c r="D528" s="956"/>
      <c r="E528" s="956"/>
      <c r="F528" s="956"/>
      <c r="G528" s="1082"/>
      <c r="H528" s="18"/>
    </row>
    <row r="529" spans="1:8" ht="12.75" thickBot="1" x14ac:dyDescent="0.25">
      <c r="A529" s="247"/>
      <c r="B529" s="905" t="s">
        <v>106</v>
      </c>
      <c r="C529" s="949">
        <f t="shared" ref="C529:D529" si="105">SUM(C523:C528)</f>
        <v>5150</v>
      </c>
      <c r="D529" s="949">
        <f t="shared" si="105"/>
        <v>5195</v>
      </c>
      <c r="E529" s="949">
        <f t="shared" ref="E529:F529" si="106">SUM(E523:E528)</f>
        <v>11695</v>
      </c>
      <c r="F529" s="949">
        <f t="shared" si="106"/>
        <v>11695</v>
      </c>
      <c r="G529" s="1000">
        <f t="shared" si="94"/>
        <v>1</v>
      </c>
      <c r="H529" s="888"/>
    </row>
    <row r="530" spans="1:8" x14ac:dyDescent="0.2">
      <c r="A530" s="248">
        <v>3316</v>
      </c>
      <c r="B530" s="162" t="s">
        <v>108</v>
      </c>
      <c r="C530" s="241"/>
      <c r="D530" s="241"/>
      <c r="E530" s="241"/>
      <c r="F530" s="241"/>
      <c r="G530" s="885"/>
      <c r="H530" s="937"/>
    </row>
    <row r="531" spans="1:8" x14ac:dyDescent="0.2">
      <c r="A531" s="33"/>
      <c r="B531" s="34" t="s">
        <v>92</v>
      </c>
      <c r="C531" s="200"/>
      <c r="D531" s="200"/>
      <c r="E531" s="200"/>
      <c r="F531" s="200"/>
      <c r="G531" s="885"/>
      <c r="H531" s="937"/>
    </row>
    <row r="532" spans="1:8" ht="12.75" x14ac:dyDescent="0.2">
      <c r="A532" s="33"/>
      <c r="B532" s="5" t="s">
        <v>250</v>
      </c>
      <c r="C532" s="200"/>
      <c r="D532" s="200"/>
      <c r="E532" s="200"/>
      <c r="F532" s="200"/>
      <c r="G532" s="885"/>
      <c r="H532" s="1017"/>
    </row>
    <row r="533" spans="1:8" x14ac:dyDescent="0.2">
      <c r="A533" s="33"/>
      <c r="B533" s="243" t="s">
        <v>239</v>
      </c>
      <c r="C533" s="200"/>
      <c r="D533" s="200"/>
      <c r="E533" s="200"/>
      <c r="F533" s="200"/>
      <c r="G533" s="1081"/>
      <c r="H533" s="938"/>
    </row>
    <row r="534" spans="1:8" x14ac:dyDescent="0.2">
      <c r="A534" s="33"/>
      <c r="B534" s="6" t="s">
        <v>97</v>
      </c>
      <c r="C534" s="200">
        <v>6000</v>
      </c>
      <c r="D534" s="200">
        <f>6000+12</f>
        <v>6012</v>
      </c>
      <c r="E534" s="200">
        <f>6012-3500</f>
        <v>2512</v>
      </c>
      <c r="F534" s="200">
        <f>6012-3500</f>
        <v>2512</v>
      </c>
      <c r="G534" s="943">
        <f t="shared" si="94"/>
        <v>1</v>
      </c>
      <c r="H534" s="937"/>
    </row>
    <row r="535" spans="1:8" x14ac:dyDescent="0.2">
      <c r="A535" s="33"/>
      <c r="B535" s="6" t="s">
        <v>246</v>
      </c>
      <c r="C535" s="953"/>
      <c r="D535" s="953"/>
      <c r="E535" s="953"/>
      <c r="F535" s="953"/>
      <c r="G535" s="943"/>
      <c r="H535" s="937"/>
    </row>
    <row r="536" spans="1:8" ht="12.75" thickBot="1" x14ac:dyDescent="0.25">
      <c r="A536" s="33"/>
      <c r="B536" s="904" t="s">
        <v>65</v>
      </c>
      <c r="C536" s="956"/>
      <c r="D536" s="956"/>
      <c r="E536" s="956"/>
      <c r="F536" s="956"/>
      <c r="G536" s="1082"/>
      <c r="H536" s="18"/>
    </row>
    <row r="537" spans="1:8" ht="12.75" thickBot="1" x14ac:dyDescent="0.25">
      <c r="A537" s="247"/>
      <c r="B537" s="905" t="s">
        <v>106</v>
      </c>
      <c r="C537" s="949">
        <f t="shared" ref="C537:D537" si="107">SUM(C531:C536)</f>
        <v>6000</v>
      </c>
      <c r="D537" s="949">
        <f t="shared" si="107"/>
        <v>6012</v>
      </c>
      <c r="E537" s="949">
        <f t="shared" ref="E537:F537" si="108">SUM(E531:E536)</f>
        <v>2512</v>
      </c>
      <c r="F537" s="949">
        <f t="shared" si="108"/>
        <v>2512</v>
      </c>
      <c r="G537" s="1000">
        <f t="shared" si="94"/>
        <v>1</v>
      </c>
      <c r="H537" s="888"/>
    </row>
    <row r="538" spans="1:8" x14ac:dyDescent="0.2">
      <c r="A538" s="248">
        <v>3317</v>
      </c>
      <c r="B538" s="1019" t="s">
        <v>970</v>
      </c>
      <c r="C538" s="241"/>
      <c r="D538" s="241"/>
      <c r="E538" s="241"/>
      <c r="F538" s="241"/>
      <c r="G538" s="885"/>
      <c r="H538" s="937"/>
    </row>
    <row r="539" spans="1:8" x14ac:dyDescent="0.2">
      <c r="A539" s="33"/>
      <c r="B539" s="34" t="s">
        <v>92</v>
      </c>
      <c r="C539" s="200"/>
      <c r="D539" s="200"/>
      <c r="E539" s="200"/>
      <c r="F539" s="200"/>
      <c r="G539" s="885"/>
      <c r="H539" s="937"/>
    </row>
    <row r="540" spans="1:8" x14ac:dyDescent="0.2">
      <c r="A540" s="33"/>
      <c r="B540" s="5" t="s">
        <v>250</v>
      </c>
      <c r="C540" s="200"/>
      <c r="D540" s="200"/>
      <c r="E540" s="200"/>
      <c r="F540" s="200"/>
      <c r="G540" s="1081"/>
      <c r="H540" s="952"/>
    </row>
    <row r="541" spans="1:8" x14ac:dyDescent="0.2">
      <c r="A541" s="33"/>
      <c r="B541" s="243" t="s">
        <v>239</v>
      </c>
      <c r="C541" s="200">
        <v>1500</v>
      </c>
      <c r="D541" s="200">
        <f>1500+67</f>
        <v>1567</v>
      </c>
      <c r="E541" s="200">
        <f>1500+67</f>
        <v>1567</v>
      </c>
      <c r="F541" s="200">
        <f>1500+67</f>
        <v>1567</v>
      </c>
      <c r="G541" s="943">
        <f t="shared" si="94"/>
        <v>1</v>
      </c>
      <c r="H541" s="952"/>
    </row>
    <row r="542" spans="1:8" x14ac:dyDescent="0.2">
      <c r="A542" s="33"/>
      <c r="B542" s="6" t="s">
        <v>97</v>
      </c>
      <c r="C542" s="200">
        <v>35000</v>
      </c>
      <c r="D542" s="200">
        <f>35000+154</f>
        <v>35154</v>
      </c>
      <c r="E542" s="200">
        <f>35154-6000</f>
        <v>29154</v>
      </c>
      <c r="F542" s="200">
        <f>35154-6000</f>
        <v>29154</v>
      </c>
      <c r="G542" s="943">
        <f t="shared" si="94"/>
        <v>1</v>
      </c>
      <c r="H542" s="938"/>
    </row>
    <row r="543" spans="1:8" ht="12.75" x14ac:dyDescent="0.2">
      <c r="A543" s="33"/>
      <c r="B543" s="6" t="s">
        <v>246</v>
      </c>
      <c r="C543" s="953"/>
      <c r="D543" s="953"/>
      <c r="E543" s="953"/>
      <c r="F543" s="953"/>
      <c r="G543" s="943"/>
      <c r="H543" s="1018"/>
    </row>
    <row r="544" spans="1:8" ht="12.75" thickBot="1" x14ac:dyDescent="0.25">
      <c r="A544" s="33"/>
      <c r="B544" s="904" t="s">
        <v>65</v>
      </c>
      <c r="C544" s="956"/>
      <c r="D544" s="956"/>
      <c r="E544" s="956"/>
      <c r="F544" s="956"/>
      <c r="G544" s="1082"/>
      <c r="H544" s="18"/>
    </row>
    <row r="545" spans="1:8" ht="12.75" thickBot="1" x14ac:dyDescent="0.25">
      <c r="A545" s="247"/>
      <c r="B545" s="905" t="s">
        <v>106</v>
      </c>
      <c r="C545" s="949">
        <f t="shared" ref="C545:D545" si="109">SUM(C539:C544)</f>
        <v>36500</v>
      </c>
      <c r="D545" s="949">
        <f t="shared" si="109"/>
        <v>36721</v>
      </c>
      <c r="E545" s="949">
        <f t="shared" ref="E545:F545" si="110">SUM(E539:E544)</f>
        <v>30721</v>
      </c>
      <c r="F545" s="949">
        <f t="shared" si="110"/>
        <v>30721</v>
      </c>
      <c r="G545" s="1000">
        <f t="shared" si="94"/>
        <v>1</v>
      </c>
      <c r="H545" s="888"/>
    </row>
    <row r="546" spans="1:8" ht="12" customHeight="1" x14ac:dyDescent="0.2">
      <c r="A546" s="10">
        <v>3323</v>
      </c>
      <c r="B546" s="162" t="s">
        <v>304</v>
      </c>
      <c r="C546" s="241"/>
      <c r="D546" s="241"/>
      <c r="E546" s="241"/>
      <c r="F546" s="241"/>
      <c r="G546" s="885"/>
      <c r="H546" s="937"/>
    </row>
    <row r="547" spans="1:8" ht="12" customHeight="1" x14ac:dyDescent="0.2">
      <c r="A547" s="33"/>
      <c r="B547" s="34" t="s">
        <v>92</v>
      </c>
      <c r="C547" s="200"/>
      <c r="D547" s="200"/>
      <c r="E547" s="200"/>
      <c r="F547" s="200"/>
      <c r="G547" s="885"/>
      <c r="H547" s="937"/>
    </row>
    <row r="548" spans="1:8" ht="12" customHeight="1" x14ac:dyDescent="0.2">
      <c r="A548" s="33"/>
      <c r="B548" s="5" t="s">
        <v>250</v>
      </c>
      <c r="C548" s="200"/>
      <c r="D548" s="200"/>
      <c r="E548" s="200"/>
      <c r="F548" s="200"/>
      <c r="G548" s="885"/>
      <c r="H548" s="1017"/>
    </row>
    <row r="549" spans="1:8" ht="12" customHeight="1" x14ac:dyDescent="0.2">
      <c r="A549" s="33"/>
      <c r="B549" s="243" t="s">
        <v>239</v>
      </c>
      <c r="C549" s="200"/>
      <c r="D549" s="200"/>
      <c r="E549" s="200"/>
      <c r="F549" s="200"/>
      <c r="G549" s="1081"/>
      <c r="H549" s="952"/>
    </row>
    <row r="550" spans="1:8" ht="12" customHeight="1" x14ac:dyDescent="0.2">
      <c r="A550" s="33"/>
      <c r="B550" s="6" t="s">
        <v>97</v>
      </c>
      <c r="C550" s="200">
        <v>5000</v>
      </c>
      <c r="D550" s="200">
        <v>5000</v>
      </c>
      <c r="E550" s="200">
        <v>5000</v>
      </c>
      <c r="F550" s="200">
        <v>5000</v>
      </c>
      <c r="G550" s="943">
        <f t="shared" ref="G550:G607" si="111">F550/E550</f>
        <v>1</v>
      </c>
      <c r="H550" s="1020"/>
    </row>
    <row r="551" spans="1:8" ht="12" customHeight="1" x14ac:dyDescent="0.2">
      <c r="A551" s="33"/>
      <c r="B551" s="6" t="s">
        <v>246</v>
      </c>
      <c r="C551" s="953"/>
      <c r="D551" s="953"/>
      <c r="E551" s="953"/>
      <c r="F551" s="953"/>
      <c r="G551" s="943"/>
      <c r="H551" s="1017"/>
    </row>
    <row r="552" spans="1:8" ht="12" customHeight="1" thickBot="1" x14ac:dyDescent="0.25">
      <c r="A552" s="33"/>
      <c r="B552" s="904" t="s">
        <v>65</v>
      </c>
      <c r="C552" s="956"/>
      <c r="D552" s="956"/>
      <c r="E552" s="956"/>
      <c r="F552" s="956"/>
      <c r="G552" s="1082"/>
      <c r="H552" s="1021"/>
    </row>
    <row r="553" spans="1:8" ht="12" customHeight="1" thickBot="1" x14ac:dyDescent="0.25">
      <c r="A553" s="247"/>
      <c r="B553" s="905" t="s">
        <v>106</v>
      </c>
      <c r="C553" s="949">
        <f t="shared" ref="C553:D553" si="112">SUM(C547:C552)</f>
        <v>5000</v>
      </c>
      <c r="D553" s="949">
        <f t="shared" si="112"/>
        <v>5000</v>
      </c>
      <c r="E553" s="949">
        <f t="shared" ref="E553:F553" si="113">SUM(E547:E552)</f>
        <v>5000</v>
      </c>
      <c r="F553" s="949">
        <f t="shared" si="113"/>
        <v>5000</v>
      </c>
      <c r="G553" s="1000">
        <f t="shared" si="111"/>
        <v>1</v>
      </c>
      <c r="H553" s="888"/>
    </row>
    <row r="554" spans="1:8" ht="12" customHeight="1" x14ac:dyDescent="0.2">
      <c r="A554" s="10">
        <v>3325</v>
      </c>
      <c r="B554" s="162" t="s">
        <v>971</v>
      </c>
      <c r="C554" s="241"/>
      <c r="D554" s="241"/>
      <c r="E554" s="241"/>
      <c r="F554" s="241"/>
      <c r="G554" s="885"/>
      <c r="H554" s="937"/>
    </row>
    <row r="555" spans="1:8" ht="12" customHeight="1" x14ac:dyDescent="0.2">
      <c r="A555" s="33"/>
      <c r="B555" s="34" t="s">
        <v>92</v>
      </c>
      <c r="C555" s="200"/>
      <c r="D555" s="200"/>
      <c r="E555" s="200"/>
      <c r="F555" s="200"/>
      <c r="G555" s="885"/>
      <c r="H555" s="937"/>
    </row>
    <row r="556" spans="1:8" ht="12" customHeight="1" x14ac:dyDescent="0.2">
      <c r="A556" s="33"/>
      <c r="B556" s="5" t="s">
        <v>250</v>
      </c>
      <c r="C556" s="200"/>
      <c r="D556" s="200"/>
      <c r="E556" s="200"/>
      <c r="F556" s="200"/>
      <c r="G556" s="1081"/>
      <c r="H556" s="1016"/>
    </row>
    <row r="557" spans="1:8" ht="12" customHeight="1" x14ac:dyDescent="0.2">
      <c r="A557" s="33"/>
      <c r="B557" s="243" t="s">
        <v>239</v>
      </c>
      <c r="C557" s="200">
        <v>600</v>
      </c>
      <c r="D557" s="200">
        <v>600</v>
      </c>
      <c r="E557" s="200">
        <v>600</v>
      </c>
      <c r="F557" s="200">
        <v>600</v>
      </c>
      <c r="G557" s="943">
        <f t="shared" si="111"/>
        <v>1</v>
      </c>
      <c r="H557" s="1022"/>
    </row>
    <row r="558" spans="1:8" ht="12" customHeight="1" x14ac:dyDescent="0.2">
      <c r="A558" s="33"/>
      <c r="B558" s="6" t="s">
        <v>97</v>
      </c>
      <c r="C558" s="200">
        <v>13000</v>
      </c>
      <c r="D558" s="200">
        <f>13000+18</f>
        <v>13018</v>
      </c>
      <c r="E558" s="200">
        <f>13018-6000</f>
        <v>7018</v>
      </c>
      <c r="F558" s="200">
        <f>13018-6000</f>
        <v>7018</v>
      </c>
      <c r="G558" s="943">
        <f t="shared" si="111"/>
        <v>1</v>
      </c>
      <c r="H558" s="1023"/>
    </row>
    <row r="559" spans="1:8" ht="12" customHeight="1" x14ac:dyDescent="0.2">
      <c r="A559" s="33"/>
      <c r="B559" s="6" t="s">
        <v>246</v>
      </c>
      <c r="C559" s="953"/>
      <c r="D559" s="953"/>
      <c r="E559" s="953"/>
      <c r="F559" s="953"/>
      <c r="G559" s="943"/>
      <c r="H559" s="1011"/>
    </row>
    <row r="560" spans="1:8" ht="12" customHeight="1" thickBot="1" x14ac:dyDescent="0.25">
      <c r="A560" s="33"/>
      <c r="B560" s="904" t="s">
        <v>65</v>
      </c>
      <c r="C560" s="956"/>
      <c r="D560" s="956"/>
      <c r="E560" s="956"/>
      <c r="F560" s="956"/>
      <c r="G560" s="1082"/>
      <c r="H560" s="1021"/>
    </row>
    <row r="561" spans="1:8" ht="12" customHeight="1" thickBot="1" x14ac:dyDescent="0.25">
      <c r="A561" s="247"/>
      <c r="B561" s="905" t="s">
        <v>106</v>
      </c>
      <c r="C561" s="949">
        <f t="shared" ref="C561:D561" si="114">SUM(C555:C560)</f>
        <v>13600</v>
      </c>
      <c r="D561" s="949">
        <f t="shared" si="114"/>
        <v>13618</v>
      </c>
      <c r="E561" s="949">
        <f t="shared" ref="E561:F561" si="115">SUM(E555:E560)</f>
        <v>7618</v>
      </c>
      <c r="F561" s="949">
        <f t="shared" si="115"/>
        <v>7618</v>
      </c>
      <c r="G561" s="1000">
        <f t="shared" si="111"/>
        <v>1</v>
      </c>
      <c r="H561" s="888"/>
    </row>
    <row r="562" spans="1:8" hidden="1" x14ac:dyDescent="0.2">
      <c r="A562" s="10">
        <v>3330</v>
      </c>
      <c r="B562" s="162" t="s">
        <v>1111</v>
      </c>
      <c r="C562" s="241"/>
      <c r="D562" s="241"/>
      <c r="E562" s="241"/>
      <c r="F562" s="241"/>
      <c r="G562" s="885" t="e">
        <f t="shared" si="111"/>
        <v>#DIV/0!</v>
      </c>
      <c r="H562" s="937"/>
    </row>
    <row r="563" spans="1:8" hidden="1" x14ac:dyDescent="0.2">
      <c r="A563" s="33"/>
      <c r="B563" s="34" t="s">
        <v>92</v>
      </c>
      <c r="C563" s="200"/>
      <c r="D563" s="200"/>
      <c r="E563" s="200"/>
      <c r="F563" s="200"/>
      <c r="G563" s="885" t="e">
        <f t="shared" si="111"/>
        <v>#DIV/0!</v>
      </c>
      <c r="H563" s="937"/>
    </row>
    <row r="564" spans="1:8" ht="12.75" hidden="1" x14ac:dyDescent="0.2">
      <c r="A564" s="33"/>
      <c r="B564" s="5" t="s">
        <v>250</v>
      </c>
      <c r="C564" s="200"/>
      <c r="D564" s="200"/>
      <c r="E564" s="200"/>
      <c r="F564" s="200"/>
      <c r="G564" s="885" t="e">
        <f t="shared" si="111"/>
        <v>#DIV/0!</v>
      </c>
      <c r="H564" s="1017"/>
    </row>
    <row r="565" spans="1:8" hidden="1" x14ac:dyDescent="0.2">
      <c r="A565" s="33"/>
      <c r="B565" s="243" t="s">
        <v>239</v>
      </c>
      <c r="C565" s="200"/>
      <c r="D565" s="200"/>
      <c r="E565" s="200"/>
      <c r="F565" s="200"/>
      <c r="G565" s="885" t="e">
        <f t="shared" si="111"/>
        <v>#DIV/0!</v>
      </c>
      <c r="H565" s="952"/>
    </row>
    <row r="566" spans="1:8" hidden="1" x14ac:dyDescent="0.2">
      <c r="A566" s="33"/>
      <c r="B566" s="6" t="s">
        <v>97</v>
      </c>
      <c r="C566" s="200"/>
      <c r="D566" s="200"/>
      <c r="E566" s="200"/>
      <c r="F566" s="200"/>
      <c r="G566" s="885" t="e">
        <f t="shared" si="111"/>
        <v>#DIV/0!</v>
      </c>
      <c r="H566" s="1020"/>
    </row>
    <row r="567" spans="1:8" ht="12.75" hidden="1" x14ac:dyDescent="0.2">
      <c r="A567" s="33"/>
      <c r="B567" s="6" t="s">
        <v>246</v>
      </c>
      <c r="C567" s="953"/>
      <c r="D567" s="953"/>
      <c r="E567" s="953"/>
      <c r="F567" s="953"/>
      <c r="G567" s="885" t="e">
        <f t="shared" si="111"/>
        <v>#DIV/0!</v>
      </c>
      <c r="H567" s="1017"/>
    </row>
    <row r="568" spans="1:8" ht="12.75" hidden="1" thickBot="1" x14ac:dyDescent="0.25">
      <c r="A568" s="33"/>
      <c r="B568" s="904" t="s">
        <v>65</v>
      </c>
      <c r="C568" s="682"/>
      <c r="D568" s="682"/>
      <c r="E568" s="682"/>
      <c r="F568" s="682"/>
      <c r="G568" s="885" t="e">
        <f t="shared" si="111"/>
        <v>#DIV/0!</v>
      </c>
      <c r="H568" s="1021"/>
    </row>
    <row r="569" spans="1:8" ht="12.75" hidden="1" thickBot="1" x14ac:dyDescent="0.25">
      <c r="A569" s="247"/>
      <c r="B569" s="905" t="s">
        <v>106</v>
      </c>
      <c r="C569" s="1024">
        <f>C563+C564+C565+C566+C567+C568</f>
        <v>0</v>
      </c>
      <c r="D569" s="1024">
        <f>D563+D564+D565+D566+D567+D568</f>
        <v>0</v>
      </c>
      <c r="E569" s="1112">
        <f>E563+E564+E565+E566+E567+E568</f>
        <v>0</v>
      </c>
      <c r="F569" s="1112">
        <f>F563+F564+F565+F566+F567+F568</f>
        <v>0</v>
      </c>
      <c r="G569" s="885" t="e">
        <f t="shared" si="111"/>
        <v>#DIV/0!</v>
      </c>
      <c r="H569" s="931"/>
    </row>
    <row r="570" spans="1:8" x14ac:dyDescent="0.2">
      <c r="A570" s="256">
        <v>3340</v>
      </c>
      <c r="B570" s="254" t="s">
        <v>392</v>
      </c>
      <c r="C570" s="241"/>
      <c r="D570" s="241"/>
      <c r="E570" s="241"/>
      <c r="F570" s="241"/>
      <c r="G570" s="885"/>
      <c r="H570" s="937"/>
    </row>
    <row r="571" spans="1:8" ht="12" customHeight="1" x14ac:dyDescent="0.2">
      <c r="A571" s="10"/>
      <c r="B571" s="34" t="s">
        <v>92</v>
      </c>
      <c r="C571" s="241"/>
      <c r="D571" s="241"/>
      <c r="E571" s="241"/>
      <c r="F571" s="241"/>
      <c r="G571" s="1081"/>
      <c r="H571" s="937"/>
    </row>
    <row r="572" spans="1:8" ht="12" customHeight="1" x14ac:dyDescent="0.2">
      <c r="A572" s="10"/>
      <c r="B572" s="5" t="s">
        <v>250</v>
      </c>
      <c r="C572" s="241"/>
      <c r="D572" s="241"/>
      <c r="E572" s="241"/>
      <c r="F572" s="241"/>
      <c r="G572" s="943"/>
      <c r="H572" s="940" t="s">
        <v>1391</v>
      </c>
    </row>
    <row r="573" spans="1:8" ht="12" customHeight="1" x14ac:dyDescent="0.2">
      <c r="A573" s="37"/>
      <c r="B573" s="243" t="s">
        <v>239</v>
      </c>
      <c r="C573" s="953">
        <f>6000+2500</f>
        <v>8500</v>
      </c>
      <c r="D573" s="953">
        <f>8500+1392</f>
        <v>9892</v>
      </c>
      <c r="E573" s="953">
        <f>8500+1392</f>
        <v>9892</v>
      </c>
      <c r="F573" s="953">
        <f>8500+1392</f>
        <v>9892</v>
      </c>
      <c r="G573" s="943">
        <f t="shared" si="111"/>
        <v>1</v>
      </c>
      <c r="H573" s="1016"/>
    </row>
    <row r="574" spans="1:8" ht="12" customHeight="1" x14ac:dyDescent="0.2">
      <c r="A574" s="37"/>
      <c r="B574" s="6" t="s">
        <v>97</v>
      </c>
      <c r="C574" s="953"/>
      <c r="D574" s="953"/>
      <c r="E574" s="953"/>
      <c r="F574" s="953"/>
      <c r="G574" s="943"/>
      <c r="H574" s="1025"/>
    </row>
    <row r="575" spans="1:8" ht="12" customHeight="1" x14ac:dyDescent="0.2">
      <c r="A575" s="10"/>
      <c r="B575" s="6" t="s">
        <v>246</v>
      </c>
      <c r="C575" s="953"/>
      <c r="D575" s="953"/>
      <c r="E575" s="953"/>
      <c r="F575" s="953"/>
      <c r="G575" s="943"/>
      <c r="H575" s="937"/>
    </row>
    <row r="576" spans="1:8" ht="12" customHeight="1" thickBot="1" x14ac:dyDescent="0.25">
      <c r="A576" s="10"/>
      <c r="B576" s="904" t="s">
        <v>65</v>
      </c>
      <c r="C576" s="955"/>
      <c r="D576" s="955"/>
      <c r="E576" s="955"/>
      <c r="F576" s="955"/>
      <c r="G576" s="1082"/>
      <c r="H576" s="18"/>
    </row>
    <row r="577" spans="1:8" ht="12" customHeight="1" thickBot="1" x14ac:dyDescent="0.25">
      <c r="A577" s="236"/>
      <c r="B577" s="905" t="s">
        <v>106</v>
      </c>
      <c r="C577" s="949">
        <f t="shared" ref="C577:D577" si="116">SUM(C571:C576)</f>
        <v>8500</v>
      </c>
      <c r="D577" s="949">
        <f t="shared" si="116"/>
        <v>9892</v>
      </c>
      <c r="E577" s="949">
        <f t="shared" ref="E577:F577" si="117">SUM(E571:E576)</f>
        <v>9892</v>
      </c>
      <c r="F577" s="949">
        <f t="shared" si="117"/>
        <v>9892</v>
      </c>
      <c r="G577" s="1000">
        <f t="shared" si="111"/>
        <v>1</v>
      </c>
      <c r="H577" s="888"/>
    </row>
    <row r="578" spans="1:8" ht="12" customHeight="1" x14ac:dyDescent="0.2">
      <c r="A578" s="256">
        <v>3341</v>
      </c>
      <c r="B578" s="254" t="s">
        <v>323</v>
      </c>
      <c r="C578" s="241"/>
      <c r="D578" s="241"/>
      <c r="E578" s="241"/>
      <c r="F578" s="241"/>
      <c r="G578" s="885"/>
      <c r="H578" s="937"/>
    </row>
    <row r="579" spans="1:8" ht="12" customHeight="1" x14ac:dyDescent="0.2">
      <c r="A579" s="10"/>
      <c r="B579" s="34" t="s">
        <v>92</v>
      </c>
      <c r="C579" s="241"/>
      <c r="D579" s="241"/>
      <c r="E579" s="241"/>
      <c r="F579" s="241"/>
      <c r="G579" s="885"/>
      <c r="H579" s="937"/>
    </row>
    <row r="580" spans="1:8" ht="12" customHeight="1" x14ac:dyDescent="0.2">
      <c r="A580" s="10"/>
      <c r="B580" s="5" t="s">
        <v>250</v>
      </c>
      <c r="C580" s="241"/>
      <c r="D580" s="241"/>
      <c r="E580" s="241"/>
      <c r="F580" s="241"/>
      <c r="G580" s="1081"/>
      <c r="H580" s="952"/>
    </row>
    <row r="581" spans="1:8" ht="12" customHeight="1" x14ac:dyDescent="0.2">
      <c r="A581" s="37"/>
      <c r="B581" s="243" t="s">
        <v>239</v>
      </c>
      <c r="C581" s="953">
        <v>3000</v>
      </c>
      <c r="D581" s="953">
        <v>3000</v>
      </c>
      <c r="E581" s="953">
        <v>3000</v>
      </c>
      <c r="F581" s="953">
        <v>3000</v>
      </c>
      <c r="G581" s="943">
        <f t="shared" si="111"/>
        <v>1</v>
      </c>
      <c r="H581" s="940" t="s">
        <v>1391</v>
      </c>
    </row>
    <row r="582" spans="1:8" ht="12" customHeight="1" x14ac:dyDescent="0.2">
      <c r="A582" s="37"/>
      <c r="B582" s="6" t="s">
        <v>97</v>
      </c>
      <c r="C582" s="953"/>
      <c r="D582" s="953"/>
      <c r="E582" s="953"/>
      <c r="F582" s="953"/>
      <c r="G582" s="943"/>
      <c r="H582" s="1025"/>
    </row>
    <row r="583" spans="1:8" ht="12" customHeight="1" x14ac:dyDescent="0.2">
      <c r="A583" s="10"/>
      <c r="B583" s="6" t="s">
        <v>246</v>
      </c>
      <c r="C583" s="241"/>
      <c r="D583" s="241"/>
      <c r="E583" s="241"/>
      <c r="F583" s="241"/>
      <c r="G583" s="943"/>
      <c r="H583" s="938"/>
    </row>
    <row r="584" spans="1:8" ht="12" customHeight="1" thickBot="1" x14ac:dyDescent="0.25">
      <c r="A584" s="10"/>
      <c r="B584" s="904" t="s">
        <v>65</v>
      </c>
      <c r="C584" s="955"/>
      <c r="D584" s="955"/>
      <c r="E584" s="955"/>
      <c r="F584" s="955"/>
      <c r="G584" s="1082"/>
      <c r="H584" s="18"/>
    </row>
    <row r="585" spans="1:8" ht="12" customHeight="1" thickBot="1" x14ac:dyDescent="0.25">
      <c r="A585" s="236"/>
      <c r="B585" s="905" t="s">
        <v>106</v>
      </c>
      <c r="C585" s="949">
        <f t="shared" ref="C585:D585" si="118">SUM(C579:C584)</f>
        <v>3000</v>
      </c>
      <c r="D585" s="949">
        <f t="shared" si="118"/>
        <v>3000</v>
      </c>
      <c r="E585" s="949">
        <f t="shared" ref="E585:F585" si="119">SUM(E579:E584)</f>
        <v>3000</v>
      </c>
      <c r="F585" s="949">
        <f t="shared" si="119"/>
        <v>3000</v>
      </c>
      <c r="G585" s="1000">
        <f t="shared" si="111"/>
        <v>1</v>
      </c>
      <c r="H585" s="888"/>
    </row>
    <row r="586" spans="1:8" ht="12" customHeight="1" x14ac:dyDescent="0.2">
      <c r="A586" s="256">
        <v>3342</v>
      </c>
      <c r="B586" s="254" t="s">
        <v>382</v>
      </c>
      <c r="C586" s="241"/>
      <c r="D586" s="241"/>
      <c r="E586" s="241"/>
      <c r="F586" s="241"/>
      <c r="G586" s="885"/>
      <c r="H586" s="937"/>
    </row>
    <row r="587" spans="1:8" ht="12" customHeight="1" x14ac:dyDescent="0.2">
      <c r="A587" s="10"/>
      <c r="B587" s="34" t="s">
        <v>92</v>
      </c>
      <c r="C587" s="241"/>
      <c r="D587" s="241"/>
      <c r="E587" s="241"/>
      <c r="F587" s="241"/>
      <c r="G587" s="885"/>
      <c r="H587" s="937"/>
    </row>
    <row r="588" spans="1:8" ht="12" customHeight="1" x14ac:dyDescent="0.2">
      <c r="A588" s="10"/>
      <c r="B588" s="5" t="s">
        <v>250</v>
      </c>
      <c r="C588" s="241"/>
      <c r="D588" s="241"/>
      <c r="E588" s="241"/>
      <c r="F588" s="241"/>
      <c r="G588" s="1081"/>
      <c r="H588" s="937"/>
    </row>
    <row r="589" spans="1:8" ht="12" customHeight="1" x14ac:dyDescent="0.2">
      <c r="A589" s="37"/>
      <c r="B589" s="243" t="s">
        <v>239</v>
      </c>
      <c r="C589" s="953">
        <v>880</v>
      </c>
      <c r="D589" s="953">
        <v>880</v>
      </c>
      <c r="E589" s="953">
        <v>880</v>
      </c>
      <c r="F589" s="953">
        <v>880</v>
      </c>
      <c r="G589" s="943">
        <f t="shared" si="111"/>
        <v>1</v>
      </c>
      <c r="H589" s="940" t="s">
        <v>1391</v>
      </c>
    </row>
    <row r="590" spans="1:8" ht="12" customHeight="1" x14ac:dyDescent="0.2">
      <c r="A590" s="37"/>
      <c r="B590" s="6" t="s">
        <v>97</v>
      </c>
      <c r="C590" s="953"/>
      <c r="D590" s="953"/>
      <c r="E590" s="953"/>
      <c r="F590" s="953"/>
      <c r="G590" s="943"/>
      <c r="H590" s="1025"/>
    </row>
    <row r="591" spans="1:8" ht="12" customHeight="1" x14ac:dyDescent="0.2">
      <c r="A591" s="10"/>
      <c r="B591" s="6" t="s">
        <v>246</v>
      </c>
      <c r="C591" s="241"/>
      <c r="D591" s="241"/>
      <c r="E591" s="241"/>
      <c r="F591" s="241"/>
      <c r="G591" s="943"/>
      <c r="H591" s="937"/>
    </row>
    <row r="592" spans="1:8" ht="12" customHeight="1" x14ac:dyDescent="0.2">
      <c r="A592" s="10"/>
      <c r="B592" s="6" t="s">
        <v>97</v>
      </c>
      <c r="C592" s="241"/>
      <c r="D592" s="241"/>
      <c r="E592" s="241"/>
      <c r="F592" s="241"/>
      <c r="G592" s="943"/>
      <c r="H592" s="945"/>
    </row>
    <row r="593" spans="1:8" ht="12" customHeight="1" thickBot="1" x14ac:dyDescent="0.25">
      <c r="A593" s="10"/>
      <c r="B593" s="904" t="s">
        <v>65</v>
      </c>
      <c r="C593" s="955"/>
      <c r="D593" s="955"/>
      <c r="E593" s="955"/>
      <c r="F593" s="955"/>
      <c r="G593" s="1082"/>
      <c r="H593" s="18"/>
    </row>
    <row r="594" spans="1:8" ht="12.75" thickBot="1" x14ac:dyDescent="0.25">
      <c r="A594" s="236"/>
      <c r="B594" s="905" t="s">
        <v>106</v>
      </c>
      <c r="C594" s="949">
        <f t="shared" ref="C594:D594" si="120">SUM(C587:C593)</f>
        <v>880</v>
      </c>
      <c r="D594" s="949">
        <f t="shared" si="120"/>
        <v>880</v>
      </c>
      <c r="E594" s="949">
        <f t="shared" ref="E594:F594" si="121">SUM(E587:E593)</f>
        <v>880</v>
      </c>
      <c r="F594" s="949">
        <f t="shared" si="121"/>
        <v>880</v>
      </c>
      <c r="G594" s="1000">
        <f t="shared" si="111"/>
        <v>1</v>
      </c>
      <c r="H594" s="888"/>
    </row>
    <row r="595" spans="1:8" x14ac:dyDescent="0.2">
      <c r="A595" s="256">
        <v>3343</v>
      </c>
      <c r="B595" s="254" t="s">
        <v>1055</v>
      </c>
      <c r="C595" s="241"/>
      <c r="D595" s="241"/>
      <c r="E595" s="241"/>
      <c r="F595" s="241"/>
      <c r="G595" s="885"/>
      <c r="H595" s="937"/>
    </row>
    <row r="596" spans="1:8" x14ac:dyDescent="0.2">
      <c r="A596" s="10"/>
      <c r="B596" s="34" t="s">
        <v>92</v>
      </c>
      <c r="C596" s="241"/>
      <c r="D596" s="241"/>
      <c r="E596" s="241"/>
      <c r="F596" s="241"/>
      <c r="G596" s="885"/>
      <c r="H596" s="937"/>
    </row>
    <row r="597" spans="1:8" x14ac:dyDescent="0.2">
      <c r="A597" s="10"/>
      <c r="B597" s="5" t="s">
        <v>250</v>
      </c>
      <c r="C597" s="241"/>
      <c r="D597" s="241"/>
      <c r="E597" s="241"/>
      <c r="F597" s="241"/>
      <c r="G597" s="1081"/>
      <c r="H597" s="937"/>
    </row>
    <row r="598" spans="1:8" x14ac:dyDescent="0.2">
      <c r="A598" s="37"/>
      <c r="B598" s="243" t="s">
        <v>239</v>
      </c>
      <c r="C598" s="953">
        <v>11715</v>
      </c>
      <c r="D598" s="953">
        <f>11715+11715</f>
        <v>23430</v>
      </c>
      <c r="E598" s="953">
        <f>11715+11715</f>
        <v>23430</v>
      </c>
      <c r="F598" s="953">
        <f>11715+11715</f>
        <v>23430</v>
      </c>
      <c r="G598" s="943">
        <f t="shared" si="111"/>
        <v>1</v>
      </c>
      <c r="H598" s="940" t="s">
        <v>1391</v>
      </c>
    </row>
    <row r="599" spans="1:8" ht="12.75" x14ac:dyDescent="0.2">
      <c r="A599" s="37"/>
      <c r="B599" s="6" t="s">
        <v>97</v>
      </c>
      <c r="C599" s="953"/>
      <c r="D599" s="953"/>
      <c r="E599" s="953"/>
      <c r="F599" s="953"/>
      <c r="G599" s="943"/>
      <c r="H599" s="1025"/>
    </row>
    <row r="600" spans="1:8" x14ac:dyDescent="0.2">
      <c r="A600" s="10"/>
      <c r="B600" s="6" t="s">
        <v>246</v>
      </c>
      <c r="C600" s="241"/>
      <c r="D600" s="241"/>
      <c r="E600" s="241"/>
      <c r="F600" s="241"/>
      <c r="G600" s="943"/>
      <c r="H600" s="937"/>
    </row>
    <row r="601" spans="1:8" x14ac:dyDescent="0.2">
      <c r="A601" s="10"/>
      <c r="B601" s="6" t="s">
        <v>97</v>
      </c>
      <c r="C601" s="241"/>
      <c r="D601" s="241"/>
      <c r="E601" s="241"/>
      <c r="F601" s="241"/>
      <c r="G601" s="943"/>
      <c r="H601" s="945"/>
    </row>
    <row r="602" spans="1:8" ht="12.75" thickBot="1" x14ac:dyDescent="0.25">
      <c r="A602" s="10"/>
      <c r="B602" s="904" t="s">
        <v>65</v>
      </c>
      <c r="C602" s="955"/>
      <c r="D602" s="955"/>
      <c r="E602" s="955"/>
      <c r="F602" s="955"/>
      <c r="G602" s="1082"/>
      <c r="H602" s="18"/>
    </row>
    <row r="603" spans="1:8" ht="12.75" thickBot="1" x14ac:dyDescent="0.25">
      <c r="A603" s="236"/>
      <c r="B603" s="905" t="s">
        <v>106</v>
      </c>
      <c r="C603" s="949">
        <f t="shared" ref="C603:D603" si="122">SUM(C596:C602)</f>
        <v>11715</v>
      </c>
      <c r="D603" s="949">
        <f t="shared" si="122"/>
        <v>23430</v>
      </c>
      <c r="E603" s="949">
        <f t="shared" ref="E603:F603" si="123">SUM(E596:E602)</f>
        <v>23430</v>
      </c>
      <c r="F603" s="949">
        <f t="shared" si="123"/>
        <v>23430</v>
      </c>
      <c r="G603" s="1000">
        <f t="shared" si="111"/>
        <v>1</v>
      </c>
      <c r="H603" s="888"/>
    </row>
    <row r="604" spans="1:8" x14ac:dyDescent="0.2">
      <c r="A604" s="10">
        <v>3344</v>
      </c>
      <c r="B604" s="242" t="s">
        <v>229</v>
      </c>
      <c r="C604" s="241"/>
      <c r="D604" s="241"/>
      <c r="E604" s="241"/>
      <c r="F604" s="241"/>
      <c r="G604" s="885"/>
      <c r="H604" s="937"/>
    </row>
    <row r="605" spans="1:8" ht="12" customHeight="1" x14ac:dyDescent="0.2">
      <c r="A605" s="10"/>
      <c r="B605" s="35" t="s">
        <v>92</v>
      </c>
      <c r="C605" s="241"/>
      <c r="D605" s="241"/>
      <c r="E605" s="241"/>
      <c r="F605" s="241"/>
      <c r="G605" s="885"/>
      <c r="H605" s="937"/>
    </row>
    <row r="606" spans="1:8" ht="12" customHeight="1" x14ac:dyDescent="0.2">
      <c r="A606" s="10"/>
      <c r="B606" s="5" t="s">
        <v>250</v>
      </c>
      <c r="C606" s="241"/>
      <c r="D606" s="241"/>
      <c r="E606" s="241"/>
      <c r="F606" s="241"/>
      <c r="G606" s="885"/>
      <c r="H606" s="940" t="s">
        <v>1391</v>
      </c>
    </row>
    <row r="607" spans="1:8" ht="12" customHeight="1" x14ac:dyDescent="0.2">
      <c r="A607" s="10"/>
      <c r="B607" s="35" t="s">
        <v>239</v>
      </c>
      <c r="C607" s="953">
        <v>1540</v>
      </c>
      <c r="D607" s="953">
        <v>1540</v>
      </c>
      <c r="E607" s="953">
        <v>1540</v>
      </c>
      <c r="F607" s="953">
        <v>1540</v>
      </c>
      <c r="G607" s="1081">
        <f t="shared" si="111"/>
        <v>1</v>
      </c>
      <c r="H607" s="1011"/>
    </row>
    <row r="608" spans="1:8" ht="12" customHeight="1" x14ac:dyDescent="0.2">
      <c r="A608" s="10"/>
      <c r="B608" s="5" t="s">
        <v>97</v>
      </c>
      <c r="C608" s="953"/>
      <c r="D608" s="953"/>
      <c r="E608" s="953"/>
      <c r="F608" s="953"/>
      <c r="G608" s="943"/>
      <c r="H608" s="1025"/>
    </row>
    <row r="609" spans="1:8" ht="12" customHeight="1" x14ac:dyDescent="0.2">
      <c r="A609" s="10"/>
      <c r="B609" s="6" t="s">
        <v>246</v>
      </c>
      <c r="C609" s="241"/>
      <c r="D609" s="241"/>
      <c r="E609" s="241"/>
      <c r="F609" s="241"/>
      <c r="G609" s="943"/>
      <c r="H609" s="937"/>
    </row>
    <row r="610" spans="1:8" ht="12" customHeight="1" thickBot="1" x14ac:dyDescent="0.25">
      <c r="A610" s="10"/>
      <c r="B610" s="904" t="s">
        <v>65</v>
      </c>
      <c r="C610" s="955"/>
      <c r="D610" s="955"/>
      <c r="E610" s="955"/>
      <c r="F610" s="955"/>
      <c r="G610" s="1082"/>
      <c r="H610" s="886"/>
    </row>
    <row r="611" spans="1:8" ht="12" customHeight="1" thickBot="1" x14ac:dyDescent="0.25">
      <c r="A611" s="247"/>
      <c r="B611" s="905" t="s">
        <v>106</v>
      </c>
      <c r="C611" s="955">
        <f t="shared" ref="C611:D611" si="124">SUM(C605:C610)</f>
        <v>1540</v>
      </c>
      <c r="D611" s="955">
        <f t="shared" si="124"/>
        <v>1540</v>
      </c>
      <c r="E611" s="955">
        <f t="shared" ref="E611:F611" si="125">SUM(E605:E610)</f>
        <v>1540</v>
      </c>
      <c r="F611" s="955">
        <f t="shared" si="125"/>
        <v>1540</v>
      </c>
      <c r="G611" s="1000">
        <f t="shared" ref="G611:G672" si="126">F611/E611</f>
        <v>1</v>
      </c>
      <c r="H611" s="18"/>
    </row>
    <row r="612" spans="1:8" ht="12" customHeight="1" x14ac:dyDescent="0.2">
      <c r="A612" s="10">
        <v>3345</v>
      </c>
      <c r="B612" s="960" t="s">
        <v>125</v>
      </c>
      <c r="C612" s="241"/>
      <c r="D612" s="241"/>
      <c r="E612" s="241"/>
      <c r="F612" s="241"/>
      <c r="G612" s="885"/>
      <c r="H612" s="2"/>
    </row>
    <row r="613" spans="1:8" ht="12" customHeight="1" x14ac:dyDescent="0.2">
      <c r="A613" s="10"/>
      <c r="B613" s="34" t="s">
        <v>92</v>
      </c>
      <c r="C613" s="241"/>
      <c r="D613" s="241"/>
      <c r="E613" s="241"/>
      <c r="F613" s="241"/>
      <c r="G613" s="885"/>
      <c r="H613" s="3"/>
    </row>
    <row r="614" spans="1:8" ht="12" customHeight="1" x14ac:dyDescent="0.2">
      <c r="A614" s="10"/>
      <c r="B614" s="5" t="s">
        <v>250</v>
      </c>
      <c r="C614" s="241"/>
      <c r="D614" s="241"/>
      <c r="E614" s="241"/>
      <c r="F614" s="241"/>
      <c r="G614" s="1081"/>
      <c r="H614" s="3"/>
    </row>
    <row r="615" spans="1:8" ht="12" customHeight="1" x14ac:dyDescent="0.2">
      <c r="A615" s="10"/>
      <c r="B615" s="243" t="s">
        <v>239</v>
      </c>
      <c r="C615" s="953">
        <v>300</v>
      </c>
      <c r="D615" s="953">
        <v>300</v>
      </c>
      <c r="E615" s="953">
        <v>300</v>
      </c>
      <c r="F615" s="953">
        <v>300</v>
      </c>
      <c r="G615" s="943">
        <f t="shared" si="126"/>
        <v>1</v>
      </c>
      <c r="H615" s="940" t="s">
        <v>1391</v>
      </c>
    </row>
    <row r="616" spans="1:8" ht="12" customHeight="1" x14ac:dyDescent="0.2">
      <c r="A616" s="10"/>
      <c r="B616" s="6" t="s">
        <v>97</v>
      </c>
      <c r="C616" s="953"/>
      <c r="D616" s="953"/>
      <c r="E616" s="953"/>
      <c r="F616" s="953"/>
      <c r="G616" s="943"/>
      <c r="H616" s="1017"/>
    </row>
    <row r="617" spans="1:8" ht="12" customHeight="1" x14ac:dyDescent="0.2">
      <c r="A617" s="10"/>
      <c r="B617" s="6" t="s">
        <v>246</v>
      </c>
      <c r="C617" s="241"/>
      <c r="D617" s="241"/>
      <c r="E617" s="241"/>
      <c r="F617" s="241"/>
      <c r="G617" s="943"/>
      <c r="H617" s="3"/>
    </row>
    <row r="618" spans="1:8" ht="12" customHeight="1" thickBot="1" x14ac:dyDescent="0.25">
      <c r="A618" s="10"/>
      <c r="B618" s="904" t="s">
        <v>65</v>
      </c>
      <c r="C618" s="955"/>
      <c r="D618" s="955"/>
      <c r="E618" s="955"/>
      <c r="F618" s="955"/>
      <c r="G618" s="1082"/>
      <c r="H618" s="18"/>
    </row>
    <row r="619" spans="1:8" ht="13.5" customHeight="1" thickBot="1" x14ac:dyDescent="0.25">
      <c r="A619" s="247"/>
      <c r="B619" s="905" t="s">
        <v>106</v>
      </c>
      <c r="C619" s="955">
        <f t="shared" ref="C619:D619" si="127">SUM(C615:C618)</f>
        <v>300</v>
      </c>
      <c r="D619" s="955">
        <f t="shared" si="127"/>
        <v>300</v>
      </c>
      <c r="E619" s="955">
        <f t="shared" ref="E619:F619" si="128">SUM(E615:E618)</f>
        <v>300</v>
      </c>
      <c r="F619" s="955">
        <f t="shared" si="128"/>
        <v>300</v>
      </c>
      <c r="G619" s="1000">
        <f t="shared" si="126"/>
        <v>1</v>
      </c>
      <c r="H619" s="888"/>
    </row>
    <row r="620" spans="1:8" ht="12" customHeight="1" x14ac:dyDescent="0.2">
      <c r="A620" s="10">
        <v>3346</v>
      </c>
      <c r="B620" s="941" t="s">
        <v>94</v>
      </c>
      <c r="C620" s="241"/>
      <c r="D620" s="241"/>
      <c r="E620" s="241"/>
      <c r="F620" s="241"/>
      <c r="G620" s="885"/>
      <c r="H620" s="937"/>
    </row>
    <row r="621" spans="1:8" ht="12" customHeight="1" x14ac:dyDescent="0.2">
      <c r="A621" s="33"/>
      <c r="B621" s="34" t="s">
        <v>92</v>
      </c>
      <c r="C621" s="241"/>
      <c r="D621" s="241"/>
      <c r="E621" s="241"/>
      <c r="F621" s="241"/>
      <c r="G621" s="1081"/>
      <c r="H621" s="937"/>
    </row>
    <row r="622" spans="1:8" ht="12" customHeight="1" x14ac:dyDescent="0.2">
      <c r="A622" s="33"/>
      <c r="B622" s="5" t="s">
        <v>250</v>
      </c>
      <c r="C622" s="241"/>
      <c r="D622" s="241"/>
      <c r="E622" s="241"/>
      <c r="F622" s="241"/>
      <c r="G622" s="943"/>
      <c r="H622" s="937"/>
    </row>
    <row r="623" spans="1:8" ht="12" customHeight="1" x14ac:dyDescent="0.2">
      <c r="A623" s="33"/>
      <c r="B623" s="243" t="s">
        <v>239</v>
      </c>
      <c r="C623" s="953">
        <f>3933+700</f>
        <v>4633</v>
      </c>
      <c r="D623" s="953">
        <f>4633+677</f>
        <v>5310</v>
      </c>
      <c r="E623" s="953">
        <f>4633+677</f>
        <v>5310</v>
      </c>
      <c r="F623" s="953">
        <f>4633+677</f>
        <v>5310</v>
      </c>
      <c r="G623" s="943">
        <f t="shared" si="126"/>
        <v>1</v>
      </c>
      <c r="H623" s="940" t="s">
        <v>1391</v>
      </c>
    </row>
    <row r="624" spans="1:8" ht="12" customHeight="1" x14ac:dyDescent="0.2">
      <c r="A624" s="33"/>
      <c r="B624" s="6" t="s">
        <v>97</v>
      </c>
      <c r="C624" s="953"/>
      <c r="D624" s="953"/>
      <c r="E624" s="953"/>
      <c r="F624" s="953"/>
      <c r="G624" s="943"/>
      <c r="H624" s="1025"/>
    </row>
    <row r="625" spans="1:8" ht="12" customHeight="1" x14ac:dyDescent="0.2">
      <c r="A625" s="33"/>
      <c r="B625" s="6" t="s">
        <v>246</v>
      </c>
      <c r="C625" s="241"/>
      <c r="D625" s="241"/>
      <c r="E625" s="241"/>
      <c r="F625" s="241"/>
      <c r="G625" s="943"/>
      <c r="H625" s="937"/>
    </row>
    <row r="626" spans="1:8" ht="12" customHeight="1" thickBot="1" x14ac:dyDescent="0.25">
      <c r="A626" s="33"/>
      <c r="B626" s="904" t="s">
        <v>65</v>
      </c>
      <c r="C626" s="955"/>
      <c r="D626" s="955"/>
      <c r="E626" s="955"/>
      <c r="F626" s="955"/>
      <c r="G626" s="1082"/>
      <c r="H626" s="18"/>
    </row>
    <row r="627" spans="1:8" ht="12" customHeight="1" thickBot="1" x14ac:dyDescent="0.25">
      <c r="A627" s="247"/>
      <c r="B627" s="905" t="s">
        <v>106</v>
      </c>
      <c r="C627" s="949">
        <f t="shared" ref="C627:D627" si="129">SUM(C623:C626)</f>
        <v>4633</v>
      </c>
      <c r="D627" s="949">
        <f t="shared" si="129"/>
        <v>5310</v>
      </c>
      <c r="E627" s="949">
        <f t="shared" ref="E627:F627" si="130">SUM(E623:E626)</f>
        <v>5310</v>
      </c>
      <c r="F627" s="949">
        <f t="shared" si="130"/>
        <v>5310</v>
      </c>
      <c r="G627" s="1000">
        <f t="shared" si="126"/>
        <v>1</v>
      </c>
      <c r="H627" s="888"/>
    </row>
    <row r="628" spans="1:8" ht="12" customHeight="1" x14ac:dyDescent="0.2">
      <c r="A628" s="10">
        <v>3347</v>
      </c>
      <c r="B628" s="941" t="s">
        <v>95</v>
      </c>
      <c r="C628" s="241"/>
      <c r="D628" s="241"/>
      <c r="E628" s="241"/>
      <c r="F628" s="241"/>
      <c r="G628" s="885"/>
      <c r="H628" s="937"/>
    </row>
    <row r="629" spans="1:8" ht="12" customHeight="1" x14ac:dyDescent="0.2">
      <c r="A629" s="33"/>
      <c r="B629" s="34" t="s">
        <v>92</v>
      </c>
      <c r="C629" s="241"/>
      <c r="D629" s="241"/>
      <c r="E629" s="241"/>
      <c r="F629" s="241"/>
      <c r="G629" s="885"/>
      <c r="H629" s="937"/>
    </row>
    <row r="630" spans="1:8" ht="12" customHeight="1" x14ac:dyDescent="0.2">
      <c r="A630" s="33"/>
      <c r="B630" s="5" t="s">
        <v>250</v>
      </c>
      <c r="C630" s="241"/>
      <c r="D630" s="241"/>
      <c r="E630" s="241"/>
      <c r="F630" s="241"/>
      <c r="G630" s="1081"/>
      <c r="H630" s="937"/>
    </row>
    <row r="631" spans="1:8" ht="12" customHeight="1" x14ac:dyDescent="0.2">
      <c r="A631" s="33"/>
      <c r="B631" s="243" t="s">
        <v>239</v>
      </c>
      <c r="C631" s="953">
        <v>2756</v>
      </c>
      <c r="D631" s="953">
        <v>2756</v>
      </c>
      <c r="E631" s="953">
        <v>2756</v>
      </c>
      <c r="F631" s="953">
        <v>2756</v>
      </c>
      <c r="G631" s="943">
        <f t="shared" si="126"/>
        <v>1</v>
      </c>
      <c r="H631" s="940" t="s">
        <v>1391</v>
      </c>
    </row>
    <row r="632" spans="1:8" ht="12" customHeight="1" x14ac:dyDescent="0.2">
      <c r="A632" s="33"/>
      <c r="B632" s="6" t="s">
        <v>97</v>
      </c>
      <c r="C632" s="953"/>
      <c r="D632" s="953"/>
      <c r="E632" s="953"/>
      <c r="F632" s="953"/>
      <c r="G632" s="943"/>
      <c r="H632" s="1025"/>
    </row>
    <row r="633" spans="1:8" ht="12" customHeight="1" x14ac:dyDescent="0.2">
      <c r="A633" s="33"/>
      <c r="B633" s="6" t="s">
        <v>246</v>
      </c>
      <c r="C633" s="241"/>
      <c r="D633" s="241"/>
      <c r="E633" s="241"/>
      <c r="F633" s="241"/>
      <c r="G633" s="943"/>
      <c r="H633" s="937"/>
    </row>
    <row r="634" spans="1:8" ht="12" customHeight="1" thickBot="1" x14ac:dyDescent="0.25">
      <c r="A634" s="33"/>
      <c r="B634" s="904" t="s">
        <v>65</v>
      </c>
      <c r="C634" s="270"/>
      <c r="D634" s="270"/>
      <c r="E634" s="270"/>
      <c r="F634" s="270"/>
      <c r="G634" s="1082"/>
      <c r="H634" s="18"/>
    </row>
    <row r="635" spans="1:8" ht="12" customHeight="1" thickBot="1" x14ac:dyDescent="0.25">
      <c r="A635" s="247"/>
      <c r="B635" s="905" t="s">
        <v>106</v>
      </c>
      <c r="C635" s="949">
        <f t="shared" ref="C635:D635" si="131">SUM(C631:C634)</f>
        <v>2756</v>
      </c>
      <c r="D635" s="949">
        <f t="shared" si="131"/>
        <v>2756</v>
      </c>
      <c r="E635" s="949">
        <f t="shared" ref="E635:F635" si="132">SUM(E631:E634)</f>
        <v>2756</v>
      </c>
      <c r="F635" s="949">
        <f t="shared" si="132"/>
        <v>2756</v>
      </c>
      <c r="G635" s="1000">
        <f t="shared" si="126"/>
        <v>1</v>
      </c>
      <c r="H635" s="888"/>
    </row>
    <row r="636" spans="1:8" ht="12" customHeight="1" x14ac:dyDescent="0.2">
      <c r="A636" s="10">
        <v>3348</v>
      </c>
      <c r="B636" s="941" t="s">
        <v>139</v>
      </c>
      <c r="C636" s="241"/>
      <c r="D636" s="241"/>
      <c r="E636" s="241"/>
      <c r="F636" s="241"/>
      <c r="G636" s="885"/>
      <c r="H636" s="937"/>
    </row>
    <row r="637" spans="1:8" ht="12" customHeight="1" x14ac:dyDescent="0.2">
      <c r="A637" s="33"/>
      <c r="B637" s="34" t="s">
        <v>92</v>
      </c>
      <c r="C637" s="241"/>
      <c r="D637" s="241"/>
      <c r="E637" s="241"/>
      <c r="F637" s="241"/>
      <c r="G637" s="885"/>
      <c r="H637" s="937"/>
    </row>
    <row r="638" spans="1:8" ht="12" customHeight="1" x14ac:dyDescent="0.2">
      <c r="A638" s="33"/>
      <c r="B638" s="5" t="s">
        <v>250</v>
      </c>
      <c r="C638" s="241"/>
      <c r="D638" s="241"/>
      <c r="E638" s="241"/>
      <c r="F638" s="241"/>
      <c r="G638" s="1081"/>
      <c r="H638" s="937"/>
    </row>
    <row r="639" spans="1:8" ht="12" customHeight="1" x14ac:dyDescent="0.2">
      <c r="A639" s="33"/>
      <c r="B639" s="243" t="s">
        <v>239</v>
      </c>
      <c r="C639" s="953">
        <v>800</v>
      </c>
      <c r="D639" s="953">
        <v>800</v>
      </c>
      <c r="E639" s="953">
        <v>800</v>
      </c>
      <c r="F639" s="953">
        <v>800</v>
      </c>
      <c r="G639" s="943">
        <f t="shared" si="126"/>
        <v>1</v>
      </c>
      <c r="H639" s="940" t="s">
        <v>1391</v>
      </c>
    </row>
    <row r="640" spans="1:8" ht="12" customHeight="1" x14ac:dyDescent="0.2">
      <c r="A640" s="33"/>
      <c r="B640" s="6" t="s">
        <v>97</v>
      </c>
      <c r="C640" s="953"/>
      <c r="D640" s="953"/>
      <c r="E640" s="953"/>
      <c r="F640" s="953"/>
      <c r="G640" s="943"/>
      <c r="H640" s="1025"/>
    </row>
    <row r="641" spans="1:8" ht="12" customHeight="1" x14ac:dyDescent="0.2">
      <c r="A641" s="33"/>
      <c r="B641" s="6" t="s">
        <v>246</v>
      </c>
      <c r="C641" s="241"/>
      <c r="D641" s="241"/>
      <c r="E641" s="241"/>
      <c r="F641" s="241"/>
      <c r="G641" s="943"/>
      <c r="H641" s="937"/>
    </row>
    <row r="642" spans="1:8" ht="12" customHeight="1" thickBot="1" x14ac:dyDescent="0.25">
      <c r="A642" s="33"/>
      <c r="B642" s="904" t="s">
        <v>65</v>
      </c>
      <c r="C642" s="955"/>
      <c r="D642" s="955"/>
      <c r="E642" s="955"/>
      <c r="F642" s="955"/>
      <c r="G642" s="1082"/>
      <c r="H642" s="18"/>
    </row>
    <row r="643" spans="1:8" ht="12" customHeight="1" thickBot="1" x14ac:dyDescent="0.25">
      <c r="A643" s="247"/>
      <c r="B643" s="905" t="s">
        <v>106</v>
      </c>
      <c r="C643" s="949">
        <f t="shared" ref="C643:D643" si="133">SUM(C639:C642)</f>
        <v>800</v>
      </c>
      <c r="D643" s="949">
        <f t="shared" si="133"/>
        <v>800</v>
      </c>
      <c r="E643" s="949">
        <f t="shared" ref="E643:F643" si="134">SUM(E639:E642)</f>
        <v>800</v>
      </c>
      <c r="F643" s="949">
        <f t="shared" si="134"/>
        <v>800</v>
      </c>
      <c r="G643" s="1000">
        <f t="shared" si="126"/>
        <v>1</v>
      </c>
      <c r="H643" s="888"/>
    </row>
    <row r="644" spans="1:8" ht="12" customHeight="1" x14ac:dyDescent="0.2">
      <c r="A644" s="10">
        <v>3349</v>
      </c>
      <c r="B644" s="941" t="s">
        <v>312</v>
      </c>
      <c r="C644" s="241"/>
      <c r="D644" s="241"/>
      <c r="E644" s="241"/>
      <c r="F644" s="241"/>
      <c r="G644" s="885"/>
      <c r="H644" s="937"/>
    </row>
    <row r="645" spans="1:8" ht="12" customHeight="1" x14ac:dyDescent="0.2">
      <c r="A645" s="33"/>
      <c r="B645" s="34" t="s">
        <v>92</v>
      </c>
      <c r="C645" s="241"/>
      <c r="D645" s="241"/>
      <c r="E645" s="241"/>
      <c r="F645" s="241"/>
      <c r="G645" s="1081"/>
      <c r="H645" s="937"/>
    </row>
    <row r="646" spans="1:8" ht="12" customHeight="1" x14ac:dyDescent="0.2">
      <c r="A646" s="33"/>
      <c r="B646" s="5" t="s">
        <v>250</v>
      </c>
      <c r="C646" s="241"/>
      <c r="D646" s="241"/>
      <c r="E646" s="241"/>
      <c r="F646" s="241"/>
      <c r="G646" s="943"/>
      <c r="H646" s="937"/>
    </row>
    <row r="647" spans="1:8" ht="12" customHeight="1" x14ac:dyDescent="0.2">
      <c r="A647" s="33"/>
      <c r="B647" s="243" t="s">
        <v>239</v>
      </c>
      <c r="C647" s="953">
        <v>3840</v>
      </c>
      <c r="D647" s="953">
        <f>3840+1440</f>
        <v>5280</v>
      </c>
      <c r="E647" s="953">
        <f>5280+1920</f>
        <v>7200</v>
      </c>
      <c r="F647" s="953">
        <f>5280+1920</f>
        <v>7200</v>
      </c>
      <c r="G647" s="943">
        <f t="shared" si="126"/>
        <v>1</v>
      </c>
      <c r="H647" s="940" t="s">
        <v>1391</v>
      </c>
    </row>
    <row r="648" spans="1:8" ht="12" customHeight="1" x14ac:dyDescent="0.2">
      <c r="A648" s="33"/>
      <c r="B648" s="6" t="s">
        <v>97</v>
      </c>
      <c r="C648" s="953"/>
      <c r="D648" s="953"/>
      <c r="E648" s="953"/>
      <c r="F648" s="953"/>
      <c r="G648" s="943"/>
      <c r="H648" s="1025"/>
    </row>
    <row r="649" spans="1:8" ht="12" customHeight="1" x14ac:dyDescent="0.2">
      <c r="A649" s="33"/>
      <c r="B649" s="6" t="s">
        <v>246</v>
      </c>
      <c r="C649" s="241"/>
      <c r="D649" s="241"/>
      <c r="E649" s="241"/>
      <c r="F649" s="241"/>
      <c r="G649" s="943"/>
      <c r="H649" s="937"/>
    </row>
    <row r="650" spans="1:8" ht="12" customHeight="1" thickBot="1" x14ac:dyDescent="0.25">
      <c r="A650" s="33"/>
      <c r="B650" s="904" t="s">
        <v>65</v>
      </c>
      <c r="C650" s="955"/>
      <c r="D650" s="955"/>
      <c r="E650" s="955"/>
      <c r="F650" s="955"/>
      <c r="G650" s="1082"/>
      <c r="H650" s="18"/>
    </row>
    <row r="651" spans="1:8" ht="12" customHeight="1" thickBot="1" x14ac:dyDescent="0.25">
      <c r="A651" s="247"/>
      <c r="B651" s="905" t="s">
        <v>106</v>
      </c>
      <c r="C651" s="949">
        <f t="shared" ref="C651:D651" si="135">SUM(C647:C650)</f>
        <v>3840</v>
      </c>
      <c r="D651" s="949">
        <f t="shared" si="135"/>
        <v>5280</v>
      </c>
      <c r="E651" s="949">
        <f t="shared" ref="E651:F651" si="136">SUM(E647:E650)</f>
        <v>7200</v>
      </c>
      <c r="F651" s="949">
        <f t="shared" si="136"/>
        <v>7200</v>
      </c>
      <c r="G651" s="1000">
        <f t="shared" si="126"/>
        <v>1</v>
      </c>
      <c r="H651" s="888"/>
    </row>
    <row r="652" spans="1:8" ht="12" customHeight="1" x14ac:dyDescent="0.2">
      <c r="A652" s="10">
        <v>3350</v>
      </c>
      <c r="B652" s="941" t="s">
        <v>429</v>
      </c>
      <c r="C652" s="241"/>
      <c r="D652" s="241"/>
      <c r="E652" s="241"/>
      <c r="F652" s="241"/>
      <c r="G652" s="885"/>
      <c r="H652" s="937"/>
    </row>
    <row r="653" spans="1:8" ht="12" customHeight="1" x14ac:dyDescent="0.2">
      <c r="A653" s="33"/>
      <c r="B653" s="34" t="s">
        <v>92</v>
      </c>
      <c r="C653" s="241"/>
      <c r="D653" s="241"/>
      <c r="E653" s="241"/>
      <c r="F653" s="241"/>
      <c r="G653" s="1081"/>
      <c r="H653" s="937"/>
    </row>
    <row r="654" spans="1:8" ht="12" customHeight="1" x14ac:dyDescent="0.2">
      <c r="A654" s="33"/>
      <c r="B654" s="5" t="s">
        <v>250</v>
      </c>
      <c r="C654" s="241"/>
      <c r="D654" s="241"/>
      <c r="E654" s="241"/>
      <c r="F654" s="241"/>
      <c r="G654" s="943"/>
      <c r="H654" s="937"/>
    </row>
    <row r="655" spans="1:8" ht="12" customHeight="1" x14ac:dyDescent="0.2">
      <c r="A655" s="33"/>
      <c r="B655" s="243" t="s">
        <v>239</v>
      </c>
      <c r="C655" s="953">
        <f>4770+1230</f>
        <v>6000</v>
      </c>
      <c r="D655" s="953">
        <f>6000+1000</f>
        <v>7000</v>
      </c>
      <c r="E655" s="953">
        <f>7000+5100</f>
        <v>12100</v>
      </c>
      <c r="F655" s="953">
        <f>7000+5100</f>
        <v>12100</v>
      </c>
      <c r="G655" s="943">
        <f t="shared" si="126"/>
        <v>1</v>
      </c>
      <c r="H655" s="940" t="s">
        <v>1391</v>
      </c>
    </row>
    <row r="656" spans="1:8" ht="12" customHeight="1" x14ac:dyDescent="0.2">
      <c r="A656" s="33"/>
      <c r="B656" s="6" t="s">
        <v>97</v>
      </c>
      <c r="C656" s="953"/>
      <c r="D656" s="953"/>
      <c r="E656" s="953"/>
      <c r="F656" s="953"/>
      <c r="G656" s="943"/>
      <c r="H656" s="1025"/>
    </row>
    <row r="657" spans="1:8" ht="12" customHeight="1" x14ac:dyDescent="0.2">
      <c r="A657" s="33"/>
      <c r="B657" s="6" t="s">
        <v>246</v>
      </c>
      <c r="C657" s="241"/>
      <c r="D657" s="241"/>
      <c r="E657" s="241"/>
      <c r="F657" s="241"/>
      <c r="G657" s="943"/>
      <c r="H657" s="937"/>
    </row>
    <row r="658" spans="1:8" ht="12" customHeight="1" thickBot="1" x14ac:dyDescent="0.25">
      <c r="A658" s="33"/>
      <c r="B658" s="904" t="s">
        <v>65</v>
      </c>
      <c r="C658" s="955"/>
      <c r="D658" s="955"/>
      <c r="E658" s="955"/>
      <c r="F658" s="955"/>
      <c r="G658" s="1082"/>
      <c r="H658" s="18"/>
    </row>
    <row r="659" spans="1:8" ht="12" customHeight="1" thickBot="1" x14ac:dyDescent="0.25">
      <c r="A659" s="247"/>
      <c r="B659" s="905" t="s">
        <v>106</v>
      </c>
      <c r="C659" s="949">
        <f t="shared" ref="C659:D659" si="137">SUM(C655:C658)</f>
        <v>6000</v>
      </c>
      <c r="D659" s="949">
        <f t="shared" si="137"/>
        <v>7000</v>
      </c>
      <c r="E659" s="949">
        <f t="shared" ref="E659:F659" si="138">SUM(E655:E658)</f>
        <v>12100</v>
      </c>
      <c r="F659" s="949">
        <f t="shared" si="138"/>
        <v>12100</v>
      </c>
      <c r="G659" s="1000">
        <f t="shared" si="126"/>
        <v>1</v>
      </c>
      <c r="H659" s="888"/>
    </row>
    <row r="660" spans="1:8" x14ac:dyDescent="0.2">
      <c r="A660" s="10">
        <v>3352</v>
      </c>
      <c r="B660" s="941" t="s">
        <v>426</v>
      </c>
      <c r="C660" s="241"/>
      <c r="D660" s="241"/>
      <c r="E660" s="241"/>
      <c r="F660" s="241"/>
      <c r="G660" s="885"/>
      <c r="H660" s="937"/>
    </row>
    <row r="661" spans="1:8" x14ac:dyDescent="0.2">
      <c r="A661" s="33"/>
      <c r="B661" s="34" t="s">
        <v>92</v>
      </c>
      <c r="C661" s="200"/>
      <c r="D661" s="200"/>
      <c r="E661" s="200"/>
      <c r="F661" s="200"/>
      <c r="G661" s="885"/>
      <c r="H661" s="937"/>
    </row>
    <row r="662" spans="1:8" x14ac:dyDescent="0.2">
      <c r="A662" s="33"/>
      <c r="B662" s="5" t="s">
        <v>250</v>
      </c>
      <c r="C662" s="200"/>
      <c r="D662" s="200"/>
      <c r="E662" s="200"/>
      <c r="F662" s="200"/>
      <c r="G662" s="1081"/>
      <c r="H662" s="937"/>
    </row>
    <row r="663" spans="1:8" x14ac:dyDescent="0.2">
      <c r="A663" s="33"/>
      <c r="B663" s="243" t="s">
        <v>239</v>
      </c>
      <c r="C663" s="953">
        <v>38000</v>
      </c>
      <c r="D663" s="953">
        <f>38000+6066</f>
        <v>44066</v>
      </c>
      <c r="E663" s="953">
        <f>38000+6066</f>
        <v>44066</v>
      </c>
      <c r="F663" s="953">
        <f>44066-12000</f>
        <v>32066</v>
      </c>
      <c r="G663" s="943">
        <f t="shared" si="126"/>
        <v>0.72768120546453052</v>
      </c>
      <c r="H663" s="940" t="s">
        <v>1391</v>
      </c>
    </row>
    <row r="664" spans="1:8" x14ac:dyDescent="0.2">
      <c r="A664" s="33"/>
      <c r="B664" s="6" t="s">
        <v>97</v>
      </c>
      <c r="C664" s="953"/>
      <c r="D664" s="953"/>
      <c r="E664" s="953"/>
      <c r="F664" s="953"/>
      <c r="G664" s="943"/>
      <c r="H664" s="952"/>
    </row>
    <row r="665" spans="1:8" x14ac:dyDescent="0.2">
      <c r="A665" s="33"/>
      <c r="B665" s="6" t="s">
        <v>246</v>
      </c>
      <c r="C665" s="953"/>
      <c r="D665" s="953"/>
      <c r="E665" s="953"/>
      <c r="F665" s="953"/>
      <c r="G665" s="943"/>
      <c r="H665" s="937"/>
    </row>
    <row r="666" spans="1:8" x14ac:dyDescent="0.2">
      <c r="A666" s="33"/>
      <c r="B666" s="6" t="s">
        <v>97</v>
      </c>
      <c r="C666" s="200"/>
      <c r="D666" s="200"/>
      <c r="E666" s="200"/>
      <c r="F666" s="200"/>
      <c r="G666" s="943"/>
      <c r="H666" s="945"/>
    </row>
    <row r="667" spans="1:8" ht="12.75" thickBot="1" x14ac:dyDescent="0.25">
      <c r="A667" s="33"/>
      <c r="B667" s="904" t="s">
        <v>65</v>
      </c>
      <c r="C667" s="956"/>
      <c r="D667" s="956"/>
      <c r="E667" s="956"/>
      <c r="F667" s="956"/>
      <c r="G667" s="1082"/>
      <c r="H667" s="18"/>
    </row>
    <row r="668" spans="1:8" ht="12.75" thickBot="1" x14ac:dyDescent="0.25">
      <c r="A668" s="247"/>
      <c r="B668" s="905" t="s">
        <v>106</v>
      </c>
      <c r="C668" s="955">
        <f t="shared" ref="C668:D668" si="139">SUM(C661:C667)</f>
        <v>38000</v>
      </c>
      <c r="D668" s="955">
        <f t="shared" si="139"/>
        <v>44066</v>
      </c>
      <c r="E668" s="955">
        <f t="shared" ref="E668:F668" si="140">SUM(E661:E667)</f>
        <v>44066</v>
      </c>
      <c r="F668" s="955">
        <f t="shared" si="140"/>
        <v>32066</v>
      </c>
      <c r="G668" s="1000">
        <f t="shared" si="126"/>
        <v>0.72768120546453052</v>
      </c>
      <c r="H668" s="888"/>
    </row>
    <row r="669" spans="1:8" x14ac:dyDescent="0.2">
      <c r="A669" s="10">
        <v>3353</v>
      </c>
      <c r="B669" s="941" t="s">
        <v>990</v>
      </c>
      <c r="C669" s="241"/>
      <c r="D669" s="241"/>
      <c r="E669" s="241"/>
      <c r="F669" s="241"/>
      <c r="G669" s="885"/>
      <c r="H669" s="937"/>
    </row>
    <row r="670" spans="1:8" x14ac:dyDescent="0.2">
      <c r="A670" s="33"/>
      <c r="B670" s="34" t="s">
        <v>92</v>
      </c>
      <c r="C670" s="200"/>
      <c r="D670" s="200"/>
      <c r="E670" s="200"/>
      <c r="F670" s="200"/>
      <c r="G670" s="885"/>
      <c r="H670" s="937"/>
    </row>
    <row r="671" spans="1:8" x14ac:dyDescent="0.2">
      <c r="A671" s="33"/>
      <c r="B671" s="5" t="s">
        <v>250</v>
      </c>
      <c r="C671" s="200"/>
      <c r="D671" s="200"/>
      <c r="E671" s="200"/>
      <c r="F671" s="200"/>
      <c r="G671" s="1081"/>
      <c r="H671" s="937"/>
    </row>
    <row r="672" spans="1:8" x14ac:dyDescent="0.2">
      <c r="A672" s="33"/>
      <c r="B672" s="243" t="s">
        <v>239</v>
      </c>
      <c r="C672" s="953">
        <v>1500</v>
      </c>
      <c r="D672" s="953">
        <v>1500</v>
      </c>
      <c r="E672" s="953">
        <v>1500</v>
      </c>
      <c r="F672" s="953">
        <v>1500</v>
      </c>
      <c r="G672" s="943">
        <f t="shared" si="126"/>
        <v>1</v>
      </c>
      <c r="H672" s="940" t="s">
        <v>1391</v>
      </c>
    </row>
    <row r="673" spans="1:8" x14ac:dyDescent="0.2">
      <c r="A673" s="33"/>
      <c r="B673" s="6" t="s">
        <v>97</v>
      </c>
      <c r="C673" s="953"/>
      <c r="D673" s="953"/>
      <c r="E673" s="953"/>
      <c r="F673" s="953"/>
      <c r="G673" s="943"/>
      <c r="H673" s="952"/>
    </row>
    <row r="674" spans="1:8" x14ac:dyDescent="0.2">
      <c r="A674" s="33"/>
      <c r="B674" s="6" t="s">
        <v>246</v>
      </c>
      <c r="C674" s="953"/>
      <c r="D674" s="953"/>
      <c r="E674" s="953"/>
      <c r="F674" s="953"/>
      <c r="G674" s="943"/>
      <c r="H674" s="938"/>
    </row>
    <row r="675" spans="1:8" x14ac:dyDescent="0.2">
      <c r="A675" s="33"/>
      <c r="B675" s="6" t="s">
        <v>97</v>
      </c>
      <c r="C675" s="200"/>
      <c r="D675" s="200"/>
      <c r="E675" s="200"/>
      <c r="F675" s="200"/>
      <c r="G675" s="943"/>
      <c r="H675" s="945"/>
    </row>
    <row r="676" spans="1:8" ht="12.75" thickBot="1" x14ac:dyDescent="0.25">
      <c r="A676" s="33"/>
      <c r="B676" s="904" t="s">
        <v>65</v>
      </c>
      <c r="C676" s="956"/>
      <c r="D676" s="956"/>
      <c r="E676" s="956"/>
      <c r="F676" s="956"/>
      <c r="G676" s="1082"/>
      <c r="H676" s="18"/>
    </row>
    <row r="677" spans="1:8" ht="12.75" thickBot="1" x14ac:dyDescent="0.25">
      <c r="A677" s="247"/>
      <c r="B677" s="905" t="s">
        <v>106</v>
      </c>
      <c r="C677" s="955">
        <f t="shared" ref="C677:D677" si="141">SUM(C670:C676)</f>
        <v>1500</v>
      </c>
      <c r="D677" s="955">
        <f t="shared" si="141"/>
        <v>1500</v>
      </c>
      <c r="E677" s="955">
        <f t="shared" ref="E677:F677" si="142">SUM(E670:E676)</f>
        <v>1500</v>
      </c>
      <c r="F677" s="955">
        <f t="shared" si="142"/>
        <v>1500</v>
      </c>
      <c r="G677" s="1000">
        <f t="shared" ref="G677:G737" si="143">F677/E677</f>
        <v>1</v>
      </c>
      <c r="H677" s="888"/>
    </row>
    <row r="678" spans="1:8" ht="12" customHeight="1" x14ac:dyDescent="0.2">
      <c r="A678" s="10">
        <v>3355</v>
      </c>
      <c r="B678" s="162" t="s">
        <v>27</v>
      </c>
      <c r="C678" s="241"/>
      <c r="D678" s="241"/>
      <c r="E678" s="241"/>
      <c r="F678" s="241"/>
      <c r="G678" s="885"/>
      <c r="H678" s="937"/>
    </row>
    <row r="679" spans="1:8" ht="12" customHeight="1" x14ac:dyDescent="0.2">
      <c r="A679" s="33"/>
      <c r="B679" s="34" t="s">
        <v>92</v>
      </c>
      <c r="C679" s="953">
        <v>2000</v>
      </c>
      <c r="D679" s="953">
        <f>2000+376</f>
        <v>2376</v>
      </c>
      <c r="E679" s="953">
        <f>2000+376</f>
        <v>2376</v>
      </c>
      <c r="F679" s="953">
        <f>2376-885</f>
        <v>1491</v>
      </c>
      <c r="G679" s="1081">
        <f t="shared" si="143"/>
        <v>0.62752525252525249</v>
      </c>
      <c r="H679" s="937"/>
    </row>
    <row r="680" spans="1:8" ht="12" customHeight="1" x14ac:dyDescent="0.2">
      <c r="A680" s="33"/>
      <c r="B680" s="5" t="s">
        <v>250</v>
      </c>
      <c r="C680" s="953">
        <v>900</v>
      </c>
      <c r="D680" s="953">
        <f>900+86</f>
        <v>986</v>
      </c>
      <c r="E680" s="953">
        <f>900+86</f>
        <v>986</v>
      </c>
      <c r="F680" s="953">
        <f>986-115</f>
        <v>871</v>
      </c>
      <c r="G680" s="943">
        <f t="shared" si="143"/>
        <v>0.88336713995943206</v>
      </c>
      <c r="H680" s="940" t="s">
        <v>1391</v>
      </c>
    </row>
    <row r="681" spans="1:8" ht="12" customHeight="1" x14ac:dyDescent="0.2">
      <c r="A681" s="33"/>
      <c r="B681" s="243" t="s">
        <v>239</v>
      </c>
      <c r="C681" s="953">
        <f>3100+6000</f>
        <v>9100</v>
      </c>
      <c r="D681" s="953">
        <f>9100+10385+5000</f>
        <v>24485</v>
      </c>
      <c r="E681" s="953">
        <f>9100+10385+5000</f>
        <v>24485</v>
      </c>
      <c r="F681" s="953">
        <f>24485</f>
        <v>24485</v>
      </c>
      <c r="G681" s="943">
        <f t="shared" si="143"/>
        <v>1</v>
      </c>
      <c r="H681" s="938"/>
    </row>
    <row r="682" spans="1:8" ht="12" customHeight="1" x14ac:dyDescent="0.2">
      <c r="A682" s="33"/>
      <c r="B682" s="6" t="s">
        <v>97</v>
      </c>
      <c r="C682" s="953"/>
      <c r="D682" s="953"/>
      <c r="E682" s="953"/>
      <c r="F682" s="953"/>
      <c r="G682" s="943"/>
      <c r="H682" s="937"/>
    </row>
    <row r="683" spans="1:8" ht="12" customHeight="1" x14ac:dyDescent="0.2">
      <c r="A683" s="33"/>
      <c r="B683" s="6" t="s">
        <v>246</v>
      </c>
      <c r="C683" s="953"/>
      <c r="D683" s="953"/>
      <c r="E683" s="953"/>
      <c r="F683" s="953">
        <v>1000</v>
      </c>
      <c r="G683" s="943"/>
      <c r="H683" s="937"/>
    </row>
    <row r="684" spans="1:8" ht="12" customHeight="1" thickBot="1" x14ac:dyDescent="0.25">
      <c r="A684" s="33"/>
      <c r="B684" s="904" t="s">
        <v>210</v>
      </c>
      <c r="C684" s="962"/>
      <c r="D684" s="962"/>
      <c r="E684" s="962"/>
      <c r="F684" s="962"/>
      <c r="G684" s="1082"/>
      <c r="H684" s="18"/>
    </row>
    <row r="685" spans="1:8" ht="12" customHeight="1" thickBot="1" x14ac:dyDescent="0.25">
      <c r="A685" s="247"/>
      <c r="B685" s="905" t="s">
        <v>106</v>
      </c>
      <c r="C685" s="949">
        <f t="shared" ref="C685:D685" si="144">SUM(C679:C684)</f>
        <v>12000</v>
      </c>
      <c r="D685" s="949">
        <f t="shared" si="144"/>
        <v>27847</v>
      </c>
      <c r="E685" s="949">
        <f t="shared" ref="E685:F685" si="145">SUM(E679:E684)</f>
        <v>27847</v>
      </c>
      <c r="F685" s="949">
        <f t="shared" si="145"/>
        <v>27847</v>
      </c>
      <c r="G685" s="1000">
        <f t="shared" si="143"/>
        <v>1</v>
      </c>
      <c r="H685" s="888"/>
    </row>
    <row r="686" spans="1:8" ht="12" customHeight="1" x14ac:dyDescent="0.2">
      <c r="A686" s="10">
        <v>3356</v>
      </c>
      <c r="B686" s="162" t="s">
        <v>14</v>
      </c>
      <c r="C686" s="241"/>
      <c r="D686" s="241"/>
      <c r="E686" s="241"/>
      <c r="F686" s="241"/>
      <c r="G686" s="885"/>
      <c r="H686" s="937"/>
    </row>
    <row r="687" spans="1:8" ht="12" customHeight="1" x14ac:dyDescent="0.2">
      <c r="A687" s="33"/>
      <c r="B687" s="34" t="s">
        <v>92</v>
      </c>
      <c r="C687" s="953"/>
      <c r="D687" s="953"/>
      <c r="E687" s="953"/>
      <c r="F687" s="953"/>
      <c r="G687" s="885"/>
      <c r="H687" s="937"/>
    </row>
    <row r="688" spans="1:8" ht="12" customHeight="1" x14ac:dyDescent="0.2">
      <c r="A688" s="33"/>
      <c r="B688" s="5" t="s">
        <v>250</v>
      </c>
      <c r="C688" s="953"/>
      <c r="D688" s="953"/>
      <c r="E688" s="953"/>
      <c r="F688" s="953"/>
      <c r="G688" s="885"/>
      <c r="H688" s="937"/>
    </row>
    <row r="689" spans="1:8" ht="12" customHeight="1" x14ac:dyDescent="0.2">
      <c r="A689" s="33"/>
      <c r="B689" s="243" t="s">
        <v>239</v>
      </c>
      <c r="C689" s="953"/>
      <c r="D689" s="953"/>
      <c r="E689" s="953"/>
      <c r="F689" s="953"/>
      <c r="G689" s="1081"/>
      <c r="H689" s="938"/>
    </row>
    <row r="690" spans="1:8" ht="12" customHeight="1" x14ac:dyDescent="0.2">
      <c r="A690" s="33"/>
      <c r="B690" s="6" t="s">
        <v>97</v>
      </c>
      <c r="C690" s="953"/>
      <c r="D690" s="953"/>
      <c r="E690" s="953"/>
      <c r="F690" s="953"/>
      <c r="G690" s="943"/>
      <c r="H690" s="937"/>
    </row>
    <row r="691" spans="1:8" ht="12" customHeight="1" x14ac:dyDescent="0.2">
      <c r="A691" s="33"/>
      <c r="B691" s="6" t="s">
        <v>246</v>
      </c>
      <c r="C691" s="953">
        <v>5000</v>
      </c>
      <c r="D691" s="953">
        <f>5000+3421</f>
        <v>8421</v>
      </c>
      <c r="E691" s="953">
        <f>5000+3421</f>
        <v>8421</v>
      </c>
      <c r="F691" s="953">
        <f>5000+3421</f>
        <v>8421</v>
      </c>
      <c r="G691" s="943">
        <f t="shared" si="143"/>
        <v>1</v>
      </c>
      <c r="H691" s="937"/>
    </row>
    <row r="692" spans="1:8" ht="12" customHeight="1" thickBot="1" x14ac:dyDescent="0.25">
      <c r="A692" s="33"/>
      <c r="B692" s="904" t="s">
        <v>65</v>
      </c>
      <c r="C692" s="955"/>
      <c r="D692" s="955"/>
      <c r="E692" s="955"/>
      <c r="F692" s="955"/>
      <c r="G692" s="1082"/>
      <c r="H692" s="18"/>
    </row>
    <row r="693" spans="1:8" ht="12" customHeight="1" thickBot="1" x14ac:dyDescent="0.25">
      <c r="A693" s="247"/>
      <c r="B693" s="905" t="s">
        <v>106</v>
      </c>
      <c r="C693" s="949">
        <f t="shared" ref="C693:D693" si="146">SUM(C687:C692)</f>
        <v>5000</v>
      </c>
      <c r="D693" s="949">
        <f t="shared" si="146"/>
        <v>8421</v>
      </c>
      <c r="E693" s="949">
        <f t="shared" ref="E693:F693" si="147">SUM(E687:E692)</f>
        <v>8421</v>
      </c>
      <c r="F693" s="949">
        <f t="shared" si="147"/>
        <v>8421</v>
      </c>
      <c r="G693" s="1000">
        <f t="shared" si="143"/>
        <v>1</v>
      </c>
      <c r="H693" s="888"/>
    </row>
    <row r="694" spans="1:8" ht="12" customHeight="1" x14ac:dyDescent="0.2">
      <c r="A694" s="10">
        <v>3357</v>
      </c>
      <c r="B694" s="162" t="s">
        <v>28</v>
      </c>
      <c r="C694" s="241"/>
      <c r="D694" s="241"/>
      <c r="E694" s="241"/>
      <c r="F694" s="241"/>
      <c r="G694" s="885"/>
      <c r="H694" s="937"/>
    </row>
    <row r="695" spans="1:8" ht="12" customHeight="1" x14ac:dyDescent="0.2">
      <c r="A695" s="33"/>
      <c r="B695" s="34" t="s">
        <v>92</v>
      </c>
      <c r="C695" s="953">
        <v>600</v>
      </c>
      <c r="D695" s="953">
        <v>600</v>
      </c>
      <c r="E695" s="953">
        <v>600</v>
      </c>
      <c r="F695" s="953">
        <v>600</v>
      </c>
      <c r="G695" s="1081">
        <f t="shared" si="143"/>
        <v>1</v>
      </c>
      <c r="H695" s="937"/>
    </row>
    <row r="696" spans="1:8" ht="12" customHeight="1" x14ac:dyDescent="0.2">
      <c r="A696" s="33"/>
      <c r="B696" s="5" t="s">
        <v>250</v>
      </c>
      <c r="C696" s="953">
        <v>300</v>
      </c>
      <c r="D696" s="953">
        <v>300</v>
      </c>
      <c r="E696" s="953">
        <v>300</v>
      </c>
      <c r="F696" s="953">
        <v>300</v>
      </c>
      <c r="G696" s="943">
        <f t="shared" si="143"/>
        <v>1</v>
      </c>
      <c r="H696" s="937"/>
    </row>
    <row r="697" spans="1:8" ht="12" customHeight="1" x14ac:dyDescent="0.2">
      <c r="A697" s="33"/>
      <c r="B697" s="243" t="s">
        <v>239</v>
      </c>
      <c r="C697" s="953">
        <v>2100</v>
      </c>
      <c r="D697" s="953">
        <f>2100+330</f>
        <v>2430</v>
      </c>
      <c r="E697" s="953">
        <f>2100+330</f>
        <v>2430</v>
      </c>
      <c r="F697" s="953">
        <f>2100+330</f>
        <v>2430</v>
      </c>
      <c r="G697" s="943">
        <f t="shared" si="143"/>
        <v>1</v>
      </c>
      <c r="H697" s="940" t="s">
        <v>1389</v>
      </c>
    </row>
    <row r="698" spans="1:8" ht="12" customHeight="1" x14ac:dyDescent="0.2">
      <c r="A698" s="33"/>
      <c r="B698" s="6" t="s">
        <v>97</v>
      </c>
      <c r="C698" s="953"/>
      <c r="D698" s="953"/>
      <c r="E698" s="953"/>
      <c r="F698" s="953"/>
      <c r="G698" s="943"/>
      <c r="H698" s="937"/>
    </row>
    <row r="699" spans="1:8" ht="12" customHeight="1" x14ac:dyDescent="0.2">
      <c r="A699" s="33"/>
      <c r="B699" s="6" t="s">
        <v>246</v>
      </c>
      <c r="C699" s="953"/>
      <c r="D699" s="953"/>
      <c r="E699" s="953"/>
      <c r="F699" s="953"/>
      <c r="G699" s="943"/>
      <c r="H699" s="937"/>
    </row>
    <row r="700" spans="1:8" ht="12" customHeight="1" thickBot="1" x14ac:dyDescent="0.25">
      <c r="A700" s="33"/>
      <c r="B700" s="904" t="s">
        <v>210</v>
      </c>
      <c r="C700" s="962"/>
      <c r="D700" s="962"/>
      <c r="E700" s="962"/>
      <c r="F700" s="962"/>
      <c r="G700" s="1082"/>
      <c r="H700" s="18"/>
    </row>
    <row r="701" spans="1:8" ht="12.75" thickBot="1" x14ac:dyDescent="0.25">
      <c r="A701" s="247"/>
      <c r="B701" s="905" t="s">
        <v>106</v>
      </c>
      <c r="C701" s="949">
        <f t="shared" ref="C701:D701" si="148">SUM(C695:C700)</f>
        <v>3000</v>
      </c>
      <c r="D701" s="949">
        <f t="shared" si="148"/>
        <v>3330</v>
      </c>
      <c r="E701" s="949">
        <f t="shared" ref="E701:F701" si="149">SUM(E695:E700)</f>
        <v>3330</v>
      </c>
      <c r="F701" s="949">
        <f t="shared" si="149"/>
        <v>3330</v>
      </c>
      <c r="G701" s="1000">
        <f t="shared" si="143"/>
        <v>1</v>
      </c>
      <c r="H701" s="888"/>
    </row>
    <row r="702" spans="1:8" ht="12.75" thickBot="1" x14ac:dyDescent="0.25">
      <c r="A702" s="49">
        <v>3400</v>
      </c>
      <c r="B702" s="30" t="s">
        <v>70</v>
      </c>
      <c r="C702" s="955">
        <f>SUM(C703+C766)</f>
        <v>189500</v>
      </c>
      <c r="D702" s="955">
        <f>SUM(D703+D766)</f>
        <v>267021</v>
      </c>
      <c r="E702" s="955">
        <f>SUM(E703+E766)</f>
        <v>266449</v>
      </c>
      <c r="F702" s="955">
        <f>SUM(F703+F766)</f>
        <v>258449</v>
      </c>
      <c r="G702" s="1000">
        <f t="shared" si="143"/>
        <v>0.96997549249574966</v>
      </c>
      <c r="H702" s="888"/>
    </row>
    <row r="703" spans="1:8" ht="13.5" customHeight="1" thickBot="1" x14ac:dyDescent="0.25">
      <c r="A703" s="10">
        <v>3410</v>
      </c>
      <c r="B703" s="30" t="s">
        <v>71</v>
      </c>
      <c r="C703" s="949">
        <f>SUM(C739+C748+C757+C765+C712)</f>
        <v>55000</v>
      </c>
      <c r="D703" s="949">
        <f>SUM(D739+D748+D757+D765+D712)+D730</f>
        <v>86485</v>
      </c>
      <c r="E703" s="949">
        <f>SUM(E739+E748+E757+E765+E712)+E730</f>
        <v>86485</v>
      </c>
      <c r="F703" s="949">
        <f>SUM(F739+F748+F757+F765+F712)+F730</f>
        <v>86485</v>
      </c>
      <c r="G703" s="1000">
        <f t="shared" si="143"/>
        <v>1</v>
      </c>
      <c r="H703" s="888"/>
    </row>
    <row r="704" spans="1:8" ht="12.75" hidden="1" customHeight="1" thickBot="1" x14ac:dyDescent="0.25">
      <c r="A704" s="10">
        <v>3411</v>
      </c>
      <c r="B704" s="162" t="s">
        <v>1104</v>
      </c>
      <c r="C704" s="241"/>
      <c r="D704" s="241"/>
      <c r="E704" s="241"/>
      <c r="F704" s="241"/>
      <c r="G704" s="885" t="e">
        <f t="shared" si="143"/>
        <v>#DIV/0!</v>
      </c>
      <c r="H704" s="2"/>
    </row>
    <row r="705" spans="1:8" ht="12.75" hidden="1" customHeight="1" thickBot="1" x14ac:dyDescent="0.25">
      <c r="A705" s="33"/>
      <c r="B705" s="34" t="s">
        <v>92</v>
      </c>
      <c r="C705" s="200"/>
      <c r="D705" s="200"/>
      <c r="E705" s="200"/>
      <c r="F705" s="200"/>
      <c r="G705" s="885" t="e">
        <f t="shared" si="143"/>
        <v>#DIV/0!</v>
      </c>
      <c r="H705" s="937"/>
    </row>
    <row r="706" spans="1:8" ht="12.75" hidden="1" customHeight="1" thickBot="1" x14ac:dyDescent="0.25">
      <c r="A706" s="33"/>
      <c r="B706" s="5" t="s">
        <v>250</v>
      </c>
      <c r="C706" s="200"/>
      <c r="D706" s="200"/>
      <c r="E706" s="200"/>
      <c r="F706" s="200"/>
      <c r="G706" s="885" t="e">
        <f t="shared" si="143"/>
        <v>#DIV/0!</v>
      </c>
      <c r="H706" s="961" t="s">
        <v>436</v>
      </c>
    </row>
    <row r="707" spans="1:8" ht="12.75" hidden="1" customHeight="1" thickBot="1" x14ac:dyDescent="0.25">
      <c r="A707" s="33"/>
      <c r="B707" s="243" t="s">
        <v>239</v>
      </c>
      <c r="C707" s="953"/>
      <c r="D707" s="953"/>
      <c r="E707" s="953"/>
      <c r="F707" s="953"/>
      <c r="G707" s="885" t="e">
        <f t="shared" si="143"/>
        <v>#DIV/0!</v>
      </c>
      <c r="H707" s="961"/>
    </row>
    <row r="708" spans="1:8" ht="12.75" hidden="1" customHeight="1" thickBot="1" x14ac:dyDescent="0.25">
      <c r="A708" s="33"/>
      <c r="B708" s="6" t="s">
        <v>97</v>
      </c>
      <c r="C708" s="953"/>
      <c r="D708" s="953"/>
      <c r="E708" s="953"/>
      <c r="F708" s="953"/>
      <c r="G708" s="885" t="e">
        <f t="shared" si="143"/>
        <v>#DIV/0!</v>
      </c>
      <c r="H708" s="937"/>
    </row>
    <row r="709" spans="1:8" ht="12.75" hidden="1" customHeight="1" thickBot="1" x14ac:dyDescent="0.25">
      <c r="A709" s="33"/>
      <c r="B709" s="6" t="s">
        <v>246</v>
      </c>
      <c r="C709" s="200"/>
      <c r="D709" s="200"/>
      <c r="E709" s="200"/>
      <c r="F709" s="200"/>
      <c r="G709" s="885" t="e">
        <f t="shared" si="143"/>
        <v>#DIV/0!</v>
      </c>
      <c r="H709" s="945"/>
    </row>
    <row r="710" spans="1:8" ht="12.75" hidden="1" customHeight="1" thickBot="1" x14ac:dyDescent="0.25">
      <c r="A710" s="33"/>
      <c r="B710" s="904" t="s">
        <v>212</v>
      </c>
      <c r="C710" s="200"/>
      <c r="D710" s="200"/>
      <c r="E710" s="200"/>
      <c r="F710" s="200"/>
      <c r="G710" s="885" t="e">
        <f t="shared" si="143"/>
        <v>#DIV/0!</v>
      </c>
      <c r="H710" s="3"/>
    </row>
    <row r="711" spans="1:8" ht="12.75" hidden="1" customHeight="1" thickBot="1" x14ac:dyDescent="0.25">
      <c r="A711" s="33"/>
      <c r="B711" s="947" t="s">
        <v>228</v>
      </c>
      <c r="C711" s="956"/>
      <c r="D711" s="956"/>
      <c r="E711" s="682"/>
      <c r="F711" s="682"/>
      <c r="G711" s="885" t="e">
        <f t="shared" si="143"/>
        <v>#DIV/0!</v>
      </c>
      <c r="H711" s="18"/>
    </row>
    <row r="712" spans="1:8" ht="13.5" hidden="1" customHeight="1" thickBot="1" x14ac:dyDescent="0.25">
      <c r="A712" s="247"/>
      <c r="B712" s="1026" t="s">
        <v>106</v>
      </c>
      <c r="C712" s="955">
        <f>SUM(C705:C711)</f>
        <v>0</v>
      </c>
      <c r="D712" s="955">
        <f>SUM(D705:D711)</f>
        <v>0</v>
      </c>
      <c r="E712" s="270">
        <f>SUM(E705:E711)</f>
        <v>0</v>
      </c>
      <c r="F712" s="270">
        <f>SUM(F705:F711)</f>
        <v>0</v>
      </c>
      <c r="G712" s="885" t="e">
        <f t="shared" si="143"/>
        <v>#DIV/0!</v>
      </c>
      <c r="H712" s="1013"/>
    </row>
    <row r="713" spans="1:8" ht="12.75" hidden="1" customHeight="1" thickBot="1" x14ac:dyDescent="0.25">
      <c r="A713" s="10">
        <v>3411</v>
      </c>
      <c r="B713" s="1027" t="s">
        <v>1104</v>
      </c>
      <c r="C713" s="1027"/>
      <c r="D713" s="1027"/>
      <c r="E713" s="932"/>
      <c r="F713" s="932"/>
      <c r="G713" s="885" t="e">
        <f t="shared" si="143"/>
        <v>#DIV/0!</v>
      </c>
      <c r="H713" s="1027"/>
    </row>
    <row r="714" spans="1:8" ht="12.75" hidden="1" customHeight="1" thickBot="1" x14ac:dyDescent="0.25">
      <c r="A714" s="33"/>
      <c r="B714" s="34" t="s">
        <v>92</v>
      </c>
      <c r="C714" s="34"/>
      <c r="D714" s="34"/>
      <c r="E714" s="34"/>
      <c r="F714" s="34"/>
      <c r="G714" s="885" t="e">
        <f t="shared" si="143"/>
        <v>#DIV/0!</v>
      </c>
      <c r="H714" s="34"/>
    </row>
    <row r="715" spans="1:8" ht="12.75" hidden="1" customHeight="1" thickBot="1" x14ac:dyDescent="0.25">
      <c r="A715" s="33"/>
      <c r="B715" s="5" t="s">
        <v>250</v>
      </c>
      <c r="C715" s="5"/>
      <c r="D715" s="5"/>
      <c r="E715" s="6"/>
      <c r="F715" s="6"/>
      <c r="G715" s="885" t="e">
        <f t="shared" si="143"/>
        <v>#DIV/0!</v>
      </c>
      <c r="H715" s="5"/>
    </row>
    <row r="716" spans="1:8" ht="12.75" hidden="1" customHeight="1" thickBot="1" x14ac:dyDescent="0.25">
      <c r="A716" s="33"/>
      <c r="B716" s="243" t="s">
        <v>239</v>
      </c>
      <c r="C716" s="243"/>
      <c r="D716" s="243"/>
      <c r="E716" s="243"/>
      <c r="F716" s="243"/>
      <c r="G716" s="885" t="e">
        <f t="shared" si="143"/>
        <v>#DIV/0!</v>
      </c>
      <c r="H716" s="961" t="s">
        <v>436</v>
      </c>
    </row>
    <row r="717" spans="1:8" ht="12.75" hidden="1" customHeight="1" thickBot="1" x14ac:dyDescent="0.25">
      <c r="A717" s="33"/>
      <c r="B717" s="6" t="s">
        <v>97</v>
      </c>
      <c r="C717" s="6"/>
      <c r="D717" s="6"/>
      <c r="E717" s="6"/>
      <c r="F717" s="6"/>
      <c r="G717" s="885" t="e">
        <f t="shared" si="143"/>
        <v>#DIV/0!</v>
      </c>
      <c r="H717" s="6"/>
    </row>
    <row r="718" spans="1:8" ht="12.75" hidden="1" customHeight="1" thickBot="1" x14ac:dyDescent="0.25">
      <c r="A718" s="33"/>
      <c r="B718" s="6" t="s">
        <v>246</v>
      </c>
      <c r="C718" s="6">
        <v>0</v>
      </c>
      <c r="D718" s="6">
        <v>0</v>
      </c>
      <c r="E718" s="6">
        <v>0</v>
      </c>
      <c r="F718" s="6">
        <v>0</v>
      </c>
      <c r="G718" s="885" t="e">
        <f t="shared" si="143"/>
        <v>#DIV/0!</v>
      </c>
      <c r="H718" s="6"/>
    </row>
    <row r="719" spans="1:8" ht="12.75" hidden="1" customHeight="1" thickBot="1" x14ac:dyDescent="0.25">
      <c r="A719" s="33"/>
      <c r="B719" s="904" t="s">
        <v>212</v>
      </c>
      <c r="C719" s="904"/>
      <c r="D719" s="904"/>
      <c r="E719" s="897"/>
      <c r="F719" s="897"/>
      <c r="G719" s="885" t="e">
        <f t="shared" si="143"/>
        <v>#DIV/0!</v>
      </c>
      <c r="H719" s="904"/>
    </row>
    <row r="720" spans="1:8" ht="12.75" hidden="1" customHeight="1" thickBot="1" x14ac:dyDescent="0.25">
      <c r="A720" s="33"/>
      <c r="B720" s="947" t="s">
        <v>228</v>
      </c>
      <c r="C720" s="947"/>
      <c r="D720" s="947"/>
      <c r="E720" s="947"/>
      <c r="F720" s="947"/>
      <c r="G720" s="885" t="e">
        <f t="shared" si="143"/>
        <v>#DIV/0!</v>
      </c>
      <c r="H720" s="947"/>
    </row>
    <row r="721" spans="1:8" ht="13.5" hidden="1" customHeight="1" thickBot="1" x14ac:dyDescent="0.25">
      <c r="A721" s="247"/>
      <c r="B721" s="905" t="s">
        <v>106</v>
      </c>
      <c r="C721" s="949">
        <f>SUM(C714:C720)</f>
        <v>0</v>
      </c>
      <c r="D721" s="949">
        <f>SUM(D714:D720)</f>
        <v>0</v>
      </c>
      <c r="E721" s="270">
        <f>SUM(E714:E720)</f>
        <v>0</v>
      </c>
      <c r="F721" s="270">
        <f>SUM(F714:F720)</f>
        <v>0</v>
      </c>
      <c r="G721" s="885" t="e">
        <f t="shared" si="143"/>
        <v>#DIV/0!</v>
      </c>
      <c r="H721" s="1013"/>
    </row>
    <row r="722" spans="1:8" ht="12" customHeight="1" x14ac:dyDescent="0.2">
      <c r="A722" s="248">
        <v>3411</v>
      </c>
      <c r="B722" s="162" t="s">
        <v>1104</v>
      </c>
      <c r="C722" s="1028"/>
      <c r="D722" s="1028"/>
      <c r="E722" s="241"/>
      <c r="F722" s="241"/>
      <c r="G722" s="885"/>
      <c r="H722" s="893"/>
    </row>
    <row r="723" spans="1:8" ht="12" customHeight="1" x14ac:dyDescent="0.2">
      <c r="A723" s="33"/>
      <c r="B723" s="34" t="s">
        <v>92</v>
      </c>
      <c r="C723" s="200"/>
      <c r="D723" s="200"/>
      <c r="E723" s="200"/>
      <c r="F723" s="200"/>
      <c r="G723" s="885"/>
      <c r="H723" s="937"/>
    </row>
    <row r="724" spans="1:8" ht="12" customHeight="1" x14ac:dyDescent="0.2">
      <c r="A724" s="33"/>
      <c r="B724" s="5" t="s">
        <v>250</v>
      </c>
      <c r="C724" s="200"/>
      <c r="D724" s="200"/>
      <c r="E724" s="200"/>
      <c r="F724" s="200"/>
      <c r="G724" s="885"/>
      <c r="H724" s="952"/>
    </row>
    <row r="725" spans="1:8" ht="12" customHeight="1" x14ac:dyDescent="0.2">
      <c r="A725" s="33"/>
      <c r="B725" s="243" t="s">
        <v>239</v>
      </c>
      <c r="C725" s="953"/>
      <c r="D725" s="953"/>
      <c r="E725" s="953"/>
      <c r="F725" s="953"/>
      <c r="G725" s="885"/>
      <c r="H725" s="961"/>
    </row>
    <row r="726" spans="1:8" ht="12" customHeight="1" x14ac:dyDescent="0.2">
      <c r="A726" s="33"/>
      <c r="B726" s="6" t="s">
        <v>97</v>
      </c>
      <c r="C726" s="953"/>
      <c r="D726" s="953"/>
      <c r="E726" s="953"/>
      <c r="F726" s="953"/>
      <c r="G726" s="885"/>
      <c r="H726" s="937"/>
    </row>
    <row r="727" spans="1:8" ht="12" customHeight="1" x14ac:dyDescent="0.2">
      <c r="A727" s="33"/>
      <c r="B727" s="6" t="s">
        <v>246</v>
      </c>
      <c r="C727" s="200"/>
      <c r="D727" s="200">
        <v>20000</v>
      </c>
      <c r="E727" s="200">
        <v>20000</v>
      </c>
      <c r="F727" s="200">
        <v>20000</v>
      </c>
      <c r="G727" s="943">
        <f t="shared" si="143"/>
        <v>1</v>
      </c>
      <c r="H727" s="945"/>
    </row>
    <row r="728" spans="1:8" ht="12" customHeight="1" x14ac:dyDescent="0.2">
      <c r="A728" s="33"/>
      <c r="B728" s="904" t="s">
        <v>212</v>
      </c>
      <c r="C728" s="200"/>
      <c r="D728" s="200"/>
      <c r="E728" s="200"/>
      <c r="F728" s="200"/>
      <c r="G728" s="885"/>
      <c r="H728" s="3"/>
    </row>
    <row r="729" spans="1:8" ht="12" customHeight="1" thickBot="1" x14ac:dyDescent="0.25">
      <c r="A729" s="33"/>
      <c r="B729" s="947" t="s">
        <v>228</v>
      </c>
      <c r="C729" s="956"/>
      <c r="D729" s="956"/>
      <c r="E729" s="682"/>
      <c r="F729" s="682"/>
      <c r="G729" s="1063"/>
      <c r="H729" s="18"/>
    </row>
    <row r="730" spans="1:8" ht="12" customHeight="1" thickBot="1" x14ac:dyDescent="0.25">
      <c r="A730" s="10"/>
      <c r="B730" s="905" t="s">
        <v>106</v>
      </c>
      <c r="C730" s="1061"/>
      <c r="D730" s="1061">
        <f>SUM(D723:D729)</f>
        <v>20000</v>
      </c>
      <c r="E730" s="949">
        <f>SUM(E723:E729)</f>
        <v>20000</v>
      </c>
      <c r="F730" s="949">
        <f>SUM(F723:F729)</f>
        <v>20000</v>
      </c>
      <c r="G730" s="1000">
        <f t="shared" si="143"/>
        <v>1</v>
      </c>
      <c r="H730" s="1062"/>
    </row>
    <row r="731" spans="1:8" ht="12" customHeight="1" x14ac:dyDescent="0.2">
      <c r="A731" s="248">
        <v>3412</v>
      </c>
      <c r="B731" s="162" t="s">
        <v>324</v>
      </c>
      <c r="C731" s="1028"/>
      <c r="D731" s="1028"/>
      <c r="E731" s="241"/>
      <c r="F731" s="241"/>
      <c r="G731" s="885"/>
      <c r="H731" s="893"/>
    </row>
    <row r="732" spans="1:8" ht="12" customHeight="1" x14ac:dyDescent="0.2">
      <c r="A732" s="33"/>
      <c r="B732" s="34" t="s">
        <v>92</v>
      </c>
      <c r="C732" s="200">
        <v>11500</v>
      </c>
      <c r="D732" s="200">
        <v>11500</v>
      </c>
      <c r="E732" s="200">
        <f>11500-6000</f>
        <v>5500</v>
      </c>
      <c r="F732" s="200">
        <f>5500-4500</f>
        <v>1000</v>
      </c>
      <c r="G732" s="1081">
        <f t="shared" si="143"/>
        <v>0.18181818181818182</v>
      </c>
      <c r="H732" s="937"/>
    </row>
    <row r="733" spans="1:8" ht="12" customHeight="1" x14ac:dyDescent="0.2">
      <c r="A733" s="33"/>
      <c r="B733" s="5" t="s">
        <v>250</v>
      </c>
      <c r="C733" s="200">
        <v>2000</v>
      </c>
      <c r="D733" s="200">
        <v>2000</v>
      </c>
      <c r="E733" s="200">
        <v>2000</v>
      </c>
      <c r="F733" s="200">
        <f>2000-500</f>
        <v>1500</v>
      </c>
      <c r="G733" s="943">
        <f t="shared" si="143"/>
        <v>0.75</v>
      </c>
      <c r="H733" s="952"/>
    </row>
    <row r="734" spans="1:8" ht="12" customHeight="1" x14ac:dyDescent="0.2">
      <c r="A734" s="33"/>
      <c r="B734" s="243" t="s">
        <v>239</v>
      </c>
      <c r="C734" s="953">
        <v>6500</v>
      </c>
      <c r="D734" s="953">
        <f>6500+9468</f>
        <v>15968</v>
      </c>
      <c r="E734" s="953">
        <f>15968+6000+6000</f>
        <v>27968</v>
      </c>
      <c r="F734" s="953">
        <f>15968+6000+6000</f>
        <v>27968</v>
      </c>
      <c r="G734" s="943">
        <f t="shared" si="143"/>
        <v>1</v>
      </c>
      <c r="H734" s="940" t="s">
        <v>1387</v>
      </c>
    </row>
    <row r="735" spans="1:8" ht="12" customHeight="1" x14ac:dyDescent="0.2">
      <c r="A735" s="33"/>
      <c r="B735" s="6" t="s">
        <v>97</v>
      </c>
      <c r="C735" s="953"/>
      <c r="D735" s="953"/>
      <c r="E735" s="953"/>
      <c r="F735" s="953"/>
      <c r="G735" s="943"/>
      <c r="H735" s="937"/>
    </row>
    <row r="736" spans="1:8" x14ac:dyDescent="0.2">
      <c r="A736" s="33"/>
      <c r="B736" s="6" t="s">
        <v>246</v>
      </c>
      <c r="C736" s="200"/>
      <c r="D736" s="200"/>
      <c r="E736" s="200"/>
      <c r="F736" s="200">
        <v>5000</v>
      </c>
      <c r="G736" s="943"/>
      <c r="H736" s="945"/>
    </row>
    <row r="737" spans="1:8" x14ac:dyDescent="0.2">
      <c r="A737" s="33"/>
      <c r="B737" s="904" t="s">
        <v>212</v>
      </c>
      <c r="C737" s="200"/>
      <c r="D737" s="200">
        <v>830</v>
      </c>
      <c r="E737" s="200">
        <v>830</v>
      </c>
      <c r="F737" s="200">
        <v>830</v>
      </c>
      <c r="G737" s="943">
        <f t="shared" si="143"/>
        <v>1</v>
      </c>
      <c r="H737" s="3"/>
    </row>
    <row r="738" spans="1:8" ht="12.75" thickBot="1" x14ac:dyDescent="0.25">
      <c r="A738" s="33"/>
      <c r="B738" s="947" t="s">
        <v>228</v>
      </c>
      <c r="C738" s="956"/>
      <c r="D738" s="956"/>
      <c r="E738" s="956"/>
      <c r="F738" s="956"/>
      <c r="G738" s="1082"/>
      <c r="H738" s="18"/>
    </row>
    <row r="739" spans="1:8" ht="12" customHeight="1" thickBot="1" x14ac:dyDescent="0.25">
      <c r="A739" s="247"/>
      <c r="B739" s="905" t="s">
        <v>106</v>
      </c>
      <c r="C739" s="955">
        <f>SUM(C732:C738)</f>
        <v>20000</v>
      </c>
      <c r="D739" s="955">
        <f>SUM(D732:D738)</f>
        <v>30298</v>
      </c>
      <c r="E739" s="955">
        <f>SUM(E732:E738)</f>
        <v>36298</v>
      </c>
      <c r="F739" s="955">
        <f>SUM(F732:F738)</f>
        <v>36298</v>
      </c>
      <c r="G739" s="1000">
        <f t="shared" ref="G739:G799" si="150">F739/E739</f>
        <v>1</v>
      </c>
      <c r="H739" s="1013"/>
    </row>
    <row r="740" spans="1:8" ht="12" customHeight="1" x14ac:dyDescent="0.2">
      <c r="A740" s="10">
        <v>3413</v>
      </c>
      <c r="B740" s="941" t="s">
        <v>110</v>
      </c>
      <c r="C740" s="241"/>
      <c r="D740" s="241"/>
      <c r="E740" s="241"/>
      <c r="F740" s="241"/>
      <c r="G740" s="885"/>
      <c r="H740" s="893"/>
    </row>
    <row r="741" spans="1:8" ht="12" customHeight="1" x14ac:dyDescent="0.2">
      <c r="A741" s="33"/>
      <c r="B741" s="34" t="s">
        <v>92</v>
      </c>
      <c r="C741" s="200">
        <v>600</v>
      </c>
      <c r="D741" s="200">
        <v>600</v>
      </c>
      <c r="E741" s="200">
        <v>600</v>
      </c>
      <c r="F741" s="200">
        <f>600-400</f>
        <v>200</v>
      </c>
      <c r="G741" s="1081">
        <f t="shared" si="150"/>
        <v>0.33333333333333331</v>
      </c>
      <c r="H741" s="937"/>
    </row>
    <row r="742" spans="1:8" ht="12" customHeight="1" x14ac:dyDescent="0.2">
      <c r="A742" s="33"/>
      <c r="B742" s="5" t="s">
        <v>250</v>
      </c>
      <c r="C742" s="200">
        <v>400</v>
      </c>
      <c r="D742" s="200">
        <v>400</v>
      </c>
      <c r="E742" s="200">
        <v>400</v>
      </c>
      <c r="F742" s="200">
        <v>400</v>
      </c>
      <c r="G742" s="943">
        <f t="shared" si="150"/>
        <v>1</v>
      </c>
      <c r="H742" s="940" t="s">
        <v>1387</v>
      </c>
    </row>
    <row r="743" spans="1:8" ht="12" customHeight="1" x14ac:dyDescent="0.2">
      <c r="A743" s="33"/>
      <c r="B743" s="243" t="s">
        <v>239</v>
      </c>
      <c r="C743" s="953">
        <f>1000</f>
        <v>1000</v>
      </c>
      <c r="D743" s="953">
        <f>1000</f>
        <v>1000</v>
      </c>
      <c r="E743" s="953">
        <f>1000</f>
        <v>1000</v>
      </c>
      <c r="F743" s="953">
        <v>0</v>
      </c>
      <c r="G743" s="943">
        <f t="shared" si="150"/>
        <v>0</v>
      </c>
      <c r="H743" s="952"/>
    </row>
    <row r="744" spans="1:8" ht="12" customHeight="1" x14ac:dyDescent="0.2">
      <c r="A744" s="33"/>
      <c r="B744" s="6" t="s">
        <v>97</v>
      </c>
      <c r="C744" s="953"/>
      <c r="D744" s="953"/>
      <c r="E744" s="953"/>
      <c r="F744" s="953"/>
      <c r="G744" s="943"/>
      <c r="H744" s="937"/>
    </row>
    <row r="745" spans="1:8" ht="12" customHeight="1" x14ac:dyDescent="0.2">
      <c r="A745" s="33"/>
      <c r="B745" s="6" t="s">
        <v>246</v>
      </c>
      <c r="C745" s="200"/>
      <c r="D745" s="200"/>
      <c r="E745" s="200"/>
      <c r="F745" s="200"/>
      <c r="G745" s="943"/>
      <c r="H745" s="937"/>
    </row>
    <row r="746" spans="1:8" ht="12" customHeight="1" x14ac:dyDescent="0.2">
      <c r="A746" s="33"/>
      <c r="B746" s="904" t="s">
        <v>212</v>
      </c>
      <c r="C746" s="200"/>
      <c r="D746" s="200">
        <v>1187</v>
      </c>
      <c r="E746" s="200">
        <v>1187</v>
      </c>
      <c r="F746" s="200">
        <f>1187+1400</f>
        <v>2587</v>
      </c>
      <c r="G746" s="943">
        <f t="shared" si="150"/>
        <v>2.1794439764111204</v>
      </c>
      <c r="H746" s="937"/>
    </row>
    <row r="747" spans="1:8" ht="12" customHeight="1" thickBot="1" x14ac:dyDescent="0.25">
      <c r="A747" s="33"/>
      <c r="B747" s="904" t="s">
        <v>65</v>
      </c>
      <c r="C747" s="956"/>
      <c r="D747" s="956"/>
      <c r="E747" s="956"/>
      <c r="F747" s="956"/>
      <c r="G747" s="1082"/>
      <c r="H747" s="18"/>
    </row>
    <row r="748" spans="1:8" ht="12" customHeight="1" thickBot="1" x14ac:dyDescent="0.25">
      <c r="A748" s="247"/>
      <c r="B748" s="905" t="s">
        <v>106</v>
      </c>
      <c r="C748" s="955">
        <f>SUM(C741:C747)</f>
        <v>2000</v>
      </c>
      <c r="D748" s="955">
        <f>SUM(D741:D747)</f>
        <v>3187</v>
      </c>
      <c r="E748" s="955">
        <f>SUM(E741:E747)</f>
        <v>3187</v>
      </c>
      <c r="F748" s="955">
        <f>SUM(F741:F747)</f>
        <v>3187</v>
      </c>
      <c r="G748" s="1000">
        <f t="shared" si="150"/>
        <v>1</v>
      </c>
      <c r="H748" s="1013"/>
    </row>
    <row r="749" spans="1:8" ht="12" customHeight="1" x14ac:dyDescent="0.2">
      <c r="A749" s="10">
        <v>3415</v>
      </c>
      <c r="B749" s="941" t="s">
        <v>1103</v>
      </c>
      <c r="C749" s="241"/>
      <c r="D749" s="241"/>
      <c r="E749" s="241"/>
      <c r="F749" s="241"/>
      <c r="G749" s="885"/>
      <c r="H749" s="893"/>
    </row>
    <row r="750" spans="1:8" ht="12" customHeight="1" x14ac:dyDescent="0.2">
      <c r="A750" s="33"/>
      <c r="B750" s="34" t="s">
        <v>92</v>
      </c>
      <c r="C750" s="200"/>
      <c r="D750" s="200"/>
      <c r="E750" s="200"/>
      <c r="F750" s="200"/>
      <c r="G750" s="885"/>
      <c r="H750" s="940" t="s">
        <v>1387</v>
      </c>
    </row>
    <row r="751" spans="1:8" ht="12" customHeight="1" x14ac:dyDescent="0.2">
      <c r="A751" s="33"/>
      <c r="B751" s="5" t="s">
        <v>250</v>
      </c>
      <c r="C751" s="200"/>
      <c r="D751" s="200"/>
      <c r="E751" s="200"/>
      <c r="F751" s="200"/>
      <c r="G751" s="1081"/>
      <c r="H751" s="940"/>
    </row>
    <row r="752" spans="1:8" ht="12" customHeight="1" x14ac:dyDescent="0.2">
      <c r="A752" s="33"/>
      <c r="B752" s="243" t="s">
        <v>239</v>
      </c>
      <c r="C752" s="953">
        <v>6000</v>
      </c>
      <c r="D752" s="953">
        <v>6000</v>
      </c>
      <c r="E752" s="953">
        <v>6000</v>
      </c>
      <c r="F752" s="953">
        <f>6000-5400</f>
        <v>600</v>
      </c>
      <c r="G752" s="943">
        <f t="shared" si="150"/>
        <v>0.1</v>
      </c>
      <c r="H752" s="952"/>
    </row>
    <row r="753" spans="1:8" ht="12" customHeight="1" x14ac:dyDescent="0.2">
      <c r="A753" s="33"/>
      <c r="B753" s="6" t="s">
        <v>97</v>
      </c>
      <c r="C753" s="953"/>
      <c r="D753" s="953"/>
      <c r="E753" s="953"/>
      <c r="F753" s="953"/>
      <c r="G753" s="943"/>
      <c r="H753" s="937"/>
    </row>
    <row r="754" spans="1:8" ht="12" customHeight="1" x14ac:dyDescent="0.2">
      <c r="A754" s="33"/>
      <c r="B754" s="6" t="s">
        <v>246</v>
      </c>
      <c r="C754" s="200">
        <v>6000</v>
      </c>
      <c r="D754" s="200">
        <v>6000</v>
      </c>
      <c r="E754" s="200">
        <f>6000-6000</f>
        <v>0</v>
      </c>
      <c r="F754" s="200">
        <v>5400</v>
      </c>
      <c r="G754" s="943"/>
      <c r="H754" s="937"/>
    </row>
    <row r="755" spans="1:8" ht="12" customHeight="1" x14ac:dyDescent="0.2">
      <c r="A755" s="33"/>
      <c r="B755" s="6" t="s">
        <v>212</v>
      </c>
      <c r="C755" s="200">
        <v>1000</v>
      </c>
      <c r="D755" s="200">
        <v>1000</v>
      </c>
      <c r="E755" s="200">
        <v>1000</v>
      </c>
      <c r="F755" s="200">
        <v>1000</v>
      </c>
      <c r="G755" s="943">
        <f t="shared" si="150"/>
        <v>1</v>
      </c>
      <c r="H755" s="945"/>
    </row>
    <row r="756" spans="1:8" ht="12" customHeight="1" thickBot="1" x14ac:dyDescent="0.25">
      <c r="A756" s="33"/>
      <c r="B756" s="904" t="s">
        <v>228</v>
      </c>
      <c r="C756" s="682"/>
      <c r="D756" s="682"/>
      <c r="E756" s="682"/>
      <c r="F756" s="682"/>
      <c r="G756" s="1082"/>
      <c r="H756" s="18"/>
    </row>
    <row r="757" spans="1:8" ht="12" customHeight="1" thickBot="1" x14ac:dyDescent="0.25">
      <c r="A757" s="247"/>
      <c r="B757" s="905" t="s">
        <v>106</v>
      </c>
      <c r="C757" s="949">
        <f>C750+C751+C752+C753+C754+C755+C756</f>
        <v>13000</v>
      </c>
      <c r="D757" s="949">
        <f>D750+D751+D752+D753+D754+D755+D756</f>
        <v>13000</v>
      </c>
      <c r="E757" s="949">
        <f>E750+E751+E752+E753+E754+E755+E756</f>
        <v>7000</v>
      </c>
      <c r="F757" s="949">
        <f>F750+F751+F752+F753+F754+F755+F756</f>
        <v>7000</v>
      </c>
      <c r="G757" s="1000">
        <f t="shared" si="150"/>
        <v>1</v>
      </c>
      <c r="H757" s="1013"/>
    </row>
    <row r="758" spans="1:8" ht="12" customHeight="1" x14ac:dyDescent="0.2">
      <c r="A758" s="10">
        <v>3416</v>
      </c>
      <c r="B758" s="941" t="s">
        <v>138</v>
      </c>
      <c r="C758" s="241"/>
      <c r="D758" s="241"/>
      <c r="E758" s="241"/>
      <c r="F758" s="241"/>
      <c r="G758" s="885"/>
      <c r="H758" s="893"/>
    </row>
    <row r="759" spans="1:8" ht="12" customHeight="1" x14ac:dyDescent="0.2">
      <c r="A759" s="33"/>
      <c r="B759" s="34" t="s">
        <v>92</v>
      </c>
      <c r="C759" s="200"/>
      <c r="D759" s="200"/>
      <c r="E759" s="200"/>
      <c r="F759" s="200"/>
      <c r="G759" s="885"/>
      <c r="H759" s="940"/>
    </row>
    <row r="760" spans="1:8" ht="12" customHeight="1" x14ac:dyDescent="0.2">
      <c r="A760" s="33"/>
      <c r="B760" s="5" t="s">
        <v>250</v>
      </c>
      <c r="C760" s="200"/>
      <c r="D760" s="200"/>
      <c r="E760" s="200"/>
      <c r="F760" s="200"/>
      <c r="G760" s="885"/>
      <c r="H760" s="937"/>
    </row>
    <row r="761" spans="1:8" ht="12" customHeight="1" x14ac:dyDescent="0.2">
      <c r="A761" s="33"/>
      <c r="B761" s="243" t="s">
        <v>239</v>
      </c>
      <c r="C761" s="200"/>
      <c r="D761" s="200"/>
      <c r="E761" s="200"/>
      <c r="F761" s="200"/>
      <c r="G761" s="1081"/>
      <c r="H761" s="940" t="s">
        <v>1387</v>
      </c>
    </row>
    <row r="762" spans="1:8" ht="12" customHeight="1" x14ac:dyDescent="0.2">
      <c r="A762" s="33"/>
      <c r="B762" s="6" t="s">
        <v>97</v>
      </c>
      <c r="C762" s="200"/>
      <c r="D762" s="200"/>
      <c r="E762" s="200"/>
      <c r="F762" s="200"/>
      <c r="G762" s="943"/>
      <c r="H762" s="952"/>
    </row>
    <row r="763" spans="1:8" ht="12" customHeight="1" x14ac:dyDescent="0.2">
      <c r="A763" s="33"/>
      <c r="B763" s="6" t="s">
        <v>246</v>
      </c>
      <c r="C763" s="200">
        <v>20000</v>
      </c>
      <c r="D763" s="200">
        <v>20000</v>
      </c>
      <c r="E763" s="200">
        <v>20000</v>
      </c>
      <c r="F763" s="200">
        <v>20000</v>
      </c>
      <c r="G763" s="943">
        <f t="shared" si="150"/>
        <v>1</v>
      </c>
      <c r="H763" s="938"/>
    </row>
    <row r="764" spans="1:8" ht="12" customHeight="1" thickBot="1" x14ac:dyDescent="0.25">
      <c r="A764" s="33"/>
      <c r="B764" s="904" t="s">
        <v>65</v>
      </c>
      <c r="C764" s="682"/>
      <c r="D764" s="682"/>
      <c r="E764" s="682"/>
      <c r="F764" s="682"/>
      <c r="G764" s="1082"/>
      <c r="H764" s="959"/>
    </row>
    <row r="765" spans="1:8" ht="12" customHeight="1" thickBot="1" x14ac:dyDescent="0.25">
      <c r="A765" s="247"/>
      <c r="B765" s="905" t="s">
        <v>106</v>
      </c>
      <c r="C765" s="949">
        <f t="shared" ref="C765:D765" si="151">SUM(C759:C764)</f>
        <v>20000</v>
      </c>
      <c r="D765" s="949">
        <f t="shared" si="151"/>
        <v>20000</v>
      </c>
      <c r="E765" s="949">
        <f t="shared" ref="E765:F765" si="152">SUM(E759:E764)</f>
        <v>20000</v>
      </c>
      <c r="F765" s="949">
        <f t="shared" si="152"/>
        <v>20000</v>
      </c>
      <c r="G765" s="1000">
        <f t="shared" si="150"/>
        <v>1</v>
      </c>
      <c r="H765" s="1013"/>
    </row>
    <row r="766" spans="1:8" ht="12" customHeight="1" x14ac:dyDescent="0.2">
      <c r="A766" s="10">
        <v>3420</v>
      </c>
      <c r="B766" s="250" t="s">
        <v>124</v>
      </c>
      <c r="C766" s="241">
        <f>SUM(C782+C791+C807+C815+C823+C831+C774+C799)</f>
        <v>134500</v>
      </c>
      <c r="D766" s="241">
        <f>SUM(D782+D791+D807+D815+D823+D831+D774+D799)</f>
        <v>180536</v>
      </c>
      <c r="E766" s="241">
        <f>SUM(E782+E791+E807+E815+E823+E831+E774+E799)</f>
        <v>179964</v>
      </c>
      <c r="F766" s="241">
        <f>SUM(F782+F791+F807+F815+F823+F831+F774+F799)</f>
        <v>171964</v>
      </c>
      <c r="G766" s="885">
        <f t="shared" si="150"/>
        <v>0.95554666488853324</v>
      </c>
      <c r="H766" s="893"/>
    </row>
    <row r="767" spans="1:8" ht="12" customHeight="1" x14ac:dyDescent="0.2">
      <c r="A767" s="10">
        <v>3421</v>
      </c>
      <c r="B767" s="941" t="s">
        <v>335</v>
      </c>
      <c r="C767" s="241"/>
      <c r="D767" s="241"/>
      <c r="E767" s="241"/>
      <c r="F767" s="241"/>
      <c r="G767" s="885"/>
      <c r="H767" s="2"/>
    </row>
    <row r="768" spans="1:8" ht="12" customHeight="1" x14ac:dyDescent="0.2">
      <c r="A768" s="33"/>
      <c r="B768" s="34" t="s">
        <v>92</v>
      </c>
      <c r="C768" s="200">
        <v>1700</v>
      </c>
      <c r="D768" s="200">
        <f>1700+6044</f>
        <v>7744</v>
      </c>
      <c r="E768" s="200">
        <f>1700+6044</f>
        <v>7744</v>
      </c>
      <c r="F768" s="200">
        <f>1700+6044</f>
        <v>7744</v>
      </c>
      <c r="G768" s="1081">
        <f t="shared" si="150"/>
        <v>1</v>
      </c>
      <c r="H768" s="938"/>
    </row>
    <row r="769" spans="1:8" ht="12" customHeight="1" x14ac:dyDescent="0.2">
      <c r="A769" s="33"/>
      <c r="B769" s="5" t="s">
        <v>250</v>
      </c>
      <c r="C769" s="200">
        <v>800</v>
      </c>
      <c r="D769" s="200">
        <f>800+835</f>
        <v>1635</v>
      </c>
      <c r="E769" s="200">
        <f>800+835</f>
        <v>1635</v>
      </c>
      <c r="F769" s="200">
        <f>800+835</f>
        <v>1635</v>
      </c>
      <c r="G769" s="943">
        <f t="shared" si="150"/>
        <v>1</v>
      </c>
      <c r="H769" s="940" t="s">
        <v>1387</v>
      </c>
    </row>
    <row r="770" spans="1:8" ht="12" customHeight="1" x14ac:dyDescent="0.2">
      <c r="A770" s="33"/>
      <c r="B770" s="243" t="s">
        <v>239</v>
      </c>
      <c r="C770" s="200">
        <f>5500+30000</f>
        <v>35500</v>
      </c>
      <c r="D770" s="200">
        <f>35500+2810+5000</f>
        <v>43310</v>
      </c>
      <c r="E770" s="200">
        <f>43310-6000</f>
        <v>37310</v>
      </c>
      <c r="F770" s="200">
        <f>43310-6000</f>
        <v>37310</v>
      </c>
      <c r="G770" s="943">
        <f t="shared" si="150"/>
        <v>1</v>
      </c>
      <c r="H770" s="952"/>
    </row>
    <row r="771" spans="1:8" ht="12" customHeight="1" x14ac:dyDescent="0.2">
      <c r="A771" s="33"/>
      <c r="B771" s="6" t="s">
        <v>97</v>
      </c>
      <c r="C771" s="200"/>
      <c r="D771" s="200"/>
      <c r="E771" s="200"/>
      <c r="F771" s="200"/>
      <c r="G771" s="943"/>
      <c r="H771" s="1029"/>
    </row>
    <row r="772" spans="1:8" ht="12" customHeight="1" x14ac:dyDescent="0.2">
      <c r="A772" s="33"/>
      <c r="B772" s="6" t="s">
        <v>246</v>
      </c>
      <c r="C772" s="200"/>
      <c r="D772" s="200"/>
      <c r="E772" s="200">
        <v>6000</v>
      </c>
      <c r="F772" s="200">
        <v>6000</v>
      </c>
      <c r="G772" s="943">
        <f t="shared" si="150"/>
        <v>1</v>
      </c>
      <c r="H772" s="3"/>
    </row>
    <row r="773" spans="1:8" ht="12" customHeight="1" thickBot="1" x14ac:dyDescent="0.25">
      <c r="A773" s="33"/>
      <c r="B773" s="904" t="s">
        <v>212</v>
      </c>
      <c r="C773" s="956">
        <v>12000</v>
      </c>
      <c r="D773" s="956">
        <f>12000+1803</f>
        <v>13803</v>
      </c>
      <c r="E773" s="956">
        <f>12000+1803</f>
        <v>13803</v>
      </c>
      <c r="F773" s="956">
        <f>12000+1803</f>
        <v>13803</v>
      </c>
      <c r="G773" s="1082">
        <f t="shared" si="150"/>
        <v>1</v>
      </c>
      <c r="H773" s="18"/>
    </row>
    <row r="774" spans="1:8" ht="12" customHeight="1" thickBot="1" x14ac:dyDescent="0.25">
      <c r="A774" s="247"/>
      <c r="B774" s="905" t="s">
        <v>106</v>
      </c>
      <c r="C774" s="949">
        <f t="shared" ref="C774:D774" si="153">SUM(C768:C773)</f>
        <v>50000</v>
      </c>
      <c r="D774" s="949">
        <f t="shared" si="153"/>
        <v>66492</v>
      </c>
      <c r="E774" s="949">
        <f t="shared" ref="E774:F774" si="154">SUM(E768:E773)</f>
        <v>66492</v>
      </c>
      <c r="F774" s="949">
        <f t="shared" si="154"/>
        <v>66492</v>
      </c>
      <c r="G774" s="1000">
        <f t="shared" si="150"/>
        <v>1</v>
      </c>
      <c r="H774" s="888"/>
    </row>
    <row r="775" spans="1:8" ht="12" customHeight="1" x14ac:dyDescent="0.2">
      <c r="A775" s="10">
        <v>3422</v>
      </c>
      <c r="B775" s="941" t="s">
        <v>1057</v>
      </c>
      <c r="C775" s="241"/>
      <c r="D775" s="241"/>
      <c r="E775" s="241"/>
      <c r="F775" s="241"/>
      <c r="G775" s="885"/>
      <c r="H775" s="967" t="s">
        <v>1388</v>
      </c>
    </row>
    <row r="776" spans="1:8" ht="12" customHeight="1" x14ac:dyDescent="0.2">
      <c r="A776" s="33"/>
      <c r="B776" s="34" t="s">
        <v>92</v>
      </c>
      <c r="C776" s="200">
        <v>4000</v>
      </c>
      <c r="D776" s="200">
        <f>4000+1381</f>
        <v>5381</v>
      </c>
      <c r="E776" s="200">
        <f>5381-1400</f>
        <v>3981</v>
      </c>
      <c r="F776" s="200">
        <f>5381-1400</f>
        <v>3981</v>
      </c>
      <c r="G776" s="1081">
        <f t="shared" si="150"/>
        <v>1</v>
      </c>
      <c r="H776" s="940"/>
    </row>
    <row r="777" spans="1:8" ht="12" customHeight="1" x14ac:dyDescent="0.2">
      <c r="A777" s="33"/>
      <c r="B777" s="5" t="s">
        <v>250</v>
      </c>
      <c r="C777" s="200">
        <v>2900</v>
      </c>
      <c r="D777" s="200">
        <f>2900+1463</f>
        <v>4363</v>
      </c>
      <c r="E777" s="200">
        <f>4363-500</f>
        <v>3863</v>
      </c>
      <c r="F777" s="200">
        <f>4363-500</f>
        <v>3863</v>
      </c>
      <c r="G777" s="943">
        <f t="shared" si="150"/>
        <v>1</v>
      </c>
      <c r="H777" s="967"/>
    </row>
    <row r="778" spans="1:8" ht="12" customHeight="1" x14ac:dyDescent="0.2">
      <c r="A778" s="33"/>
      <c r="B778" s="243" t="s">
        <v>239</v>
      </c>
      <c r="C778" s="200">
        <v>8800</v>
      </c>
      <c r="D778" s="200">
        <f>8800+8225</f>
        <v>17025</v>
      </c>
      <c r="E778" s="200">
        <f>17025+1900+2000</f>
        <v>20925</v>
      </c>
      <c r="F778" s="200">
        <f>17025+1900+2000</f>
        <v>20925</v>
      </c>
      <c r="G778" s="943">
        <f t="shared" si="150"/>
        <v>1</v>
      </c>
      <c r="H778" s="938"/>
    </row>
    <row r="779" spans="1:8" ht="12" customHeight="1" x14ac:dyDescent="0.2">
      <c r="A779" s="33"/>
      <c r="B779" s="6" t="s">
        <v>97</v>
      </c>
      <c r="C779" s="200"/>
      <c r="D779" s="200"/>
      <c r="E779" s="200"/>
      <c r="F779" s="200"/>
      <c r="G779" s="943"/>
      <c r="H779" s="1030"/>
    </row>
    <row r="780" spans="1:8" ht="12" customHeight="1" x14ac:dyDescent="0.2">
      <c r="A780" s="33"/>
      <c r="B780" s="6" t="s">
        <v>246</v>
      </c>
      <c r="C780" s="200"/>
      <c r="D780" s="200"/>
      <c r="E780" s="200"/>
      <c r="F780" s="200"/>
      <c r="G780" s="943"/>
      <c r="H780" s="952"/>
    </row>
    <row r="781" spans="1:8" ht="12" customHeight="1" thickBot="1" x14ac:dyDescent="0.25">
      <c r="A781" s="33"/>
      <c r="B781" s="904" t="s">
        <v>13</v>
      </c>
      <c r="C781" s="956"/>
      <c r="D781" s="956">
        <v>49</v>
      </c>
      <c r="E781" s="956">
        <v>49</v>
      </c>
      <c r="F781" s="956">
        <v>49</v>
      </c>
      <c r="G781" s="1082">
        <f t="shared" si="150"/>
        <v>1</v>
      </c>
      <c r="H781" s="18"/>
    </row>
    <row r="782" spans="1:8" ht="12" customHeight="1" thickBot="1" x14ac:dyDescent="0.25">
      <c r="A782" s="247"/>
      <c r="B782" s="905" t="s">
        <v>106</v>
      </c>
      <c r="C782" s="949">
        <f t="shared" ref="C782:D782" si="155">SUM(C776:C781)</f>
        <v>15700</v>
      </c>
      <c r="D782" s="949">
        <f t="shared" si="155"/>
        <v>26818</v>
      </c>
      <c r="E782" s="949">
        <f t="shared" ref="E782:F782" si="156">SUM(E776:E781)</f>
        <v>28818</v>
      </c>
      <c r="F782" s="949">
        <f t="shared" si="156"/>
        <v>28818</v>
      </c>
      <c r="G782" s="1000">
        <f t="shared" si="150"/>
        <v>1</v>
      </c>
      <c r="H782" s="888"/>
    </row>
    <row r="783" spans="1:8" ht="12" customHeight="1" x14ac:dyDescent="0.2">
      <c r="A783" s="10">
        <v>3423</v>
      </c>
      <c r="B783" s="941" t="s">
        <v>111</v>
      </c>
      <c r="C783" s="241"/>
      <c r="D783" s="241"/>
      <c r="E783" s="241"/>
      <c r="F783" s="241"/>
      <c r="G783" s="885"/>
      <c r="H783" s="937"/>
    </row>
    <row r="784" spans="1:8" ht="12" customHeight="1" x14ac:dyDescent="0.2">
      <c r="A784" s="33"/>
      <c r="B784" s="34" t="s">
        <v>92</v>
      </c>
      <c r="C784" s="200">
        <v>1000</v>
      </c>
      <c r="D784" s="200">
        <f>1000+2174</f>
        <v>3174</v>
      </c>
      <c r="E784" s="200">
        <f>3174+500</f>
        <v>3674</v>
      </c>
      <c r="F784" s="200">
        <f>3674+500</f>
        <v>4174</v>
      </c>
      <c r="G784" s="1081">
        <f t="shared" si="150"/>
        <v>1.136091453456723</v>
      </c>
      <c r="H784" s="937"/>
    </row>
    <row r="785" spans="1:8" ht="12" customHeight="1" x14ac:dyDescent="0.2">
      <c r="A785" s="33"/>
      <c r="B785" s="5" t="s">
        <v>250</v>
      </c>
      <c r="C785" s="200">
        <v>155</v>
      </c>
      <c r="D785" s="200">
        <f>155+1194</f>
        <v>1349</v>
      </c>
      <c r="E785" s="200">
        <f>1349+1500</f>
        <v>2849</v>
      </c>
      <c r="F785" s="200">
        <f>2849-500</f>
        <v>2349</v>
      </c>
      <c r="G785" s="943">
        <f t="shared" si="150"/>
        <v>0.82449982449982451</v>
      </c>
      <c r="H785" s="938"/>
    </row>
    <row r="786" spans="1:8" ht="12" customHeight="1" x14ac:dyDescent="0.2">
      <c r="A786" s="33"/>
      <c r="B786" s="243" t="s">
        <v>239</v>
      </c>
      <c r="C786" s="200">
        <v>30345</v>
      </c>
      <c r="D786" s="200">
        <f>30345+384</f>
        <v>30729</v>
      </c>
      <c r="E786" s="200">
        <f>30729-2572-2100</f>
        <v>26057</v>
      </c>
      <c r="F786" s="200">
        <f>30729-2572-2100</f>
        <v>26057</v>
      </c>
      <c r="G786" s="943">
        <f t="shared" si="150"/>
        <v>1</v>
      </c>
      <c r="H786" s="954"/>
    </row>
    <row r="787" spans="1:8" ht="12" customHeight="1" x14ac:dyDescent="0.2">
      <c r="A787" s="33"/>
      <c r="B787" s="6" t="s">
        <v>97</v>
      </c>
      <c r="C787" s="200"/>
      <c r="D787" s="200"/>
      <c r="E787" s="200"/>
      <c r="F787" s="200"/>
      <c r="G787" s="943"/>
      <c r="H787" s="937"/>
    </row>
    <row r="788" spans="1:8" ht="12" customHeight="1" x14ac:dyDescent="0.2">
      <c r="A788" s="33"/>
      <c r="B788" s="6" t="s">
        <v>246</v>
      </c>
      <c r="C788" s="200">
        <f>3500</f>
        <v>3500</v>
      </c>
      <c r="D788" s="200">
        <f>3500</f>
        <v>3500</v>
      </c>
      <c r="E788" s="200">
        <f>3500</f>
        <v>3500</v>
      </c>
      <c r="F788" s="200">
        <f>3500</f>
        <v>3500</v>
      </c>
      <c r="G788" s="943">
        <f t="shared" si="150"/>
        <v>1</v>
      </c>
      <c r="H788" s="937"/>
    </row>
    <row r="789" spans="1:8" ht="12" customHeight="1" x14ac:dyDescent="0.2">
      <c r="A789" s="33"/>
      <c r="B789" s="904" t="s">
        <v>13</v>
      </c>
      <c r="C789" s="682"/>
      <c r="D789" s="682"/>
      <c r="E789" s="682">
        <v>100</v>
      </c>
      <c r="F789" s="682">
        <v>100</v>
      </c>
      <c r="G789" s="199">
        <f t="shared" si="150"/>
        <v>1</v>
      </c>
      <c r="H789" s="948"/>
    </row>
    <row r="790" spans="1:8" ht="12" customHeight="1" thickBot="1" x14ac:dyDescent="0.25">
      <c r="A790" s="33"/>
      <c r="B790" s="904" t="s">
        <v>228</v>
      </c>
      <c r="C790" s="956"/>
      <c r="D790" s="956"/>
      <c r="E790" s="956"/>
      <c r="F790" s="956"/>
      <c r="G790" s="1082"/>
      <c r="H790" s="18"/>
    </row>
    <row r="791" spans="1:8" ht="12.75" customHeight="1" thickBot="1" x14ac:dyDescent="0.25">
      <c r="A791" s="247"/>
      <c r="B791" s="905" t="s">
        <v>106</v>
      </c>
      <c r="C791" s="955">
        <f t="shared" ref="C791:D791" si="157">SUM(C784:C790)</f>
        <v>35000</v>
      </c>
      <c r="D791" s="955">
        <f t="shared" si="157"/>
        <v>38752</v>
      </c>
      <c r="E791" s="955">
        <f>SUM(E784:E790)</f>
        <v>36180</v>
      </c>
      <c r="F791" s="955">
        <f>SUM(F784:F790)</f>
        <v>36180</v>
      </c>
      <c r="G791" s="1000">
        <f t="shared" si="150"/>
        <v>1</v>
      </c>
      <c r="H791" s="888"/>
    </row>
    <row r="792" spans="1:8" ht="12.75" customHeight="1" x14ac:dyDescent="0.2">
      <c r="A792" s="10">
        <v>3424</v>
      </c>
      <c r="B792" s="941" t="s">
        <v>1056</v>
      </c>
      <c r="C792" s="241"/>
      <c r="D792" s="241"/>
      <c r="E792" s="241"/>
      <c r="F792" s="241"/>
      <c r="G792" s="885"/>
      <c r="H792" s="967" t="s">
        <v>1388</v>
      </c>
    </row>
    <row r="793" spans="1:8" ht="12.75" customHeight="1" x14ac:dyDescent="0.2">
      <c r="A793" s="33"/>
      <c r="B793" s="34" t="s">
        <v>92</v>
      </c>
      <c r="C793" s="200">
        <v>12000</v>
      </c>
      <c r="D793" s="200">
        <f>12000+787+10811</f>
        <v>23598</v>
      </c>
      <c r="E793" s="200">
        <f>12000+787+10811</f>
        <v>23598</v>
      </c>
      <c r="F793" s="200">
        <f>12000+787+10811</f>
        <v>23598</v>
      </c>
      <c r="G793" s="1081">
        <f t="shared" si="150"/>
        <v>1</v>
      </c>
      <c r="H793" s="940"/>
    </row>
    <row r="794" spans="1:8" ht="12.75" customHeight="1" x14ac:dyDescent="0.2">
      <c r="A794" s="33"/>
      <c r="B794" s="5" t="s">
        <v>250</v>
      </c>
      <c r="C794" s="200">
        <v>2060</v>
      </c>
      <c r="D794" s="200">
        <f>2060+609+905</f>
        <v>3574</v>
      </c>
      <c r="E794" s="200">
        <f>2060+609+905</f>
        <v>3574</v>
      </c>
      <c r="F794" s="200">
        <f>2060+609+905</f>
        <v>3574</v>
      </c>
      <c r="G794" s="943">
        <f t="shared" si="150"/>
        <v>1</v>
      </c>
      <c r="H794" s="967"/>
    </row>
    <row r="795" spans="1:8" ht="12.75" customHeight="1" x14ac:dyDescent="0.2">
      <c r="A795" s="33"/>
      <c r="B795" s="243" t="s">
        <v>239</v>
      </c>
      <c r="C795" s="200">
        <v>1240</v>
      </c>
      <c r="D795" s="200">
        <f>1240+62+1500</f>
        <v>2802</v>
      </c>
      <c r="E795" s="200">
        <f>1240+62+1500</f>
        <v>2802</v>
      </c>
      <c r="F795" s="200">
        <f>1240+62+1500</f>
        <v>2802</v>
      </c>
      <c r="G795" s="943">
        <f t="shared" si="150"/>
        <v>1</v>
      </c>
      <c r="H795" s="938"/>
    </row>
    <row r="796" spans="1:8" ht="12.75" customHeight="1" x14ac:dyDescent="0.2">
      <c r="A796" s="33"/>
      <c r="B796" s="6" t="s">
        <v>97</v>
      </c>
      <c r="C796" s="200"/>
      <c r="D796" s="200"/>
      <c r="E796" s="200"/>
      <c r="F796" s="200"/>
      <c r="G796" s="943"/>
      <c r="H796" s="1030"/>
    </row>
    <row r="797" spans="1:8" ht="12.75" customHeight="1" x14ac:dyDescent="0.2">
      <c r="A797" s="33"/>
      <c r="B797" s="6" t="s">
        <v>246</v>
      </c>
      <c r="C797" s="200"/>
      <c r="D797" s="200"/>
      <c r="E797" s="200"/>
      <c r="F797" s="200"/>
      <c r="G797" s="943"/>
      <c r="H797" s="952"/>
    </row>
    <row r="798" spans="1:8" ht="12.75" customHeight="1" thickBot="1" x14ac:dyDescent="0.25">
      <c r="A798" s="33"/>
      <c r="B798" s="904" t="s">
        <v>13</v>
      </c>
      <c r="C798" s="956"/>
      <c r="D798" s="956"/>
      <c r="E798" s="956"/>
      <c r="F798" s="956"/>
      <c r="G798" s="1082"/>
      <c r="H798" s="18"/>
    </row>
    <row r="799" spans="1:8" ht="12.75" thickBot="1" x14ac:dyDescent="0.25">
      <c r="A799" s="247"/>
      <c r="B799" s="905" t="s">
        <v>106</v>
      </c>
      <c r="C799" s="949">
        <f t="shared" ref="C799:D799" si="158">SUM(C793:C798)</f>
        <v>15300</v>
      </c>
      <c r="D799" s="949">
        <f t="shared" si="158"/>
        <v>29974</v>
      </c>
      <c r="E799" s="949">
        <f t="shared" ref="E799:F799" si="159">SUM(E793:E798)</f>
        <v>29974</v>
      </c>
      <c r="F799" s="949">
        <f t="shared" si="159"/>
        <v>29974</v>
      </c>
      <c r="G799" s="1000">
        <f t="shared" si="150"/>
        <v>1</v>
      </c>
      <c r="H799" s="888"/>
    </row>
    <row r="800" spans="1:8" x14ac:dyDescent="0.2">
      <c r="A800" s="10">
        <v>3428</v>
      </c>
      <c r="B800" s="941" t="s">
        <v>7</v>
      </c>
      <c r="C800" s="241"/>
      <c r="D800" s="241"/>
      <c r="E800" s="241"/>
      <c r="F800" s="241"/>
      <c r="G800" s="885"/>
      <c r="H800" s="937"/>
    </row>
    <row r="801" spans="1:8" ht="12.75" customHeight="1" x14ac:dyDescent="0.2">
      <c r="A801" s="33"/>
      <c r="B801" s="34" t="s">
        <v>92</v>
      </c>
      <c r="C801" s="200"/>
      <c r="D801" s="200"/>
      <c r="E801" s="200"/>
      <c r="F801" s="200"/>
      <c r="G801" s="885"/>
      <c r="H801" s="937"/>
    </row>
    <row r="802" spans="1:8" ht="12.75" customHeight="1" x14ac:dyDescent="0.2">
      <c r="A802" s="33"/>
      <c r="B802" s="5" t="s">
        <v>250</v>
      </c>
      <c r="C802" s="200"/>
      <c r="D802" s="200"/>
      <c r="E802" s="200"/>
      <c r="F802" s="200"/>
      <c r="G802" s="1081"/>
      <c r="H802" s="937"/>
    </row>
    <row r="803" spans="1:8" ht="12.75" customHeight="1" x14ac:dyDescent="0.2">
      <c r="A803" s="33"/>
      <c r="B803" s="243" t="s">
        <v>239</v>
      </c>
      <c r="C803" s="200">
        <v>3000</v>
      </c>
      <c r="D803" s="200">
        <v>3000</v>
      </c>
      <c r="E803" s="200">
        <v>3000</v>
      </c>
      <c r="F803" s="200">
        <v>3000</v>
      </c>
      <c r="G803" s="943">
        <f t="shared" ref="G803:G864" si="160">F803/E803</f>
        <v>1</v>
      </c>
      <c r="H803" s="967" t="s">
        <v>1388</v>
      </c>
    </row>
    <row r="804" spans="1:8" ht="12.75" customHeight="1" x14ac:dyDescent="0.2">
      <c r="A804" s="33"/>
      <c r="B804" s="6" t="s">
        <v>97</v>
      </c>
      <c r="C804" s="200"/>
      <c r="D804" s="200"/>
      <c r="E804" s="200"/>
      <c r="F804" s="200"/>
      <c r="G804" s="943"/>
      <c r="H804" s="938"/>
    </row>
    <row r="805" spans="1:8" ht="12.75" customHeight="1" x14ac:dyDescent="0.2">
      <c r="A805" s="33"/>
      <c r="B805" s="6" t="s">
        <v>246</v>
      </c>
      <c r="C805" s="200"/>
      <c r="D805" s="200"/>
      <c r="E805" s="200"/>
      <c r="F805" s="200"/>
      <c r="G805" s="943"/>
      <c r="H805" s="937"/>
    </row>
    <row r="806" spans="1:8" ht="12.75" customHeight="1" thickBot="1" x14ac:dyDescent="0.25">
      <c r="A806" s="33"/>
      <c r="B806" s="904" t="s">
        <v>65</v>
      </c>
      <c r="C806" s="682"/>
      <c r="D806" s="682"/>
      <c r="E806" s="682"/>
      <c r="F806" s="682"/>
      <c r="G806" s="1082"/>
      <c r="H806" s="18"/>
    </row>
    <row r="807" spans="1:8" ht="12.75" customHeight="1" thickBot="1" x14ac:dyDescent="0.25">
      <c r="A807" s="247"/>
      <c r="B807" s="905" t="s">
        <v>106</v>
      </c>
      <c r="C807" s="949">
        <f t="shared" ref="C807:D807" si="161">SUM(C801:C806)</f>
        <v>3000</v>
      </c>
      <c r="D807" s="949">
        <f t="shared" si="161"/>
        <v>3000</v>
      </c>
      <c r="E807" s="949">
        <f t="shared" ref="E807:F807" si="162">SUM(E801:E806)</f>
        <v>3000</v>
      </c>
      <c r="F807" s="949">
        <f t="shared" si="162"/>
        <v>3000</v>
      </c>
      <c r="G807" s="1000">
        <f t="shared" si="160"/>
        <v>1</v>
      </c>
      <c r="H807" s="888"/>
    </row>
    <row r="808" spans="1:8" ht="12.75" customHeight="1" x14ac:dyDescent="0.2">
      <c r="A808" s="154">
        <v>3429</v>
      </c>
      <c r="B808" s="927" t="s">
        <v>19</v>
      </c>
      <c r="C808" s="908"/>
      <c r="D808" s="908"/>
      <c r="E808" s="908"/>
      <c r="F808" s="908"/>
      <c r="G808" s="885"/>
      <c r="H808" s="964"/>
    </row>
    <row r="809" spans="1:8" ht="12.75" customHeight="1" x14ac:dyDescent="0.2">
      <c r="A809" s="50"/>
      <c r="B809" s="897" t="s">
        <v>92</v>
      </c>
      <c r="C809" s="910"/>
      <c r="D809" s="910"/>
      <c r="E809" s="910"/>
      <c r="F809" s="910"/>
      <c r="G809" s="885"/>
      <c r="H809" s="964"/>
    </row>
    <row r="810" spans="1:8" ht="12.75" customHeight="1" x14ac:dyDescent="0.2">
      <c r="A810" s="50"/>
      <c r="B810" s="898" t="s">
        <v>250</v>
      </c>
      <c r="C810" s="910"/>
      <c r="D810" s="910"/>
      <c r="E810" s="910"/>
      <c r="F810" s="910"/>
      <c r="G810" s="1084"/>
      <c r="H810" s="964"/>
    </row>
    <row r="811" spans="1:8" ht="12.75" customHeight="1" x14ac:dyDescent="0.2">
      <c r="A811" s="50"/>
      <c r="B811" s="900" t="s">
        <v>239</v>
      </c>
      <c r="C811" s="910">
        <v>2500</v>
      </c>
      <c r="D811" s="910">
        <v>2500</v>
      </c>
      <c r="E811" s="910">
        <v>2500</v>
      </c>
      <c r="F811" s="910">
        <v>2500</v>
      </c>
      <c r="G811" s="1081">
        <f t="shared" si="160"/>
        <v>1</v>
      </c>
      <c r="H811" s="967" t="s">
        <v>1388</v>
      </c>
    </row>
    <row r="812" spans="1:8" ht="12.75" customHeight="1" x14ac:dyDescent="0.2">
      <c r="A812" s="50"/>
      <c r="B812" s="903" t="s">
        <v>97</v>
      </c>
      <c r="C812" s="910"/>
      <c r="D812" s="910"/>
      <c r="E812" s="910"/>
      <c r="F812" s="910"/>
      <c r="G812" s="943"/>
      <c r="H812" s="937"/>
    </row>
    <row r="813" spans="1:8" ht="12.75" customHeight="1" x14ac:dyDescent="0.2">
      <c r="A813" s="50"/>
      <c r="B813" s="903" t="s">
        <v>246</v>
      </c>
      <c r="C813" s="910"/>
      <c r="D813" s="910"/>
      <c r="E813" s="910"/>
      <c r="F813" s="910"/>
      <c r="G813" s="943"/>
      <c r="H813" s="964"/>
    </row>
    <row r="814" spans="1:8" ht="12.75" customHeight="1" thickBot="1" x14ac:dyDescent="0.25">
      <c r="A814" s="50"/>
      <c r="B814" s="904" t="s">
        <v>65</v>
      </c>
      <c r="C814" s="939"/>
      <c r="D814" s="939"/>
      <c r="E814" s="939"/>
      <c r="F814" s="920"/>
      <c r="G814" s="1082"/>
      <c r="H814" s="1031"/>
    </row>
    <row r="815" spans="1:8" ht="12.75" customHeight="1" thickBot="1" x14ac:dyDescent="0.25">
      <c r="A815" s="926"/>
      <c r="B815" s="905" t="s">
        <v>106</v>
      </c>
      <c r="C815" s="906">
        <f t="shared" ref="C815:D815" si="163">SUM(C809:C814)</f>
        <v>2500</v>
      </c>
      <c r="D815" s="906">
        <f t="shared" si="163"/>
        <v>2500</v>
      </c>
      <c r="E815" s="906">
        <f t="shared" ref="E815:F815" si="164">SUM(E809:E814)</f>
        <v>2500</v>
      </c>
      <c r="F815" s="995">
        <f t="shared" si="164"/>
        <v>2500</v>
      </c>
      <c r="G815" s="1080">
        <f t="shared" si="160"/>
        <v>1</v>
      </c>
      <c r="H815" s="1032"/>
    </row>
    <row r="816" spans="1:8" ht="12.75" customHeight="1" x14ac:dyDescent="0.2">
      <c r="A816" s="154">
        <v>3431</v>
      </c>
      <c r="B816" s="927" t="s">
        <v>136</v>
      </c>
      <c r="C816" s="908"/>
      <c r="D816" s="908"/>
      <c r="E816" s="908"/>
      <c r="F816" s="908"/>
      <c r="G816" s="885"/>
      <c r="H816" s="964"/>
    </row>
    <row r="817" spans="1:8" ht="12.75" customHeight="1" x14ac:dyDescent="0.2">
      <c r="A817" s="50"/>
      <c r="B817" s="897" t="s">
        <v>92</v>
      </c>
      <c r="C817" s="910"/>
      <c r="D817" s="910"/>
      <c r="E817" s="910"/>
      <c r="F817" s="910"/>
      <c r="G817" s="885"/>
      <c r="H817" s="964"/>
    </row>
    <row r="818" spans="1:8" ht="12.75" customHeight="1" x14ac:dyDescent="0.2">
      <c r="A818" s="50"/>
      <c r="B818" s="898" t="s">
        <v>250</v>
      </c>
      <c r="C818" s="910"/>
      <c r="D818" s="910"/>
      <c r="E818" s="910"/>
      <c r="F818" s="910"/>
      <c r="G818" s="1081"/>
      <c r="H818" s="964"/>
    </row>
    <row r="819" spans="1:8" ht="12.75" customHeight="1" x14ac:dyDescent="0.2">
      <c r="A819" s="50"/>
      <c r="B819" s="900" t="s">
        <v>239</v>
      </c>
      <c r="C819" s="910">
        <v>8000</v>
      </c>
      <c r="D819" s="910">
        <v>8000</v>
      </c>
      <c r="E819" s="910">
        <v>8000</v>
      </c>
      <c r="F819" s="910">
        <v>0</v>
      </c>
      <c r="G819" s="943">
        <f t="shared" si="160"/>
        <v>0</v>
      </c>
      <c r="H819" s="967" t="s">
        <v>1388</v>
      </c>
    </row>
    <row r="820" spans="1:8" ht="12.75" customHeight="1" x14ac:dyDescent="0.2">
      <c r="A820" s="50"/>
      <c r="B820" s="903" t="s">
        <v>97</v>
      </c>
      <c r="C820" s="910"/>
      <c r="D820" s="910"/>
      <c r="E820" s="910"/>
      <c r="F820" s="910"/>
      <c r="G820" s="943"/>
      <c r="H820" s="964"/>
    </row>
    <row r="821" spans="1:8" ht="12.75" customHeight="1" x14ac:dyDescent="0.2">
      <c r="A821" s="50"/>
      <c r="B821" s="903" t="s">
        <v>246</v>
      </c>
      <c r="C821" s="910"/>
      <c r="D821" s="910"/>
      <c r="E821" s="910"/>
      <c r="F821" s="910"/>
      <c r="G821" s="943"/>
      <c r="H821" s="964"/>
    </row>
    <row r="822" spans="1:8" ht="12.75" customHeight="1" thickBot="1" x14ac:dyDescent="0.25">
      <c r="A822" s="50"/>
      <c r="B822" s="904" t="s">
        <v>65</v>
      </c>
      <c r="C822" s="939"/>
      <c r="D822" s="939"/>
      <c r="E822" s="939"/>
      <c r="F822" s="939"/>
      <c r="G822" s="1082"/>
      <c r="H822" s="1031"/>
    </row>
    <row r="823" spans="1:8" ht="12.75" customHeight="1" thickBot="1" x14ac:dyDescent="0.25">
      <c r="A823" s="926"/>
      <c r="B823" s="905" t="s">
        <v>106</v>
      </c>
      <c r="C823" s="906">
        <f t="shared" ref="C823:D823" si="165">SUM(C817:C822)</f>
        <v>8000</v>
      </c>
      <c r="D823" s="906">
        <f t="shared" si="165"/>
        <v>8000</v>
      </c>
      <c r="E823" s="906">
        <f t="shared" ref="E823:F823" si="166">SUM(E817:E822)</f>
        <v>8000</v>
      </c>
      <c r="F823" s="906">
        <f t="shared" si="166"/>
        <v>0</v>
      </c>
      <c r="G823" s="1000">
        <f t="shared" si="160"/>
        <v>0</v>
      </c>
      <c r="H823" s="1032"/>
    </row>
    <row r="824" spans="1:8" ht="12.75" customHeight="1" x14ac:dyDescent="0.2">
      <c r="A824" s="154">
        <v>3432</v>
      </c>
      <c r="B824" s="927" t="s">
        <v>317</v>
      </c>
      <c r="C824" s="908"/>
      <c r="D824" s="908"/>
      <c r="E824" s="908"/>
      <c r="F824" s="908"/>
      <c r="G824" s="885"/>
      <c r="H824" s="964"/>
    </row>
    <row r="825" spans="1:8" ht="12.75" customHeight="1" x14ac:dyDescent="0.2">
      <c r="A825" s="50"/>
      <c r="B825" s="897" t="s">
        <v>92</v>
      </c>
      <c r="C825" s="910"/>
      <c r="D825" s="910"/>
      <c r="E825" s="910"/>
      <c r="F825" s="910"/>
      <c r="G825" s="1081"/>
      <c r="H825" s="964"/>
    </row>
    <row r="826" spans="1:8" ht="12.75" customHeight="1" x14ac:dyDescent="0.2">
      <c r="A826" s="50"/>
      <c r="B826" s="898" t="s">
        <v>250</v>
      </c>
      <c r="C826" s="910"/>
      <c r="D826" s="910"/>
      <c r="E826" s="910"/>
      <c r="F826" s="910"/>
      <c r="G826" s="943"/>
      <c r="H826" s="952"/>
    </row>
    <row r="827" spans="1:8" ht="12.75" customHeight="1" x14ac:dyDescent="0.2">
      <c r="A827" s="50"/>
      <c r="B827" s="900" t="s">
        <v>239</v>
      </c>
      <c r="C827" s="910">
        <v>5000</v>
      </c>
      <c r="D827" s="910">
        <v>5000</v>
      </c>
      <c r="E827" s="910">
        <v>5000</v>
      </c>
      <c r="F827" s="910">
        <v>5000</v>
      </c>
      <c r="G827" s="943">
        <f t="shared" si="160"/>
        <v>1</v>
      </c>
      <c r="H827" s="967" t="s">
        <v>1388</v>
      </c>
    </row>
    <row r="828" spans="1:8" ht="12.75" customHeight="1" x14ac:dyDescent="0.2">
      <c r="A828" s="50"/>
      <c r="B828" s="903" t="s">
        <v>97</v>
      </c>
      <c r="C828" s="910"/>
      <c r="D828" s="910"/>
      <c r="E828" s="910"/>
      <c r="F828" s="910"/>
      <c r="G828" s="943"/>
      <c r="H828" s="937"/>
    </row>
    <row r="829" spans="1:8" ht="12.75" customHeight="1" x14ac:dyDescent="0.2">
      <c r="A829" s="50"/>
      <c r="B829" s="903" t="s">
        <v>246</v>
      </c>
      <c r="C829" s="910"/>
      <c r="D829" s="910"/>
      <c r="E829" s="910"/>
      <c r="F829" s="910"/>
      <c r="G829" s="943"/>
      <c r="H829" s="964"/>
    </row>
    <row r="830" spans="1:8" ht="12.75" customHeight="1" thickBot="1" x14ac:dyDescent="0.25">
      <c r="A830" s="50"/>
      <c r="B830" s="904" t="s">
        <v>65</v>
      </c>
      <c r="C830" s="939"/>
      <c r="D830" s="939"/>
      <c r="E830" s="939"/>
      <c r="F830" s="939"/>
      <c r="G830" s="1082"/>
      <c r="H830" s="1031"/>
    </row>
    <row r="831" spans="1:8" ht="14.25" customHeight="1" thickBot="1" x14ac:dyDescent="0.25">
      <c r="A831" s="926"/>
      <c r="B831" s="905" t="s">
        <v>106</v>
      </c>
      <c r="C831" s="906">
        <f t="shared" ref="C831:D831" si="167">SUM(C825:C830)</f>
        <v>5000</v>
      </c>
      <c r="D831" s="906">
        <f t="shared" si="167"/>
        <v>5000</v>
      </c>
      <c r="E831" s="906">
        <f t="shared" ref="E831:F831" si="168">SUM(E825:E830)</f>
        <v>5000</v>
      </c>
      <c r="F831" s="906">
        <f t="shared" si="168"/>
        <v>5000</v>
      </c>
      <c r="G831" s="1000">
        <f t="shared" si="160"/>
        <v>1</v>
      </c>
      <c r="H831" s="1032"/>
    </row>
    <row r="832" spans="1:8" ht="12.75" hidden="1" customHeight="1" x14ac:dyDescent="0.2">
      <c r="A832" s="154">
        <v>3433</v>
      </c>
      <c r="B832" s="927" t="s">
        <v>1097</v>
      </c>
      <c r="C832" s="908"/>
      <c r="D832" s="908"/>
      <c r="E832" s="908"/>
      <c r="F832" s="908"/>
      <c r="G832" s="885" t="e">
        <f t="shared" si="160"/>
        <v>#DIV/0!</v>
      </c>
      <c r="H832" s="964"/>
    </row>
    <row r="833" spans="1:8" ht="12.75" hidden="1" customHeight="1" x14ac:dyDescent="0.2">
      <c r="A833" s="50"/>
      <c r="B833" s="897" t="s">
        <v>92</v>
      </c>
      <c r="C833" s="910"/>
      <c r="D833" s="910"/>
      <c r="E833" s="910"/>
      <c r="F833" s="910"/>
      <c r="G833" s="885" t="e">
        <f t="shared" si="160"/>
        <v>#DIV/0!</v>
      </c>
      <c r="H833" s="964"/>
    </row>
    <row r="834" spans="1:8" ht="12.75" hidden="1" customHeight="1" x14ac:dyDescent="0.2">
      <c r="A834" s="50"/>
      <c r="B834" s="898" t="s">
        <v>250</v>
      </c>
      <c r="C834" s="910"/>
      <c r="D834" s="910"/>
      <c r="E834" s="910"/>
      <c r="F834" s="910"/>
      <c r="G834" s="885" t="e">
        <f t="shared" si="160"/>
        <v>#DIV/0!</v>
      </c>
      <c r="H834" s="952"/>
    </row>
    <row r="835" spans="1:8" ht="12.75" hidden="1" customHeight="1" x14ac:dyDescent="0.2">
      <c r="A835" s="50"/>
      <c r="B835" s="900" t="s">
        <v>239</v>
      </c>
      <c r="C835" s="910"/>
      <c r="D835" s="910"/>
      <c r="E835" s="910"/>
      <c r="F835" s="910"/>
      <c r="G835" s="885" t="e">
        <f t="shared" si="160"/>
        <v>#DIV/0!</v>
      </c>
      <c r="H835" s="961"/>
    </row>
    <row r="836" spans="1:8" ht="12.75" hidden="1" customHeight="1" x14ac:dyDescent="0.2">
      <c r="A836" s="50"/>
      <c r="B836" s="903" t="s">
        <v>97</v>
      </c>
      <c r="C836" s="910"/>
      <c r="D836" s="910"/>
      <c r="E836" s="910"/>
      <c r="F836" s="910"/>
      <c r="G836" s="885" t="e">
        <f t="shared" si="160"/>
        <v>#DIV/0!</v>
      </c>
      <c r="H836" s="937"/>
    </row>
    <row r="837" spans="1:8" ht="12.75" hidden="1" customHeight="1" x14ac:dyDescent="0.2">
      <c r="A837" s="50"/>
      <c r="B837" s="903" t="s">
        <v>246</v>
      </c>
      <c r="C837" s="910"/>
      <c r="D837" s="910"/>
      <c r="E837" s="910"/>
      <c r="F837" s="910"/>
      <c r="G837" s="885" t="e">
        <f t="shared" si="160"/>
        <v>#DIV/0!</v>
      </c>
      <c r="H837" s="964"/>
    </row>
    <row r="838" spans="1:8" ht="12.75" hidden="1" customHeight="1" thickBot="1" x14ac:dyDescent="0.25">
      <c r="A838" s="50"/>
      <c r="B838" s="904" t="s">
        <v>65</v>
      </c>
      <c r="C838" s="939"/>
      <c r="D838" s="939"/>
      <c r="E838" s="939"/>
      <c r="F838" s="939"/>
      <c r="G838" s="885" t="e">
        <f t="shared" si="160"/>
        <v>#DIV/0!</v>
      </c>
      <c r="H838" s="1031"/>
    </row>
    <row r="839" spans="1:8" ht="12.75" hidden="1" customHeight="1" thickBot="1" x14ac:dyDescent="0.25">
      <c r="A839" s="926"/>
      <c r="B839" s="905" t="s">
        <v>106</v>
      </c>
      <c r="C839" s="906">
        <f t="shared" ref="C839:D839" si="169">SUM(C833:C838)</f>
        <v>0</v>
      </c>
      <c r="D839" s="906">
        <f t="shared" si="169"/>
        <v>0</v>
      </c>
      <c r="E839" s="918">
        <f t="shared" ref="E839:F839" si="170">SUM(E833:E838)</f>
        <v>0</v>
      </c>
      <c r="F839" s="918">
        <f t="shared" si="170"/>
        <v>0</v>
      </c>
      <c r="G839" s="885" t="e">
        <f t="shared" si="160"/>
        <v>#DIV/0!</v>
      </c>
      <c r="H839" s="1032"/>
    </row>
    <row r="840" spans="1:8" ht="12.75" hidden="1" customHeight="1" x14ac:dyDescent="0.2">
      <c r="A840" s="154">
        <v>3433</v>
      </c>
      <c r="B840" s="1033" t="s">
        <v>1097</v>
      </c>
      <c r="C840" s="1034"/>
      <c r="D840" s="1034"/>
      <c r="E840" s="908"/>
      <c r="F840" s="908"/>
      <c r="G840" s="885" t="e">
        <f t="shared" si="160"/>
        <v>#DIV/0!</v>
      </c>
      <c r="H840" s="1035"/>
    </row>
    <row r="841" spans="1:8" ht="12.75" hidden="1" customHeight="1" x14ac:dyDescent="0.2">
      <c r="A841" s="50"/>
      <c r="B841" s="897" t="s">
        <v>92</v>
      </c>
      <c r="C841" s="910"/>
      <c r="D841" s="910"/>
      <c r="E841" s="910"/>
      <c r="F841" s="910"/>
      <c r="G841" s="885" t="e">
        <f t="shared" si="160"/>
        <v>#DIV/0!</v>
      </c>
      <c r="H841" s="964"/>
    </row>
    <row r="842" spans="1:8" ht="12.75" hidden="1" customHeight="1" x14ac:dyDescent="0.2">
      <c r="A842" s="50"/>
      <c r="B842" s="898" t="s">
        <v>250</v>
      </c>
      <c r="C842" s="910"/>
      <c r="D842" s="910"/>
      <c r="E842" s="910"/>
      <c r="F842" s="910"/>
      <c r="G842" s="885" t="e">
        <f t="shared" si="160"/>
        <v>#DIV/0!</v>
      </c>
      <c r="H842" s="952"/>
    </row>
    <row r="843" spans="1:8" ht="12.75" hidden="1" customHeight="1" x14ac:dyDescent="0.2">
      <c r="A843" s="50"/>
      <c r="B843" s="900" t="s">
        <v>239</v>
      </c>
      <c r="C843" s="910">
        <v>0</v>
      </c>
      <c r="D843" s="910">
        <v>0</v>
      </c>
      <c r="E843" s="910">
        <v>0</v>
      </c>
      <c r="F843" s="910">
        <v>0</v>
      </c>
      <c r="G843" s="885" t="e">
        <f t="shared" si="160"/>
        <v>#DIV/0!</v>
      </c>
      <c r="H843" s="961"/>
    </row>
    <row r="844" spans="1:8" ht="12.75" hidden="1" customHeight="1" x14ac:dyDescent="0.2">
      <c r="A844" s="50"/>
      <c r="B844" s="903" t="s">
        <v>97</v>
      </c>
      <c r="C844" s="910"/>
      <c r="D844" s="910"/>
      <c r="E844" s="910"/>
      <c r="F844" s="910"/>
      <c r="G844" s="885" t="e">
        <f t="shared" si="160"/>
        <v>#DIV/0!</v>
      </c>
      <c r="H844" s="937"/>
    </row>
    <row r="845" spans="1:8" ht="12.75" hidden="1" customHeight="1" x14ac:dyDescent="0.2">
      <c r="A845" s="50"/>
      <c r="B845" s="903" t="s">
        <v>246</v>
      </c>
      <c r="C845" s="910"/>
      <c r="D845" s="910"/>
      <c r="E845" s="910"/>
      <c r="F845" s="910"/>
      <c r="G845" s="885" t="e">
        <f t="shared" si="160"/>
        <v>#DIV/0!</v>
      </c>
      <c r="H845" s="964"/>
    </row>
    <row r="846" spans="1:8" ht="12.75" hidden="1" customHeight="1" thickBot="1" x14ac:dyDescent="0.25">
      <c r="A846" s="50"/>
      <c r="B846" s="904" t="s">
        <v>65</v>
      </c>
      <c r="C846" s="939"/>
      <c r="D846" s="939"/>
      <c r="E846" s="939"/>
      <c r="F846" s="939"/>
      <c r="G846" s="885" t="e">
        <f t="shared" si="160"/>
        <v>#DIV/0!</v>
      </c>
      <c r="H846" s="1031"/>
    </row>
    <row r="847" spans="1:8" ht="12.75" hidden="1" customHeight="1" thickBot="1" x14ac:dyDescent="0.25">
      <c r="A847" s="926"/>
      <c r="B847" s="905" t="s">
        <v>106</v>
      </c>
      <c r="C847" s="906">
        <f t="shared" ref="C847:D847" si="171">SUM(C841:C846)</f>
        <v>0</v>
      </c>
      <c r="D847" s="906">
        <f t="shared" si="171"/>
        <v>0</v>
      </c>
      <c r="E847" s="918">
        <f t="shared" ref="E847:F847" si="172">SUM(E841:E846)</f>
        <v>0</v>
      </c>
      <c r="F847" s="918">
        <f t="shared" si="172"/>
        <v>0</v>
      </c>
      <c r="G847" s="885" t="e">
        <f t="shared" si="160"/>
        <v>#DIV/0!</v>
      </c>
      <c r="H847" s="1032"/>
    </row>
    <row r="848" spans="1:8" ht="12.75" customHeight="1" x14ac:dyDescent="0.2">
      <c r="A848" s="154">
        <v>3433</v>
      </c>
      <c r="B848" s="1036" t="s">
        <v>1097</v>
      </c>
      <c r="C848" s="908"/>
      <c r="D848" s="908"/>
      <c r="E848" s="908"/>
      <c r="F848" s="908"/>
      <c r="G848" s="885"/>
      <c r="H848" s="967"/>
    </row>
    <row r="849" spans="1:8" ht="12.75" customHeight="1" x14ac:dyDescent="0.2">
      <c r="A849" s="50"/>
      <c r="B849" s="898" t="s">
        <v>92</v>
      </c>
      <c r="C849" s="910"/>
      <c r="D849" s="910"/>
      <c r="E849" s="910"/>
      <c r="F849" s="910"/>
      <c r="G849" s="885"/>
      <c r="H849" s="963"/>
    </row>
    <row r="850" spans="1:8" ht="12.75" customHeight="1" x14ac:dyDescent="0.2">
      <c r="A850" s="50"/>
      <c r="B850" s="898" t="s">
        <v>250</v>
      </c>
      <c r="C850" s="910"/>
      <c r="D850" s="910"/>
      <c r="E850" s="910"/>
      <c r="F850" s="910"/>
      <c r="G850" s="1081"/>
      <c r="H850" s="963"/>
    </row>
    <row r="851" spans="1:8" ht="12.75" customHeight="1" x14ac:dyDescent="0.2">
      <c r="A851" s="50"/>
      <c r="B851" s="900" t="s">
        <v>239</v>
      </c>
      <c r="C851" s="910"/>
      <c r="D851" s="910">
        <f>24608+30000</f>
        <v>54608</v>
      </c>
      <c r="E851" s="910">
        <f>24608+30000</f>
        <v>54608</v>
      </c>
      <c r="F851" s="910">
        <f>24608+30000</f>
        <v>54608</v>
      </c>
      <c r="G851" s="943">
        <f t="shared" si="160"/>
        <v>1</v>
      </c>
      <c r="H851" s="942"/>
    </row>
    <row r="852" spans="1:8" ht="12.75" customHeight="1" x14ac:dyDescent="0.2">
      <c r="A852" s="50"/>
      <c r="B852" s="903" t="s">
        <v>97</v>
      </c>
      <c r="C852" s="910"/>
      <c r="D852" s="910"/>
      <c r="E852" s="910"/>
      <c r="F852" s="910"/>
      <c r="G852" s="943"/>
      <c r="H852" s="942"/>
    </row>
    <row r="853" spans="1:8" ht="12.75" customHeight="1" x14ac:dyDescent="0.2">
      <c r="A853" s="50"/>
      <c r="B853" s="903" t="s">
        <v>246</v>
      </c>
      <c r="C853" s="910"/>
      <c r="D853" s="910"/>
      <c r="E853" s="910"/>
      <c r="F853" s="910"/>
      <c r="G853" s="943"/>
      <c r="H853" s="964"/>
    </row>
    <row r="854" spans="1:8" ht="12.75" customHeight="1" x14ac:dyDescent="0.2">
      <c r="A854" s="50"/>
      <c r="B854" s="903" t="s">
        <v>212</v>
      </c>
      <c r="C854" s="1139"/>
      <c r="D854" s="1139"/>
      <c r="E854" s="1139"/>
      <c r="F854" s="1139"/>
      <c r="G854" s="1081"/>
      <c r="H854" s="1037"/>
    </row>
    <row r="855" spans="1:8" ht="12.75" customHeight="1" thickBot="1" x14ac:dyDescent="0.25">
      <c r="A855" s="50"/>
      <c r="B855" s="904" t="s">
        <v>65</v>
      </c>
      <c r="C855" s="939"/>
      <c r="D855" s="939"/>
      <c r="E855" s="939"/>
      <c r="F855" s="939"/>
      <c r="G855" s="1082"/>
      <c r="H855" s="1031"/>
    </row>
    <row r="856" spans="1:8" ht="12.75" customHeight="1" thickBot="1" x14ac:dyDescent="0.25">
      <c r="A856" s="926"/>
      <c r="B856" s="905" t="s">
        <v>106</v>
      </c>
      <c r="C856" s="906">
        <f t="shared" ref="C856:D856" si="173">SUM(C849:C855)</f>
        <v>0</v>
      </c>
      <c r="D856" s="906">
        <f t="shared" si="173"/>
        <v>54608</v>
      </c>
      <c r="E856" s="906">
        <f t="shared" ref="E856:F856" si="174">SUM(E849:E855)</f>
        <v>54608</v>
      </c>
      <c r="F856" s="906">
        <f t="shared" si="174"/>
        <v>54608</v>
      </c>
      <c r="G856" s="1000">
        <f t="shared" si="160"/>
        <v>1</v>
      </c>
      <c r="H856" s="1032"/>
    </row>
    <row r="857" spans="1:8" ht="12.75" customHeight="1" x14ac:dyDescent="0.2">
      <c r="A857" s="154">
        <v>3451</v>
      </c>
      <c r="B857" s="927" t="s">
        <v>105</v>
      </c>
      <c r="C857" s="908"/>
      <c r="D857" s="908"/>
      <c r="E857" s="908"/>
      <c r="F857" s="908"/>
      <c r="G857" s="885"/>
      <c r="H857" s="1038"/>
    </row>
    <row r="858" spans="1:8" ht="12.75" customHeight="1" x14ac:dyDescent="0.2">
      <c r="A858" s="50"/>
      <c r="B858" s="897" t="s">
        <v>92</v>
      </c>
      <c r="C858" s="910"/>
      <c r="D858" s="910"/>
      <c r="E858" s="910"/>
      <c r="F858" s="910"/>
      <c r="G858" s="885"/>
      <c r="H858" s="964"/>
    </row>
    <row r="859" spans="1:8" ht="12.75" customHeight="1" x14ac:dyDescent="0.2">
      <c r="A859" s="50"/>
      <c r="B859" s="898" t="s">
        <v>250</v>
      </c>
      <c r="C859" s="910"/>
      <c r="D859" s="910"/>
      <c r="E859" s="910"/>
      <c r="F859" s="910"/>
      <c r="G859" s="885"/>
      <c r="H859" s="963"/>
    </row>
    <row r="860" spans="1:8" ht="12.75" customHeight="1" x14ac:dyDescent="0.2">
      <c r="A860" s="50"/>
      <c r="B860" s="900" t="s">
        <v>239</v>
      </c>
      <c r="C860" s="910">
        <v>3500</v>
      </c>
      <c r="D860" s="910">
        <f>3500+489</f>
        <v>3989</v>
      </c>
      <c r="E860" s="910">
        <f>3500+489</f>
        <v>3989</v>
      </c>
      <c r="F860" s="910">
        <f>3500+489</f>
        <v>3989</v>
      </c>
      <c r="G860" s="943">
        <f t="shared" si="160"/>
        <v>1</v>
      </c>
      <c r="H860" s="942"/>
    </row>
    <row r="861" spans="1:8" ht="12.75" customHeight="1" x14ac:dyDescent="0.2">
      <c r="A861" s="50"/>
      <c r="B861" s="903" t="s">
        <v>97</v>
      </c>
      <c r="C861" s="910"/>
      <c r="D861" s="910"/>
      <c r="E861" s="910"/>
      <c r="F861" s="910"/>
      <c r="G861" s="885"/>
      <c r="H861" s="942"/>
    </row>
    <row r="862" spans="1:8" ht="12.75" customHeight="1" x14ac:dyDescent="0.2">
      <c r="A862" s="50"/>
      <c r="B862" s="903" t="s">
        <v>246</v>
      </c>
      <c r="C862" s="910"/>
      <c r="D862" s="910"/>
      <c r="E862" s="910"/>
      <c r="F862" s="910"/>
      <c r="G862" s="885"/>
      <c r="H862" s="964"/>
    </row>
    <row r="863" spans="1:8" ht="12.75" customHeight="1" thickBot="1" x14ac:dyDescent="0.25">
      <c r="A863" s="50"/>
      <c r="B863" s="904" t="s">
        <v>65</v>
      </c>
      <c r="C863" s="939"/>
      <c r="D863" s="939"/>
      <c r="E863" s="939"/>
      <c r="F863" s="939"/>
      <c r="G863" s="1079"/>
      <c r="H863" s="1031"/>
    </row>
    <row r="864" spans="1:8" ht="12.75" customHeight="1" thickBot="1" x14ac:dyDescent="0.25">
      <c r="A864" s="926"/>
      <c r="B864" s="905" t="s">
        <v>106</v>
      </c>
      <c r="C864" s="906">
        <f t="shared" ref="C864:D864" si="175">SUM(C858:C863)</f>
        <v>3500</v>
      </c>
      <c r="D864" s="906">
        <f t="shared" si="175"/>
        <v>3989</v>
      </c>
      <c r="E864" s="906">
        <f t="shared" ref="E864:F864" si="176">SUM(E858:E863)</f>
        <v>3989</v>
      </c>
      <c r="F864" s="906">
        <f t="shared" si="176"/>
        <v>3989</v>
      </c>
      <c r="G864" s="1000">
        <f t="shared" si="160"/>
        <v>1</v>
      </c>
      <c r="H864" s="1032"/>
    </row>
    <row r="865" spans="1:9" ht="12" customHeight="1" x14ac:dyDescent="0.2">
      <c r="A865" s="37">
        <v>3600</v>
      </c>
      <c r="B865" s="941" t="s">
        <v>37</v>
      </c>
      <c r="C865" s="241"/>
      <c r="D865" s="241"/>
      <c r="E865" s="241"/>
      <c r="F865" s="241"/>
      <c r="G865" s="885"/>
      <c r="H865" s="2"/>
    </row>
    <row r="866" spans="1:9" ht="12" customHeight="1" x14ac:dyDescent="0.2">
      <c r="A866" s="37"/>
      <c r="B866" s="63" t="s">
        <v>51</v>
      </c>
      <c r="C866" s="241"/>
      <c r="D866" s="241"/>
      <c r="E866" s="241"/>
      <c r="F866" s="241"/>
      <c r="G866" s="1081"/>
      <c r="H866" s="2"/>
    </row>
    <row r="867" spans="1:9" ht="12" customHeight="1" x14ac:dyDescent="0.2">
      <c r="A867" s="36"/>
      <c r="B867" s="34" t="s">
        <v>92</v>
      </c>
      <c r="C867" s="200">
        <f>SUM(C64+C72+C81+C91+C107+C134+C142+C150+C158+C175+C183+C192+C200+C236+C247+C255+C263+C271+C291+C299+C307+C326+C339+C348+C356+C390+C445+C453+C507+C515+C547+C571+C579+C587+C605+C613+C621+C629+C637+C661+C679+C687+C695+C732+C741+C750+C759+C776+C784+C801+C809+C817+C825+C858+C208+C768+C399+C426+C381+C793)+C281+C408+C417+C166</f>
        <v>316609</v>
      </c>
      <c r="D867" s="200">
        <f>SUM(D64+D72+D81+D91+D107+D134+D142+D150+D158+D175+D183+D192+D200+D236+D247+D255+D263+D271+D291+D299+D307+D326+D339+D348+D356+D390+D445+D453+D507+D515+D547+D571+D579+D587+D605+D613+D621+D629+D637+D661+D679+D687+D695+D732+D741+D750+D759+D776+D784+D801+D809+D817+D825+D858+D208+D768+D399+D426+D381+D793)+D281+D408+D417+D166+D463+D849</f>
        <v>343507</v>
      </c>
      <c r="E867" s="200">
        <f>SUM(E64+E72+E81+E91+E107+E134+E142+E150+E158+E175+E183+E192+E200+E236+E247+E255+E263+E271+E291+E299+E307+E326+E339+E348+E356+E390+E445+E453+E507+E515+E547+E571+E579+E587+E605+E613+E621+E629+E637+E661+E679+E687+E695+E732+E741+E750+E759+E776+E784+E801+E809+E817+E825+E858+E208+E768+E399+E426+E381+E793)+E281+E408+E417+E166+E463+E849</f>
        <v>371313</v>
      </c>
      <c r="F867" s="200">
        <f>SUM(F64+F72+F81+F91+F107+F134+F142+F150+F158+F175+F183+F192+F200+F236+F247+F255+F263+F271+F291+F299+F307+F326+F339+F348+F356+F390+F445+F453+F507+F515+F547+F571+F579+F587+F605+F613+F621+F629+F637+F661+F679+F687+F695+F732+F741+F750+F759+F776+F784+F801+F809+F817+F825+F858+F208+F768+F399+F426+F381+F793)+F281+F408+F417+F166+F463+F849</f>
        <v>355096</v>
      </c>
      <c r="G867" s="943">
        <f t="shared" ref="G867:G878" si="177">F867/E867</f>
        <v>0.95632525658945422</v>
      </c>
      <c r="H867" s="3"/>
      <c r="I867" s="16"/>
    </row>
    <row r="868" spans="1:9" ht="12" customHeight="1" x14ac:dyDescent="0.2">
      <c r="A868" s="36"/>
      <c r="B868" s="6" t="s">
        <v>87</v>
      </c>
      <c r="C868" s="200">
        <f>SUM(C65+C73+C82+C92+C108+C135+C143+C151+C159+C176+C184+C193+C201+C237+C248+C256+C264+C272+C292+C300+C308+C327+C340+C349+C357+C391+C446+C454+C508+C516+C548+C572+C580+C588+C606+C614+C622+C630+C638+C662+C680+C688+C696+C733+C742+C751+C760+C777+C785+C802+C810+C818+C826+C859+C209+C769+C400+C427)+C382+C794+C282+C409+C418+C167</f>
        <v>40163</v>
      </c>
      <c r="D868" s="200">
        <f>SUM(D65+D73+D82+D92+D108+D135+D143+D151+D159+D176+D184+D193+D201+D237+D248+D256+D264+D272+D292+D300+D308+D327+D340+D349+D357+D391+D446+D454+D508+D516+D548+D572+D580+D588+D606+D614+D622+D630+D638+D662+D680+D688+D696+D733+D742+D751+D760+D777+D785+D802+D810+D818+D826+D859+D209+D769+D400+D427)+D382+D794+D282+D409+D418+D167+D464+D850</f>
        <v>47035</v>
      </c>
      <c r="E868" s="200">
        <f>SUM(E65+E73+E82+E92+E108+E135+E143+E151+E159+E176+E184+E193+E201+E237+E248+E256+E264+E272+E292+E300+E308+E327+E340+E349+E357+E391+E446+E454+E508+E516+E548+E572+E580+E588+E606+E614+E622+E630+E638+E662+E680+E688+E696+E733+E742+E751+E760+E777+E785+E802+E810+E818+E826+E859+E209+E769+E400+E427)+E382+E794+E282+E409+E418+E167+E464+E850</f>
        <v>53512</v>
      </c>
      <c r="F868" s="200">
        <f>SUM(F65+F73+F82+F92+F108+F135+F143+F151+F159+F176+F184+F193+F201+F237+F248+F256+F264+F272+F292+F300+F308+F327+F340+F349+F357+F391+F446+F454+F508+F516+F548+F572+F580+F588+F606+F614+F622+F630+F638+F662+F680+F688+F696+F733+F742+F751+F760+F777+F785+F802+F810+F818+F826+F859+F209+F769+F400+F427)+F382+F794+F282+F409+F418+F167+F464+F850</f>
        <v>50371</v>
      </c>
      <c r="G868" s="943">
        <f t="shared" si="177"/>
        <v>0.94130288533413065</v>
      </c>
      <c r="H868" s="3"/>
      <c r="I868" s="16"/>
    </row>
    <row r="869" spans="1:9" ht="12" customHeight="1" x14ac:dyDescent="0.2">
      <c r="A869" s="36"/>
      <c r="B869" s="6" t="s">
        <v>248</v>
      </c>
      <c r="C869" s="200">
        <f>SUM(C66+C74+C83+C93+C109+C136+C144+C152+C160+C177+C185+C194+C202+C238+C249+C257+C265+C273+C293+C301+C309+C328+C341+C350+C358+C392+C447+C455+C509+C517+C549+C573+C581+C589+C607+C615+C623+C631+C639+C663+C681+C689+C697+C734+C743+C752+C761+C778+C786+C803+C811+C819+C827+C860+C647+C525+C541+C210+C474+C119+C770+C101+C21+C127+C219+C29+C557+C655+C383+C283+C38+C47+C368)+C672+C401+C428+C56+C598+C795+C835+C565+C410+C419+C168+C13+C843+C492+C228</f>
        <v>4871236</v>
      </c>
      <c r="D869" s="200">
        <f>SUM(D66+D74+D83+D93+D109+D136+D144+D152+D160+D177+D185+D194+D202+D238+D249+D257+D265+D273+D293+D301+D309+D318+D328+D341+D350+D358+D392+D447+D455+D509+D517+D549+D573+D581+D589+D607+D615+D623+D631+D639+D663+D681+D689+D697+D734+D743+D752+D761+D778+D786+D803+D811+D819+D827+D860+D647+D525+D541+D210+D474+D119+D770+D101+D21+D127+D219+D29+D557+D655+D383+D283+D38+D47+D368)+D672+D401+D428+D56+D598+D795+D835+D565+D410+D419+D168+D13+D843+D492+D228+D465+D851</f>
        <v>5173450</v>
      </c>
      <c r="E869" s="200">
        <f>SUM(E66+E74+E83+E93+E109+E136+E144+E152+E160+E177+E185+E194+E202+E238+E249+E257+E265+E273+E293+E301+E309+E318+E328+E341+E350+E358+E392+E447+E455+E509+E517+E549+E573+E581+E589+E607+E615+E623+E631+E639+E663+E681+E689+E697+E734+E743+E752+E761+E778+E786+E803+E811+E819+E827+E860+E647+E525+E541+E210+E474+E119+E770+E101+E21+E127+E219+E29+E557+E655+E383+E283+E38+E47+E368)+E672+E401+E428+E56+E598+E795+E835+E565+E410+E419+E168+E13+E843+E492+E228+E465+E851</f>
        <v>5212535</v>
      </c>
      <c r="F869" s="200">
        <f>SUM(F66+F74+F83+F93+F109+F136+F144+F152+F160+F177+F185+F194+F202+F238+F249+F257+F265+F273+F293+F301+F309+F318+F328+F341+F350+F358+F392+F447+F455+F509+F517+F549+F573+F581+F589+F607+F615+F623+F631+F639+F663+F681+F689+F697+F734+F743+F752+F761+F778+F786+F803+F811+F819+F827+F860+F647+F525+F541+F210+F474+F119+F770+F101+F21+F127+F219+F29+F557+F655+F383+F283+F38+F47+F368)+F672+F401+F428+F56+F598+F795+F835+F565+F410+F419+F168+F13+F843+F492+F228+F465+F851+F437</f>
        <v>5222776</v>
      </c>
      <c r="G869" s="943">
        <f t="shared" si="177"/>
        <v>1.0019646870476648</v>
      </c>
      <c r="H869" s="3"/>
      <c r="I869" s="16"/>
    </row>
    <row r="870" spans="1:9" ht="12" customHeight="1" x14ac:dyDescent="0.2">
      <c r="A870" s="36"/>
      <c r="B870" s="5" t="s">
        <v>97</v>
      </c>
      <c r="C870" s="200">
        <f>SUM(C67+C75+C84+C94+C110+C137+C145+C153+C161+C178+C186+C195+C203+C239+C250+C258+C266+C274+C294+C302+C310+C331+C342+C351+C359+C393+C448+C456+C510+C518+C550+C574+C582+C590+C608+C616+C624+C632+C640+C664+C682+C690+C698+C735+C744+C753+C762+C779+C787+C804+C812+C820+C828+C861+C475+C484+C526+C534+C542+C558+C502)+C169</f>
        <v>184000</v>
      </c>
      <c r="D870" s="200">
        <f>SUM(D67+D75+D84+D94+D110+D137+D145+D153+D161+D178+D186+D195+D203+D239+D250+D258+D266+D274+D294+D302+D310+D331+D342+D351+D359+D393+D448+D456+D510+D518+D550+D574+D582+D590+D608+D616+D624+D632+D640+D664+D682+D690+D698+D735+D744+D753+D762+D779+D787+D804+D812+D820+D828+D861+D475+D484+D526+D534+D542+D558+D502)+D169+D402+D411+D420+D429+D468+D852</f>
        <v>191513</v>
      </c>
      <c r="E870" s="200">
        <f>SUM(E67+E75+E84+E94+E110+E137+E145+E153+E161+E178+E186+E195+E203+E239+E250+E258+E266+E274+E294+E302+E310+E331+E342+E351+E359+E393+E448+E456+E510+E518+E550+E574+E582+E590+E608+E616+E624+E632+E640+E664+E682+E690+E698+E735+E744+E753+E762+E779+E787+E804+E812+E820+E828+E861+E475+E484+E526+E534+E542+E558+E502)+E169+E402+E411+E420+E429+E468+E852</f>
        <v>183013</v>
      </c>
      <c r="F870" s="200">
        <f>SUM(F67+F75+F84+F94+F110+F137+F145+F153+F161+F178+F186+F195+F203+F239+F250+F258+F266+F274+F294+F302+F310+F331+F342+F351+F359+F393+F448+F456+F510+F518+F550+F574+F582+F590+F608+F616+F624+F632+F640+F664+F682+F690+F698+F735+F744+F753+F762+F779+F787+F804+F812+F820+F828+F861+F475+F484+F526+F534+F542+F558+F502)+F169+F402+F411+F420+F429+F468+F852</f>
        <v>183013</v>
      </c>
      <c r="G870" s="943">
        <f t="shared" si="177"/>
        <v>1</v>
      </c>
      <c r="H870" s="3"/>
      <c r="I870" s="16"/>
    </row>
    <row r="871" spans="1:9" ht="12" customHeight="1" thickBot="1" x14ac:dyDescent="0.25">
      <c r="A871" s="36"/>
      <c r="B871" s="78" t="s">
        <v>246</v>
      </c>
      <c r="C871" s="682">
        <f>SUM(C68+C76+C85+C95+C111+C138+C146+C154+C162+C179+C187+C196+C204+C240+C251+C259+C267+C275+C295+C303+C311+C332+C343+C352+C394+C449+C457+C485+C511+C519+C551+C575+C583+C591+C609+C617+C625+C633+C641+C665+C683+C691+C699+C736+C745+C754+C763+C780+C788+C805+C813+C821+C829+C862+C212+C772)+C709+C430+C170+C718+C421</f>
        <v>55700</v>
      </c>
      <c r="D871" s="682">
        <f>SUM(D68+D76+D85+D95+D111+D138+D146+D154+D162+D179+D187+D196+D204+D240+D251+D259+D267+D275+D295+D303+D311+D332+D343+D352+D394+D449+D457+D485+D511+D519+D551+D575+D583+D591+D609+D617+D625+D633+D641+D665+D683+D691+D699+D736+D745+D754+D763+D780+D788+D805+D813+D821+D829+D862+D212+D772)+D709+D430+D170+D718+D421+D403+D412+D467+D853+D727</f>
        <v>94363</v>
      </c>
      <c r="E871" s="682">
        <f>SUM(E68+E76+E85+E95+E111+E138+E146+E154+E162+E179+E187+E196+E204+E240+E251+E259+E267+E275+E295+E303+E311+E332+E343+E352+E394+E449+E457+E485+E511+E519+E551+E575+E583+E591+E609+E617+E625+E633+E641+E665+E683+E691+E699+E736+E745+E754+E763+E780+E788+E805+E813+E821+E829+E862+E212+E772)+E709+E430+E170+E718+E421+E403+E412+E467+E853+E727</f>
        <v>80013</v>
      </c>
      <c r="F871" s="682">
        <f>SUM(F68+F76+F85+F95+F111+F138+F146+F154+F162+F179+F187+F196+F204+F240+F251+F259+F267+F275+F295+F303+F311+F332+F343+F352+F394+F449+F457+F485+F511+F519+F551+F575+F583+F591+F609+F617+F625+F633+F641+F665+F683+F691+F699+F736+F745+F754+F763+F780+F788+F805+F813+F821+F829+F862+F212+F772)+F709+F430+F170+F718+F421+F403+F412+F467+F853+F727+F285</f>
        <v>104913</v>
      </c>
      <c r="G871" s="1082">
        <f t="shared" si="177"/>
        <v>1.31119943009261</v>
      </c>
      <c r="H871" s="886"/>
      <c r="I871" s="16"/>
    </row>
    <row r="872" spans="1:9" ht="12" customHeight="1" thickBot="1" x14ac:dyDescent="0.25">
      <c r="A872" s="36"/>
      <c r="B872" s="1039" t="s">
        <v>42</v>
      </c>
      <c r="C872" s="887">
        <f>SUM(C867:C871)</f>
        <v>5467708</v>
      </c>
      <c r="D872" s="887">
        <f>SUM(D867:D871)</f>
        <v>5849868</v>
      </c>
      <c r="E872" s="887">
        <f>SUM(E867:E871)</f>
        <v>5900386</v>
      </c>
      <c r="F872" s="887">
        <f>SUM(F867:F871)</f>
        <v>5916169</v>
      </c>
      <c r="G872" s="1000">
        <f t="shared" si="177"/>
        <v>1.0026749097431931</v>
      </c>
      <c r="H872" s="888"/>
      <c r="I872" s="16"/>
    </row>
    <row r="873" spans="1:9" ht="12" customHeight="1" x14ac:dyDescent="0.2">
      <c r="A873" s="36"/>
      <c r="B873" s="74" t="s">
        <v>52</v>
      </c>
      <c r="C873" s="200"/>
      <c r="D873" s="200"/>
      <c r="E873" s="200"/>
      <c r="F873" s="200"/>
      <c r="G873" s="885"/>
      <c r="H873" s="2"/>
      <c r="I873" s="16"/>
    </row>
    <row r="874" spans="1:9" ht="12" customHeight="1" x14ac:dyDescent="0.2">
      <c r="A874" s="36"/>
      <c r="B874" s="6" t="s">
        <v>207</v>
      </c>
      <c r="C874" s="200">
        <f>SUM(C60+C69+C252+C277+C737+C361+C781+C122+C213+C684+C188+C700+C112+C312+C755+C773+C33+C395+C104+C287)+C51+C268+C431+C746+C404</f>
        <v>18000</v>
      </c>
      <c r="D874" s="200">
        <f>SUM(D60+D69+D252+D277+D737+D361+D781+D122+D213+D684+D188+D700+D112+D312+D755+D773+D33+D395+D104+D287)+D51+D268+D431+D746+D404+D42+D222+D231+D371+D413+D422+D798+D854</f>
        <v>55271</v>
      </c>
      <c r="E874" s="200">
        <f>SUM(E60+E69+E252+E277+E737+E361+E781+E122+E213+E684+E188+E700+E112+E312+E755+E773+E33+E395+E104+E287)+E51+E268+E431+E746+E404+E42+E222+E231+E371+E413+E422+E798+E854+E789</f>
        <v>55371</v>
      </c>
      <c r="F874" s="200">
        <f>SUM(F60+F69+F252+F277+F737+F361+F781+F122+F213+F684+F188+F700+F112+F312+F755+F773+F33+F395+F104+F287)+F51+F268+F431+F746+F404+F42+F222+F231+F371+F413+F422+F798+F854+F789+F440</f>
        <v>64720</v>
      </c>
      <c r="G874" s="1081">
        <f t="shared" si="177"/>
        <v>1.168842896100847</v>
      </c>
      <c r="H874" s="3"/>
      <c r="I874" s="16"/>
    </row>
    <row r="875" spans="1:9" ht="12" customHeight="1" x14ac:dyDescent="0.2">
      <c r="A875" s="36"/>
      <c r="B875" s="6" t="s">
        <v>208</v>
      </c>
      <c r="C875" s="200">
        <f>SUM(C113)</f>
        <v>0</v>
      </c>
      <c r="D875" s="200">
        <f>SUM(D113)</f>
        <v>0</v>
      </c>
      <c r="E875" s="200">
        <f>SUM(E113)</f>
        <v>0</v>
      </c>
      <c r="F875" s="200">
        <f>SUM(F113)</f>
        <v>0</v>
      </c>
      <c r="G875" s="943"/>
      <c r="H875" s="3"/>
      <c r="I875" s="16"/>
    </row>
    <row r="876" spans="1:9" ht="12" customHeight="1" thickBot="1" x14ac:dyDescent="0.25">
      <c r="A876" s="36"/>
      <c r="B876" s="78" t="s">
        <v>274</v>
      </c>
      <c r="C876" s="682">
        <f>SUM(C96+C260+C197+C450+C278+C790+C189+C396+C756+C214+C313+C114)+C205+C738+C288+C171</f>
        <v>1164100</v>
      </c>
      <c r="D876" s="682">
        <f>SUM(D96+D260+D197+D450+D278+D790+D189+D396+D756+D214+D313+D114)+D205+D738+D288+D171</f>
        <v>2888325</v>
      </c>
      <c r="E876" s="682">
        <f>SUM(E96+E260+E197+E450+E278+E790+E189+E396+E756+E214+E313+E114)+E205+E738+E288+E171</f>
        <v>2886380</v>
      </c>
      <c r="F876" s="682">
        <f>SUM(F96+F260+F197+F450+F278+F790+F189+F396+F756+F214+F313+F114)+F205+F738+F288+F171</f>
        <v>2872668</v>
      </c>
      <c r="G876" s="1082">
        <f t="shared" si="177"/>
        <v>0.99524941275923473</v>
      </c>
      <c r="H876" s="886"/>
      <c r="I876" s="16"/>
    </row>
    <row r="877" spans="1:9" ht="12" customHeight="1" thickBot="1" x14ac:dyDescent="0.25">
      <c r="A877" s="36"/>
      <c r="B877" s="1039" t="s">
        <v>48</v>
      </c>
      <c r="C877" s="887">
        <f t="shared" ref="C877:D877" si="178">SUM(C874:C876)</f>
        <v>1182100</v>
      </c>
      <c r="D877" s="887">
        <f t="shared" si="178"/>
        <v>2943596</v>
      </c>
      <c r="E877" s="887">
        <f t="shared" ref="E877:F877" si="179">SUM(E874:E876)</f>
        <v>2941751</v>
      </c>
      <c r="F877" s="887">
        <f t="shared" si="179"/>
        <v>2937388</v>
      </c>
      <c r="G877" s="1000">
        <f t="shared" si="177"/>
        <v>0.99851686971466991</v>
      </c>
      <c r="H877" s="888"/>
      <c r="I877" s="16"/>
    </row>
    <row r="878" spans="1:9" ht="12.75" customHeight="1" thickBot="1" x14ac:dyDescent="0.25">
      <c r="A878" s="236"/>
      <c r="B878" s="244" t="s">
        <v>215</v>
      </c>
      <c r="C878" s="889">
        <f>SUM(C877+C872)</f>
        <v>6649808</v>
      </c>
      <c r="D878" s="889">
        <f>SUM(D877+D872)</f>
        <v>8793464</v>
      </c>
      <c r="E878" s="1113">
        <f>SUM(E877+E872)</f>
        <v>8842137</v>
      </c>
      <c r="F878" s="1113">
        <f>SUM(F877+F872)</f>
        <v>8853557</v>
      </c>
      <c r="G878" s="1080">
        <f t="shared" si="177"/>
        <v>1.0012915429833309</v>
      </c>
      <c r="H878" s="888"/>
      <c r="I878" s="16"/>
    </row>
  </sheetData>
  <mergeCells count="7">
    <mergeCell ref="A1:H1"/>
    <mergeCell ref="A2:H2"/>
    <mergeCell ref="G5:G7"/>
    <mergeCell ref="C5:C7"/>
    <mergeCell ref="D5:D7"/>
    <mergeCell ref="E5:E7"/>
    <mergeCell ref="F5:F7"/>
  </mergeCells>
  <phoneticPr fontId="0" type="noConversion"/>
  <printOptions horizontalCentered="1"/>
  <pageMargins left="0.59055118110236227" right="0" top="0.59055118110236227" bottom="0" header="0.19685039370078741" footer="0"/>
  <pageSetup paperSize="9" scale="69" firstPageNumber="24" orientation="landscape" useFirstPageNumber="1" r:id="rId1"/>
  <headerFooter alignWithMargins="0">
    <oddFooter>&amp;C&amp;P. oldal</oddFooter>
  </headerFooter>
  <rowBreaks count="14" manualBreakCount="14">
    <brk id="61" max="16383" man="1"/>
    <brk id="115" max="16383" man="1"/>
    <brk id="172" max="16383" man="1"/>
    <brk id="233" max="16383" man="1"/>
    <brk id="289" max="16383" man="1"/>
    <brk id="346" max="16383" man="1"/>
    <brk id="415" max="16383" man="1"/>
    <brk id="470" max="16383" man="1"/>
    <brk id="529" max="16383" man="1"/>
    <brk id="594" max="16383" man="1"/>
    <brk id="651" max="16383" man="1"/>
    <brk id="701" max="16383" man="1"/>
    <brk id="774" max="16383" man="1"/>
    <brk id="84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75"/>
  <sheetViews>
    <sheetView view="pageBreakPreview" topLeftCell="A37" zoomScale="90" zoomScaleNormal="100" zoomScaleSheetLayoutView="90" workbookViewId="0">
      <selection activeCell="F24" sqref="F24"/>
    </sheetView>
  </sheetViews>
  <sheetFormatPr defaultColWidth="9.140625" defaultRowHeight="12.95" customHeight="1" x14ac:dyDescent="0.2"/>
  <cols>
    <col min="1" max="1" width="6.85546875" style="8" customWidth="1"/>
    <col min="2" max="2" width="51" style="8" customWidth="1"/>
    <col min="3" max="6" width="13.7109375" style="9" customWidth="1"/>
    <col min="7" max="7" width="9.42578125" style="9" customWidth="1"/>
    <col min="8" max="8" width="52.85546875" style="8" customWidth="1"/>
    <col min="9" max="16384" width="9.140625" style="8"/>
  </cols>
  <sheetData>
    <row r="2" spans="1:9" ht="12.95" customHeight="1" x14ac:dyDescent="0.2">
      <c r="A2" s="1185" t="s">
        <v>249</v>
      </c>
      <c r="B2" s="1183"/>
      <c r="C2" s="1183"/>
      <c r="D2" s="1183"/>
      <c r="E2" s="1183"/>
      <c r="F2" s="1183"/>
      <c r="G2" s="1183"/>
      <c r="H2" s="1183"/>
    </row>
    <row r="3" spans="1:9" ht="12.95" customHeight="1" x14ac:dyDescent="0.2">
      <c r="A3" s="1182" t="s">
        <v>1182</v>
      </c>
      <c r="B3" s="1183"/>
      <c r="C3" s="1183"/>
      <c r="D3" s="1183"/>
      <c r="E3" s="1183"/>
      <c r="F3" s="1183"/>
      <c r="G3" s="1183"/>
      <c r="H3" s="1183"/>
    </row>
    <row r="4" spans="1:9" ht="12.6" customHeight="1" x14ac:dyDescent="0.2">
      <c r="C4" s="53"/>
      <c r="D4" s="53"/>
      <c r="E4" s="53"/>
      <c r="F4" s="53"/>
      <c r="G4" s="53"/>
      <c r="H4" s="60" t="s">
        <v>146</v>
      </c>
    </row>
    <row r="5" spans="1:9" ht="12.95" customHeight="1" x14ac:dyDescent="0.2">
      <c r="A5" s="38"/>
      <c r="B5" s="39"/>
      <c r="C5" s="1140" t="s">
        <v>1252</v>
      </c>
      <c r="D5" s="1140" t="s">
        <v>1337</v>
      </c>
      <c r="E5" s="1140" t="s">
        <v>1355</v>
      </c>
      <c r="F5" s="1140" t="s">
        <v>1357</v>
      </c>
      <c r="G5" s="1140" t="s">
        <v>1339</v>
      </c>
      <c r="H5" s="69" t="s">
        <v>433</v>
      </c>
    </row>
    <row r="6" spans="1:9" ht="12.75" x14ac:dyDescent="0.2">
      <c r="A6" s="40" t="s">
        <v>234</v>
      </c>
      <c r="B6" s="68" t="s">
        <v>114</v>
      </c>
      <c r="C6" s="1184"/>
      <c r="D6" s="1184"/>
      <c r="E6" s="1184"/>
      <c r="F6" s="1162"/>
      <c r="G6" s="1162"/>
      <c r="H6" s="41" t="s">
        <v>115</v>
      </c>
    </row>
    <row r="7" spans="1:9" ht="13.5" thickBot="1" x14ac:dyDescent="0.25">
      <c r="A7" s="42"/>
      <c r="B7" s="43"/>
      <c r="C7" s="1161"/>
      <c r="D7" s="1161"/>
      <c r="E7" s="1161"/>
      <c r="F7" s="1163"/>
      <c r="G7" s="1163"/>
      <c r="H7" s="44"/>
    </row>
    <row r="8" spans="1:9" ht="15" customHeight="1" x14ac:dyDescent="0.2">
      <c r="A8" s="150" t="s">
        <v>131</v>
      </c>
      <c r="B8" s="151" t="s">
        <v>132</v>
      </c>
      <c r="C8" s="152" t="s">
        <v>133</v>
      </c>
      <c r="D8" s="152" t="s">
        <v>454</v>
      </c>
      <c r="E8" s="152" t="s">
        <v>455</v>
      </c>
      <c r="F8" s="152" t="s">
        <v>469</v>
      </c>
      <c r="G8" s="152" t="s">
        <v>520</v>
      </c>
      <c r="H8" s="152" t="s">
        <v>410</v>
      </c>
    </row>
    <row r="9" spans="1:9" ht="12.75" customHeight="1" x14ac:dyDescent="0.2">
      <c r="A9" s="84"/>
      <c r="B9" s="66" t="s">
        <v>220</v>
      </c>
      <c r="C9" s="423"/>
      <c r="D9" s="423"/>
      <c r="E9" s="423"/>
      <c r="F9" s="423"/>
      <c r="G9" s="423"/>
      <c r="H9" s="274"/>
    </row>
    <row r="10" spans="1:9" ht="12.75" customHeight="1" thickBot="1" x14ac:dyDescent="0.25">
      <c r="A10" s="33">
        <v>3911</v>
      </c>
      <c r="B10" s="29" t="s">
        <v>151</v>
      </c>
      <c r="C10" s="604">
        <v>2293</v>
      </c>
      <c r="D10" s="604">
        <f>2293+615</f>
        <v>2908</v>
      </c>
      <c r="E10" s="604">
        <f>2908+17227</f>
        <v>20135</v>
      </c>
      <c r="F10" s="604">
        <f>2908+17227</f>
        <v>20135</v>
      </c>
      <c r="G10" s="602">
        <f>F10/E10</f>
        <v>1</v>
      </c>
      <c r="H10" s="605"/>
    </row>
    <row r="11" spans="1:9" ht="12.75" customHeight="1" thickBot="1" x14ac:dyDescent="0.25">
      <c r="A11" s="49">
        <v>3910</v>
      </c>
      <c r="B11" s="30" t="s">
        <v>142</v>
      </c>
      <c r="C11" s="539">
        <f>SUM(C10:C10)</f>
        <v>2293</v>
      </c>
      <c r="D11" s="539">
        <f>SUM(D10:D10)</f>
        <v>2908</v>
      </c>
      <c r="E11" s="539">
        <f>SUM(E10:E10)</f>
        <v>20135</v>
      </c>
      <c r="F11" s="539">
        <f>SUM(F10:F10)</f>
        <v>20135</v>
      </c>
      <c r="G11" s="1098">
        <f t="shared" ref="G11:G73" si="0">F11/E11</f>
        <v>1</v>
      </c>
      <c r="H11" s="298"/>
    </row>
    <row r="12" spans="1:9" s="12" customFormat="1" ht="12.75" customHeight="1" x14ac:dyDescent="0.2">
      <c r="A12" s="10"/>
      <c r="B12" s="31" t="s">
        <v>219</v>
      </c>
      <c r="C12" s="594"/>
      <c r="D12" s="594"/>
      <c r="E12" s="594"/>
      <c r="F12" s="594"/>
      <c r="G12" s="1040"/>
      <c r="H12" s="299"/>
    </row>
    <row r="13" spans="1:9" s="12" customFormat="1" ht="12.75" customHeight="1" x14ac:dyDescent="0.2">
      <c r="A13" s="33">
        <v>3923</v>
      </c>
      <c r="B13" s="29" t="s">
        <v>1170</v>
      </c>
      <c r="C13" s="29">
        <v>3000</v>
      </c>
      <c r="D13" s="29">
        <f>3000+2000</f>
        <v>5000</v>
      </c>
      <c r="E13" s="29">
        <f>3000+2000</f>
        <v>5000</v>
      </c>
      <c r="F13" s="29">
        <f>3000+2000</f>
        <v>5000</v>
      </c>
      <c r="G13" s="1041">
        <f t="shared" si="0"/>
        <v>1</v>
      </c>
      <c r="H13" s="272"/>
      <c r="I13" s="831"/>
    </row>
    <row r="14" spans="1:9" s="12" customFormat="1" ht="12.75" customHeight="1" x14ac:dyDescent="0.2">
      <c r="A14" s="33">
        <v>3924</v>
      </c>
      <c r="B14" s="29" t="s">
        <v>431</v>
      </c>
      <c r="C14" s="595">
        <v>9000</v>
      </c>
      <c r="D14" s="595">
        <v>9000</v>
      </c>
      <c r="E14" s="595">
        <v>9000</v>
      </c>
      <c r="F14" s="595">
        <v>9000</v>
      </c>
      <c r="G14" s="1041">
        <f t="shared" si="0"/>
        <v>1</v>
      </c>
      <c r="H14" s="301"/>
    </row>
    <row r="15" spans="1:9" s="12" customFormat="1" ht="12.75" customHeight="1" x14ac:dyDescent="0.2">
      <c r="A15" s="33">
        <v>3925</v>
      </c>
      <c r="B15" s="29" t="s">
        <v>16</v>
      </c>
      <c r="C15" s="595">
        <v>179600</v>
      </c>
      <c r="D15" s="595">
        <v>179600</v>
      </c>
      <c r="E15" s="595">
        <v>179600</v>
      </c>
      <c r="F15" s="595">
        <v>179600</v>
      </c>
      <c r="G15" s="1041">
        <f t="shared" si="0"/>
        <v>1</v>
      </c>
      <c r="H15" s="399" t="s">
        <v>1393</v>
      </c>
    </row>
    <row r="16" spans="1:9" s="12" customFormat="1" ht="12.75" customHeight="1" x14ac:dyDescent="0.2">
      <c r="A16" s="33">
        <v>3926</v>
      </c>
      <c r="B16" s="29" t="s">
        <v>1040</v>
      </c>
      <c r="C16" s="595">
        <v>2000</v>
      </c>
      <c r="D16" s="595">
        <f>2000+1700</f>
        <v>3700</v>
      </c>
      <c r="E16" s="595">
        <f>2000+1700</f>
        <v>3700</v>
      </c>
      <c r="F16" s="595">
        <f>2000+1700</f>
        <v>3700</v>
      </c>
      <c r="G16" s="1041">
        <f t="shared" si="0"/>
        <v>1</v>
      </c>
      <c r="H16" s="399"/>
    </row>
    <row r="17" spans="1:8" s="12" customFormat="1" ht="12.75" customHeight="1" x14ac:dyDescent="0.2">
      <c r="A17" s="33">
        <v>3927</v>
      </c>
      <c r="B17" s="29" t="s">
        <v>432</v>
      </c>
      <c r="C17" s="595">
        <v>3000</v>
      </c>
      <c r="D17" s="595">
        <v>3000</v>
      </c>
      <c r="E17" s="595">
        <v>3000</v>
      </c>
      <c r="F17" s="595">
        <f>3000+2000</f>
        <v>5000</v>
      </c>
      <c r="G17" s="1041">
        <f t="shared" si="0"/>
        <v>1.6666666666666667</v>
      </c>
      <c r="H17" s="304" t="s">
        <v>1394</v>
      </c>
    </row>
    <row r="18" spans="1:8" s="12" customFormat="1" ht="12.75" customHeight="1" x14ac:dyDescent="0.2">
      <c r="A18" s="33">
        <v>3928</v>
      </c>
      <c r="B18" s="29" t="s">
        <v>123</v>
      </c>
      <c r="C18" s="421">
        <f>SUM(C22+C19)</f>
        <v>221000</v>
      </c>
      <c r="D18" s="421">
        <f>SUM(D22+D19)</f>
        <v>421765</v>
      </c>
      <c r="E18" s="421">
        <f>SUM(E22+E19)</f>
        <v>421765</v>
      </c>
      <c r="F18" s="421">
        <f>SUM(F22+F19)</f>
        <v>421765</v>
      </c>
      <c r="G18" s="1041">
        <f t="shared" si="0"/>
        <v>1</v>
      </c>
      <c r="H18" s="304" t="s">
        <v>1394</v>
      </c>
    </row>
    <row r="19" spans="1:8" s="12" customFormat="1" ht="12.75" customHeight="1" x14ac:dyDescent="0.2">
      <c r="A19" s="33"/>
      <c r="B19" s="146" t="s">
        <v>57</v>
      </c>
      <c r="C19" s="402">
        <f>SUM(C20:C21)</f>
        <v>21000</v>
      </c>
      <c r="D19" s="402">
        <f>SUM(D20:D21)</f>
        <v>23065</v>
      </c>
      <c r="E19" s="402">
        <f>SUM(E20:E21)</f>
        <v>23065</v>
      </c>
      <c r="F19" s="402">
        <f>SUM(F20:F21)</f>
        <v>22565</v>
      </c>
      <c r="G19" s="1041">
        <f t="shared" si="0"/>
        <v>0.9783221331021027</v>
      </c>
      <c r="H19" s="423"/>
    </row>
    <row r="20" spans="1:8" s="12" customFormat="1" ht="12.75" customHeight="1" x14ac:dyDescent="0.2">
      <c r="A20" s="33"/>
      <c r="B20" s="146" t="s">
        <v>254</v>
      </c>
      <c r="C20" s="598">
        <v>12500</v>
      </c>
      <c r="D20" s="598">
        <f>12500+2065</f>
        <v>14565</v>
      </c>
      <c r="E20" s="598">
        <f>12500+2065</f>
        <v>14565</v>
      </c>
      <c r="F20" s="598">
        <f>12500+2065</f>
        <v>14565</v>
      </c>
      <c r="G20" s="1041">
        <f t="shared" si="0"/>
        <v>1</v>
      </c>
      <c r="H20" s="606"/>
    </row>
    <row r="21" spans="1:8" s="12" customFormat="1" ht="12.75" customHeight="1" x14ac:dyDescent="0.2">
      <c r="A21" s="33"/>
      <c r="B21" s="146" t="s">
        <v>408</v>
      </c>
      <c r="C21" s="596">
        <v>8500</v>
      </c>
      <c r="D21" s="596">
        <v>8500</v>
      </c>
      <c r="E21" s="596">
        <v>8500</v>
      </c>
      <c r="F21" s="596">
        <f>8500-500</f>
        <v>8000</v>
      </c>
      <c r="G21" s="1041">
        <f t="shared" si="0"/>
        <v>0.94117647058823528</v>
      </c>
      <c r="H21" s="302"/>
    </row>
    <row r="22" spans="1:8" s="12" customFormat="1" ht="12.75" customHeight="1" thickBot="1" x14ac:dyDescent="0.25">
      <c r="A22" s="33"/>
      <c r="B22" s="146" t="s">
        <v>326</v>
      </c>
      <c r="C22" s="597">
        <v>200000</v>
      </c>
      <c r="D22" s="597">
        <f>200000+198700</f>
        <v>398700</v>
      </c>
      <c r="E22" s="597">
        <f>200000+198700</f>
        <v>398700</v>
      </c>
      <c r="F22" s="597">
        <f>398700+500</f>
        <v>399200</v>
      </c>
      <c r="G22" s="602">
        <f t="shared" si="0"/>
        <v>1.001254075746175</v>
      </c>
      <c r="H22" s="546"/>
    </row>
    <row r="23" spans="1:8" s="12" customFormat="1" ht="12.75" customHeight="1" thickBot="1" x14ac:dyDescent="0.25">
      <c r="A23" s="49">
        <v>3920</v>
      </c>
      <c r="B23" s="30" t="s">
        <v>142</v>
      </c>
      <c r="C23" s="539">
        <f>C13+C14+C15+C16+C17+C18</f>
        <v>417600</v>
      </c>
      <c r="D23" s="539">
        <f>D13+D14+D15+D16+D17+D18</f>
        <v>622065</v>
      </c>
      <c r="E23" s="539">
        <f>E13+E14+E15+E16+E17+E18</f>
        <v>622065</v>
      </c>
      <c r="F23" s="539">
        <f>F13+F14+F15+F16+F17+F18</f>
        <v>624065</v>
      </c>
      <c r="G23" s="1098">
        <f t="shared" si="0"/>
        <v>1.0032150981006809</v>
      </c>
      <c r="H23" s="303"/>
    </row>
    <row r="24" spans="1:8" s="12" customFormat="1" ht="12.75" customHeight="1" x14ac:dyDescent="0.2">
      <c r="A24" s="10"/>
      <c r="B24" s="31" t="s">
        <v>103</v>
      </c>
      <c r="C24" s="594"/>
      <c r="D24" s="594"/>
      <c r="E24" s="594"/>
      <c r="F24" s="594"/>
      <c r="G24" s="1040"/>
      <c r="H24" s="299"/>
    </row>
    <row r="25" spans="1:8" s="12" customFormat="1" ht="12.75" customHeight="1" x14ac:dyDescent="0.2">
      <c r="A25" s="51">
        <v>3931</v>
      </c>
      <c r="B25" s="67" t="s">
        <v>126</v>
      </c>
      <c r="C25" s="598">
        <v>2000</v>
      </c>
      <c r="D25" s="598">
        <v>2000</v>
      </c>
      <c r="E25" s="598">
        <v>2000</v>
      </c>
      <c r="F25" s="598">
        <v>2000</v>
      </c>
      <c r="G25" s="1041">
        <f t="shared" si="0"/>
        <v>1</v>
      </c>
      <c r="H25" s="301" t="s">
        <v>1388</v>
      </c>
    </row>
    <row r="26" spans="1:8" s="12" customFormat="1" ht="12.75" customHeight="1" x14ac:dyDescent="0.2">
      <c r="A26" s="51">
        <v>3932</v>
      </c>
      <c r="B26" s="67" t="s">
        <v>428</v>
      </c>
      <c r="C26" s="598">
        <v>15000</v>
      </c>
      <c r="D26" s="598">
        <v>15000</v>
      </c>
      <c r="E26" s="598">
        <v>15000</v>
      </c>
      <c r="F26" s="598">
        <v>15000</v>
      </c>
      <c r="G26" s="1041">
        <f t="shared" si="0"/>
        <v>1</v>
      </c>
      <c r="H26" s="301" t="s">
        <v>1388</v>
      </c>
    </row>
    <row r="27" spans="1:8" s="12" customFormat="1" ht="12.75" hidden="1" customHeight="1" x14ac:dyDescent="0.2">
      <c r="A27" s="51">
        <v>3934</v>
      </c>
      <c r="B27" s="67" t="s">
        <v>1147</v>
      </c>
      <c r="C27" s="598">
        <v>0</v>
      </c>
      <c r="D27" s="598">
        <v>0</v>
      </c>
      <c r="E27" s="598">
        <v>0</v>
      </c>
      <c r="F27" s="598">
        <v>0</v>
      </c>
      <c r="G27" s="1041" t="e">
        <f t="shared" si="0"/>
        <v>#DIV/0!</v>
      </c>
      <c r="H27" s="301"/>
    </row>
    <row r="28" spans="1:8" s="12" customFormat="1" ht="12.75" customHeight="1" thickBot="1" x14ac:dyDescent="0.25">
      <c r="A28" s="51">
        <v>3935</v>
      </c>
      <c r="B28" s="67" t="s">
        <v>1168</v>
      </c>
      <c r="C28" s="598">
        <v>12154</v>
      </c>
      <c r="D28" s="598">
        <v>12154</v>
      </c>
      <c r="E28" s="598">
        <v>12154</v>
      </c>
      <c r="F28" s="406">
        <v>12154</v>
      </c>
      <c r="G28" s="602">
        <f t="shared" si="0"/>
        <v>1</v>
      </c>
      <c r="H28" s="301"/>
    </row>
    <row r="29" spans="1:8" s="12" customFormat="1" ht="12.75" customHeight="1" thickBot="1" x14ac:dyDescent="0.25">
      <c r="A29" s="49">
        <v>3930</v>
      </c>
      <c r="B29" s="30" t="s">
        <v>142</v>
      </c>
      <c r="C29" s="420">
        <f>SUM(C25:C28)</f>
        <v>29154</v>
      </c>
      <c r="D29" s="420">
        <f>SUM(D25:D28)</f>
        <v>29154</v>
      </c>
      <c r="E29" s="420">
        <f>SUM(E25:E28)</f>
        <v>29154</v>
      </c>
      <c r="F29" s="539">
        <f>SUM(F25:F28)</f>
        <v>29154</v>
      </c>
      <c r="G29" s="1098">
        <f t="shared" si="0"/>
        <v>1</v>
      </c>
      <c r="H29" s="305"/>
    </row>
    <row r="30" spans="1:8" ht="12.75" customHeight="1" x14ac:dyDescent="0.2">
      <c r="A30" s="10"/>
      <c r="B30" s="31" t="s">
        <v>39</v>
      </c>
      <c r="C30" s="599"/>
      <c r="D30" s="599"/>
      <c r="E30" s="599"/>
      <c r="F30" s="599"/>
      <c r="G30" s="1040"/>
      <c r="H30" s="306"/>
    </row>
    <row r="31" spans="1:8" ht="12.75" customHeight="1" x14ac:dyDescent="0.2">
      <c r="A31" s="33">
        <v>3941</v>
      </c>
      <c r="B31" s="29" t="s">
        <v>383</v>
      </c>
      <c r="C31" s="595">
        <v>943000</v>
      </c>
      <c r="D31" s="595">
        <v>943000</v>
      </c>
      <c r="E31" s="595">
        <v>943000</v>
      </c>
      <c r="F31" s="595">
        <f>943000+30000</f>
        <v>973000</v>
      </c>
      <c r="G31" s="1041">
        <f t="shared" si="0"/>
        <v>1.031813361611877</v>
      </c>
      <c r="H31" s="399" t="s">
        <v>1395</v>
      </c>
    </row>
    <row r="32" spans="1:8" ht="12.75" customHeight="1" x14ac:dyDescent="0.2">
      <c r="A32" s="33">
        <v>3943</v>
      </c>
      <c r="B32" s="29" t="s">
        <v>6</v>
      </c>
      <c r="C32" s="421"/>
      <c r="D32" s="421"/>
      <c r="E32" s="421"/>
      <c r="F32" s="421"/>
      <c r="G32" s="1041"/>
      <c r="H32" s="301" t="s">
        <v>1389</v>
      </c>
    </row>
    <row r="33" spans="1:8" ht="12.75" customHeight="1" x14ac:dyDescent="0.2">
      <c r="A33" s="33"/>
      <c r="B33" s="146" t="s">
        <v>327</v>
      </c>
      <c r="C33" s="596"/>
      <c r="D33" s="596"/>
      <c r="E33" s="596"/>
      <c r="F33" s="596"/>
      <c r="G33" s="1041"/>
      <c r="H33" s="301"/>
    </row>
    <row r="34" spans="1:8" ht="12.75" customHeight="1" x14ac:dyDescent="0.2">
      <c r="A34" s="33"/>
      <c r="B34" s="146" t="s">
        <v>328</v>
      </c>
      <c r="C34" s="596"/>
      <c r="D34" s="596"/>
      <c r="E34" s="596"/>
      <c r="F34" s="596"/>
      <c r="G34" s="1041"/>
      <c r="H34" s="301"/>
    </row>
    <row r="35" spans="1:8" ht="12.75" customHeight="1" thickBot="1" x14ac:dyDescent="0.25">
      <c r="A35" s="33"/>
      <c r="B35" s="146" t="s">
        <v>326</v>
      </c>
      <c r="C35" s="596"/>
      <c r="D35" s="596"/>
      <c r="E35" s="596"/>
      <c r="F35" s="596"/>
      <c r="G35" s="602"/>
      <c r="H35" s="301"/>
    </row>
    <row r="36" spans="1:8" ht="12.75" hidden="1" customHeight="1" thickBot="1" x14ac:dyDescent="0.25">
      <c r="A36" s="33">
        <v>3944</v>
      </c>
      <c r="B36" s="67" t="s">
        <v>1140</v>
      </c>
      <c r="C36" s="598"/>
      <c r="D36" s="598"/>
      <c r="E36" s="598"/>
      <c r="F36" s="598"/>
      <c r="G36" s="602" t="e">
        <f t="shared" si="0"/>
        <v>#DIV/0!</v>
      </c>
      <c r="H36" s="301"/>
    </row>
    <row r="37" spans="1:8" s="12" customFormat="1" ht="12.75" customHeight="1" thickBot="1" x14ac:dyDescent="0.25">
      <c r="A37" s="49">
        <v>3940</v>
      </c>
      <c r="B37" s="30" t="s">
        <v>140</v>
      </c>
      <c r="C37" s="420">
        <f>SUM(C31:C32)+C36</f>
        <v>943000</v>
      </c>
      <c r="D37" s="420">
        <f>SUM(D31:D32)+D36</f>
        <v>943000</v>
      </c>
      <c r="E37" s="420">
        <f>SUM(E31:E32)+E36</f>
        <v>943000</v>
      </c>
      <c r="F37" s="420">
        <f>SUM(F31:F32)+F36</f>
        <v>973000</v>
      </c>
      <c r="G37" s="1097">
        <f t="shared" si="0"/>
        <v>1.031813361611877</v>
      </c>
      <c r="H37" s="307"/>
    </row>
    <row r="38" spans="1:8" s="12" customFormat="1" ht="12.75" customHeight="1" x14ac:dyDescent="0.2">
      <c r="A38" s="154"/>
      <c r="B38" s="155" t="s">
        <v>38</v>
      </c>
      <c r="C38" s="600"/>
      <c r="D38" s="600"/>
      <c r="E38" s="600"/>
      <c r="F38" s="600"/>
      <c r="G38" s="1041"/>
      <c r="H38" s="308"/>
    </row>
    <row r="39" spans="1:8" s="12" customFormat="1" ht="12.75" customHeight="1" x14ac:dyDescent="0.2">
      <c r="A39" s="50">
        <v>3961</v>
      </c>
      <c r="B39" s="64" t="s">
        <v>330</v>
      </c>
      <c r="C39" s="802"/>
      <c r="D39" s="802">
        <v>313826</v>
      </c>
      <c r="E39" s="802">
        <v>313826</v>
      </c>
      <c r="F39" s="802">
        <v>313826</v>
      </c>
      <c r="G39" s="1041">
        <f t="shared" si="0"/>
        <v>1</v>
      </c>
      <c r="H39" s="323"/>
    </row>
    <row r="40" spans="1:8" s="12" customFormat="1" ht="12.75" customHeight="1" x14ac:dyDescent="0.2">
      <c r="A40" s="50">
        <v>3972</v>
      </c>
      <c r="B40" s="64" t="s">
        <v>982</v>
      </c>
      <c r="C40" s="802">
        <v>45000</v>
      </c>
      <c r="D40" s="802">
        <f>45000+1475</f>
        <v>46475</v>
      </c>
      <c r="E40" s="802">
        <f>E41+E42+E43</f>
        <v>46475</v>
      </c>
      <c r="F40" s="802">
        <f>F41+F42+F43</f>
        <v>46475</v>
      </c>
      <c r="G40" s="1041">
        <f t="shared" si="0"/>
        <v>1</v>
      </c>
      <c r="H40" s="300" t="s">
        <v>1400</v>
      </c>
    </row>
    <row r="41" spans="1:8" s="12" customFormat="1" ht="12.75" customHeight="1" x14ac:dyDescent="0.2">
      <c r="A41" s="50"/>
      <c r="B41" s="146" t="s">
        <v>254</v>
      </c>
      <c r="C41" s="802"/>
      <c r="D41" s="802"/>
      <c r="E41" s="802">
        <v>50</v>
      </c>
      <c r="F41" s="802">
        <v>50</v>
      </c>
      <c r="G41" s="1041">
        <f t="shared" si="0"/>
        <v>1</v>
      </c>
      <c r="H41" s="300"/>
    </row>
    <row r="42" spans="1:8" s="12" customFormat="1" ht="12.75" customHeight="1" x14ac:dyDescent="0.2">
      <c r="A42" s="50"/>
      <c r="B42" s="417" t="s">
        <v>78</v>
      </c>
      <c r="C42" s="802"/>
      <c r="D42" s="802"/>
      <c r="E42" s="803">
        <f>46475-550</f>
        <v>45925</v>
      </c>
      <c r="F42" s="803">
        <f>46475-550</f>
        <v>45925</v>
      </c>
      <c r="G42" s="1041">
        <f t="shared" si="0"/>
        <v>1</v>
      </c>
      <c r="H42" s="300"/>
    </row>
    <row r="43" spans="1:8" s="12" customFormat="1" ht="12.75" customHeight="1" x14ac:dyDescent="0.2">
      <c r="A43" s="50"/>
      <c r="B43" s="1122" t="s">
        <v>1340</v>
      </c>
      <c r="C43" s="802"/>
      <c r="D43" s="802"/>
      <c r="E43" s="802">
        <v>500</v>
      </c>
      <c r="F43" s="802">
        <v>500</v>
      </c>
      <c r="G43" s="1041">
        <f t="shared" si="0"/>
        <v>1</v>
      </c>
      <c r="H43" s="300"/>
    </row>
    <row r="44" spans="1:8" s="12" customFormat="1" ht="12.75" customHeight="1" x14ac:dyDescent="0.2">
      <c r="A44" s="50">
        <v>3973</v>
      </c>
      <c r="B44" s="64" t="s">
        <v>997</v>
      </c>
      <c r="C44" s="802">
        <f>SUM(C45:C46)</f>
        <v>5100</v>
      </c>
      <c r="D44" s="802">
        <f>SUM(D45:D46)</f>
        <v>5929</v>
      </c>
      <c r="E44" s="802">
        <f>SUM(E45:E46)</f>
        <v>5929</v>
      </c>
      <c r="F44" s="802">
        <f>SUM(F45:F47)</f>
        <v>5929</v>
      </c>
      <c r="G44" s="1041">
        <f t="shared" si="0"/>
        <v>1</v>
      </c>
      <c r="H44" s="608"/>
    </row>
    <row r="45" spans="1:8" s="12" customFormat="1" ht="12.75" customHeight="1" x14ac:dyDescent="0.2">
      <c r="A45" s="50"/>
      <c r="B45" s="146" t="s">
        <v>327</v>
      </c>
      <c r="C45" s="803">
        <v>4513</v>
      </c>
      <c r="D45" s="803">
        <f>4513+676</f>
        <v>5189</v>
      </c>
      <c r="E45" s="803">
        <f>4513+676</f>
        <v>5189</v>
      </c>
      <c r="F45" s="803">
        <f>5189-3</f>
        <v>5186</v>
      </c>
      <c r="G45" s="1041">
        <f t="shared" si="0"/>
        <v>0.99942185392175753</v>
      </c>
      <c r="H45" s="608"/>
    </row>
    <row r="46" spans="1:8" s="12" customFormat="1" ht="12.75" customHeight="1" x14ac:dyDescent="0.2">
      <c r="A46" s="50"/>
      <c r="B46" s="146" t="s">
        <v>328</v>
      </c>
      <c r="C46" s="803">
        <v>587</v>
      </c>
      <c r="D46" s="803">
        <f>587+153</f>
        <v>740</v>
      </c>
      <c r="E46" s="803">
        <f>587+153</f>
        <v>740</v>
      </c>
      <c r="F46" s="803">
        <f>587+153</f>
        <v>740</v>
      </c>
      <c r="G46" s="1041">
        <f t="shared" si="0"/>
        <v>1</v>
      </c>
      <c r="H46" s="608"/>
    </row>
    <row r="47" spans="1:8" s="12" customFormat="1" ht="12.75" customHeight="1" x14ac:dyDescent="0.2">
      <c r="A47" s="50"/>
      <c r="B47" s="146" t="s">
        <v>254</v>
      </c>
      <c r="C47" s="803"/>
      <c r="D47" s="803"/>
      <c r="E47" s="803"/>
      <c r="F47" s="803">
        <v>3</v>
      </c>
      <c r="G47" s="1041"/>
      <c r="H47" s="608"/>
    </row>
    <row r="48" spans="1:8" s="12" customFormat="1" ht="12.75" customHeight="1" thickBot="1" x14ac:dyDescent="0.25">
      <c r="A48" s="50">
        <v>3975</v>
      </c>
      <c r="B48" s="64" t="s">
        <v>1041</v>
      </c>
      <c r="C48" s="601">
        <v>10000</v>
      </c>
      <c r="D48" s="601">
        <v>10000</v>
      </c>
      <c r="E48" s="601">
        <v>10000</v>
      </c>
      <c r="F48" s="601">
        <v>10000</v>
      </c>
      <c r="G48" s="1041">
        <f t="shared" si="0"/>
        <v>1</v>
      </c>
      <c r="H48" s="300"/>
    </row>
    <row r="49" spans="1:8" s="12" customFormat="1" ht="12.75" customHeight="1" thickBot="1" x14ac:dyDescent="0.25">
      <c r="A49" s="156">
        <v>3970</v>
      </c>
      <c r="B49" s="157" t="s">
        <v>122</v>
      </c>
      <c r="C49" s="422">
        <f>C39+C40+C44+C48</f>
        <v>60100</v>
      </c>
      <c r="D49" s="422">
        <f>D39+D40+D44+D48</f>
        <v>376230</v>
      </c>
      <c r="E49" s="422">
        <f>E39+E40+E44+E48</f>
        <v>376230</v>
      </c>
      <c r="F49" s="422">
        <f>F39+F40+F44+F48</f>
        <v>376230</v>
      </c>
      <c r="G49" s="1097">
        <f t="shared" si="0"/>
        <v>1</v>
      </c>
      <c r="H49" s="307"/>
    </row>
    <row r="50" spans="1:8" s="12" customFormat="1" ht="12.75" customHeight="1" x14ac:dyDescent="0.2">
      <c r="A50" s="158"/>
      <c r="B50" s="159" t="s">
        <v>218</v>
      </c>
      <c r="C50" s="600"/>
      <c r="D50" s="600"/>
      <c r="E50" s="600"/>
      <c r="F50" s="600"/>
      <c r="G50" s="1040"/>
      <c r="H50" s="299"/>
    </row>
    <row r="51" spans="1:8" s="12" customFormat="1" ht="12.75" customHeight="1" x14ac:dyDescent="0.2">
      <c r="A51" s="50">
        <v>3989</v>
      </c>
      <c r="B51" s="64" t="s">
        <v>303</v>
      </c>
      <c r="C51" s="338">
        <v>6000</v>
      </c>
      <c r="D51" s="338">
        <v>6000</v>
      </c>
      <c r="E51" s="338">
        <v>6000</v>
      </c>
      <c r="F51" s="338">
        <v>6000</v>
      </c>
      <c r="G51" s="1041">
        <f t="shared" si="0"/>
        <v>1</v>
      </c>
      <c r="H51" s="300" t="s">
        <v>1387</v>
      </c>
    </row>
    <row r="52" spans="1:8" s="12" customFormat="1" ht="12.75" customHeight="1" x14ac:dyDescent="0.2">
      <c r="A52" s="50">
        <v>3987</v>
      </c>
      <c r="B52" s="67" t="s">
        <v>1360</v>
      </c>
      <c r="C52" s="71"/>
      <c r="D52" s="71"/>
      <c r="E52" s="71"/>
      <c r="F52" s="71">
        <v>225</v>
      </c>
      <c r="G52" s="1136"/>
      <c r="H52" s="300"/>
    </row>
    <row r="53" spans="1:8" s="12" customFormat="1" ht="12.75" customHeight="1" x14ac:dyDescent="0.2">
      <c r="A53" s="50">
        <v>3988</v>
      </c>
      <c r="B53" s="67" t="s">
        <v>1361</v>
      </c>
      <c r="C53" s="71"/>
      <c r="D53" s="71"/>
      <c r="E53" s="71"/>
      <c r="F53" s="71">
        <v>225</v>
      </c>
      <c r="G53" s="1136"/>
      <c r="H53" s="300"/>
    </row>
    <row r="54" spans="1:8" s="12" customFormat="1" ht="12.75" customHeight="1" x14ac:dyDescent="0.2">
      <c r="A54" s="51">
        <v>3990</v>
      </c>
      <c r="B54" s="67" t="s">
        <v>261</v>
      </c>
      <c r="C54" s="198">
        <v>1000</v>
      </c>
      <c r="D54" s="198">
        <v>1000</v>
      </c>
      <c r="E54" s="198">
        <v>1000</v>
      </c>
      <c r="F54" s="198">
        <v>1000</v>
      </c>
      <c r="G54" s="1136">
        <f t="shared" si="0"/>
        <v>1</v>
      </c>
      <c r="H54" s="309"/>
    </row>
    <row r="55" spans="1:8" s="12" customFormat="1" ht="12.75" customHeight="1" x14ac:dyDescent="0.2">
      <c r="A55" s="51">
        <v>3991</v>
      </c>
      <c r="B55" s="67" t="s">
        <v>300</v>
      </c>
      <c r="C55" s="337">
        <v>4820</v>
      </c>
      <c r="D55" s="337">
        <v>4820</v>
      </c>
      <c r="E55" s="337">
        <v>4820</v>
      </c>
      <c r="F55" s="337">
        <v>4820</v>
      </c>
      <c r="G55" s="1041">
        <f t="shared" si="0"/>
        <v>1</v>
      </c>
      <c r="H55" s="309"/>
    </row>
    <row r="56" spans="1:8" s="12" customFormat="1" ht="12.75" customHeight="1" x14ac:dyDescent="0.2">
      <c r="A56" s="51">
        <v>3992</v>
      </c>
      <c r="B56" s="67" t="s">
        <v>262</v>
      </c>
      <c r="C56" s="337">
        <v>1400</v>
      </c>
      <c r="D56" s="337">
        <v>1400</v>
      </c>
      <c r="E56" s="337">
        <v>1400</v>
      </c>
      <c r="F56" s="337">
        <v>1400</v>
      </c>
      <c r="G56" s="1041">
        <f t="shared" si="0"/>
        <v>1</v>
      </c>
      <c r="H56" s="309"/>
    </row>
    <row r="57" spans="1:8" s="12" customFormat="1" ht="12.75" customHeight="1" x14ac:dyDescent="0.2">
      <c r="A57" s="51">
        <v>3993</v>
      </c>
      <c r="B57" s="67" t="s">
        <v>263</v>
      </c>
      <c r="C57" s="337">
        <v>900</v>
      </c>
      <c r="D57" s="337">
        <v>900</v>
      </c>
      <c r="E57" s="337">
        <v>900</v>
      </c>
      <c r="F57" s="337">
        <v>900</v>
      </c>
      <c r="G57" s="1041">
        <f t="shared" si="0"/>
        <v>1</v>
      </c>
      <c r="H57" s="309"/>
    </row>
    <row r="58" spans="1:8" s="12" customFormat="1" ht="12.75" customHeight="1" x14ac:dyDescent="0.2">
      <c r="A58" s="51">
        <v>3994</v>
      </c>
      <c r="B58" s="67" t="s">
        <v>80</v>
      </c>
      <c r="C58" s="337">
        <v>900</v>
      </c>
      <c r="D58" s="337">
        <v>900</v>
      </c>
      <c r="E58" s="337">
        <v>900</v>
      </c>
      <c r="F58" s="337">
        <v>900</v>
      </c>
      <c r="G58" s="1041">
        <f t="shared" si="0"/>
        <v>1</v>
      </c>
      <c r="H58" s="335"/>
    </row>
    <row r="59" spans="1:8" s="12" customFormat="1" ht="12.75" customHeight="1" x14ac:dyDescent="0.2">
      <c r="A59" s="51">
        <v>3995</v>
      </c>
      <c r="B59" s="67" t="s">
        <v>81</v>
      </c>
      <c r="C59" s="337">
        <v>900</v>
      </c>
      <c r="D59" s="337">
        <v>900</v>
      </c>
      <c r="E59" s="337">
        <v>900</v>
      </c>
      <c r="F59" s="337">
        <v>900</v>
      </c>
      <c r="G59" s="1041">
        <f t="shared" si="0"/>
        <v>1</v>
      </c>
      <c r="H59" s="335"/>
    </row>
    <row r="60" spans="1:8" s="12" customFormat="1" ht="12.75" customHeight="1" x14ac:dyDescent="0.2">
      <c r="A60" s="51">
        <v>3997</v>
      </c>
      <c r="B60" s="67" t="s">
        <v>82</v>
      </c>
      <c r="C60" s="337">
        <v>900</v>
      </c>
      <c r="D60" s="337">
        <v>900</v>
      </c>
      <c r="E60" s="337">
        <v>900</v>
      </c>
      <c r="F60" s="337">
        <v>900</v>
      </c>
      <c r="G60" s="1041">
        <f t="shared" si="0"/>
        <v>1</v>
      </c>
      <c r="H60" s="309"/>
    </row>
    <row r="61" spans="1:8" s="12" customFormat="1" ht="12.75" customHeight="1" x14ac:dyDescent="0.2">
      <c r="A61" s="51">
        <v>3998</v>
      </c>
      <c r="B61" s="67" t="s">
        <v>83</v>
      </c>
      <c r="C61" s="337">
        <v>900</v>
      </c>
      <c r="D61" s="337">
        <v>900</v>
      </c>
      <c r="E61" s="337">
        <v>900</v>
      </c>
      <c r="F61" s="337">
        <v>900</v>
      </c>
      <c r="G61" s="1041">
        <f t="shared" si="0"/>
        <v>1</v>
      </c>
      <c r="H61" s="309"/>
    </row>
    <row r="62" spans="1:8" s="12" customFormat="1" ht="12.75" customHeight="1" thickBot="1" x14ac:dyDescent="0.25">
      <c r="A62" s="81">
        <v>3999</v>
      </c>
      <c r="B62" s="67" t="s">
        <v>84</v>
      </c>
      <c r="C62" s="337">
        <v>1000</v>
      </c>
      <c r="D62" s="337">
        <v>1000</v>
      </c>
      <c r="E62" s="337">
        <v>1000</v>
      </c>
      <c r="F62" s="337">
        <v>1000</v>
      </c>
      <c r="G62" s="602">
        <f t="shared" si="0"/>
        <v>1</v>
      </c>
      <c r="H62" s="309"/>
    </row>
    <row r="63" spans="1:8" s="12" customFormat="1" ht="12.75" customHeight="1" thickBot="1" x14ac:dyDescent="0.25">
      <c r="A63" s="49"/>
      <c r="B63" s="30" t="s">
        <v>122</v>
      </c>
      <c r="C63" s="420">
        <f>SUM(C51:C62)</f>
        <v>18720</v>
      </c>
      <c r="D63" s="420">
        <f>SUM(D51:D62)</f>
        <v>18720</v>
      </c>
      <c r="E63" s="420">
        <f>SUM(E51:E62)</f>
        <v>18720</v>
      </c>
      <c r="F63" s="420">
        <f>SUM(F51:F62)</f>
        <v>19170</v>
      </c>
      <c r="G63" s="1098">
        <f t="shared" si="0"/>
        <v>1.0240384615384615</v>
      </c>
      <c r="H63" s="307"/>
    </row>
    <row r="64" spans="1:8" s="12" customFormat="1" ht="12.75" customHeight="1" thickBot="1" x14ac:dyDescent="0.25">
      <c r="A64" s="49">
        <v>3900</v>
      </c>
      <c r="B64" s="30" t="s">
        <v>116</v>
      </c>
      <c r="C64" s="539">
        <f>C37+C23+C11+C29+C49+C63</f>
        <v>1470867</v>
      </c>
      <c r="D64" s="539">
        <f>D37+D23+D11+D29+D49+D63</f>
        <v>1992077</v>
      </c>
      <c r="E64" s="539">
        <f>E37+E23+E11+E29+E49+E63</f>
        <v>2009304</v>
      </c>
      <c r="F64" s="539">
        <f>F37+F23+F11+F29+F49+F63</f>
        <v>2041754</v>
      </c>
      <c r="G64" s="1098">
        <f t="shared" si="0"/>
        <v>1.0161498708010337</v>
      </c>
      <c r="H64" s="307"/>
    </row>
    <row r="65" spans="1:8" s="12" customFormat="1" ht="12.75" customHeight="1" x14ac:dyDescent="0.2">
      <c r="A65" s="37"/>
      <c r="B65" s="64" t="s">
        <v>137</v>
      </c>
      <c r="C65" s="337">
        <f t="shared" ref="C65:F66" si="1">SUM(C33)+C45</f>
        <v>4513</v>
      </c>
      <c r="D65" s="337">
        <f t="shared" si="1"/>
        <v>5189</v>
      </c>
      <c r="E65" s="337">
        <f t="shared" si="1"/>
        <v>5189</v>
      </c>
      <c r="F65" s="337">
        <f t="shared" si="1"/>
        <v>5186</v>
      </c>
      <c r="G65" s="1040">
        <f t="shared" si="0"/>
        <v>0.99942185392175753</v>
      </c>
      <c r="H65" s="272"/>
    </row>
    <row r="66" spans="1:8" s="12" customFormat="1" ht="12.75" customHeight="1" x14ac:dyDescent="0.2">
      <c r="A66" s="37"/>
      <c r="B66" s="21" t="s">
        <v>87</v>
      </c>
      <c r="C66" s="337">
        <f t="shared" si="1"/>
        <v>587</v>
      </c>
      <c r="D66" s="337">
        <f t="shared" si="1"/>
        <v>740</v>
      </c>
      <c r="E66" s="337">
        <f t="shared" si="1"/>
        <v>740</v>
      </c>
      <c r="F66" s="337">
        <f t="shared" si="1"/>
        <v>740</v>
      </c>
      <c r="G66" s="1041">
        <f t="shared" si="0"/>
        <v>1</v>
      </c>
      <c r="H66" s="272"/>
    </row>
    <row r="67" spans="1:8" s="12" customFormat="1" ht="12.75" customHeight="1" x14ac:dyDescent="0.2">
      <c r="A67" s="37"/>
      <c r="B67" s="64" t="s">
        <v>248</v>
      </c>
      <c r="C67" s="337">
        <f>SUM(C20)</f>
        <v>12500</v>
      </c>
      <c r="D67" s="337">
        <f>SUM(D20)</f>
        <v>14565</v>
      </c>
      <c r="E67" s="337">
        <f>SUM(E20)+E41</f>
        <v>14615</v>
      </c>
      <c r="F67" s="337">
        <f>SUM(F20)+F41+F47</f>
        <v>14618</v>
      </c>
      <c r="G67" s="1041">
        <f t="shared" si="0"/>
        <v>1.0002052685596989</v>
      </c>
      <c r="H67" s="272"/>
    </row>
    <row r="68" spans="1:8" s="12" customFormat="1" ht="12.75" customHeight="1" x14ac:dyDescent="0.2">
      <c r="A68" s="36"/>
      <c r="B68" s="21" t="s">
        <v>246</v>
      </c>
      <c r="C68" s="421">
        <f>SUM(C11+C23+C29+C37+C49+C63)-C72-C65-C66-C67-C71</f>
        <v>1237474</v>
      </c>
      <c r="D68" s="421">
        <f>SUM(D11+D23+D29+D37+D49+D63)-D72-D65-D66-D67-D71</f>
        <v>1554775</v>
      </c>
      <c r="E68" s="421">
        <f>SUM(E11+E23+E29+E37+E49+E63)-E72-E65-E66-E67-E71</f>
        <v>1554225</v>
      </c>
      <c r="F68" s="421">
        <f>SUM(F11+F23+F29+F37+F49+F63)-F72-F65-F66-F67-F71</f>
        <v>1584675</v>
      </c>
      <c r="G68" s="1041">
        <f t="shared" si="0"/>
        <v>1.0195917579501037</v>
      </c>
      <c r="H68" s="272"/>
    </row>
    <row r="69" spans="1:8" s="12" customFormat="1" ht="12.75" customHeight="1" x14ac:dyDescent="0.2">
      <c r="A69" s="36"/>
      <c r="B69" s="417" t="s">
        <v>449</v>
      </c>
      <c r="C69" s="402">
        <f>C14+C16+C25+C26+C63</f>
        <v>46720</v>
      </c>
      <c r="D69" s="402">
        <f>D14+D16+D25+D26+D63</f>
        <v>48420</v>
      </c>
      <c r="E69" s="402">
        <f>E14+E16+E25+E26+E63</f>
        <v>48420</v>
      </c>
      <c r="F69" s="402">
        <f>F14+F16+F25+F26+F63</f>
        <v>48870</v>
      </c>
      <c r="G69" s="1041">
        <f t="shared" si="0"/>
        <v>1.0092936802973977</v>
      </c>
      <c r="H69" s="272"/>
    </row>
    <row r="70" spans="1:8" s="12" customFormat="1" ht="12.75" customHeight="1" x14ac:dyDescent="0.2">
      <c r="A70" s="36"/>
      <c r="B70" s="417" t="s">
        <v>450</v>
      </c>
      <c r="C70" s="402">
        <f>C68-C69</f>
        <v>1190754</v>
      </c>
      <c r="D70" s="402">
        <f>D68-D69</f>
        <v>1506355</v>
      </c>
      <c r="E70" s="402">
        <f>E68-E69</f>
        <v>1505805</v>
      </c>
      <c r="F70" s="402">
        <f>F68-F69</f>
        <v>1535805</v>
      </c>
      <c r="G70" s="1041">
        <f t="shared" si="0"/>
        <v>1.0199228983832569</v>
      </c>
      <c r="H70" s="272"/>
    </row>
    <row r="71" spans="1:8" s="12" customFormat="1" ht="12.75" customHeight="1" x14ac:dyDescent="0.2">
      <c r="A71" s="36"/>
      <c r="B71" s="21" t="s">
        <v>13</v>
      </c>
      <c r="C71" s="421">
        <f>SUM(C21)</f>
        <v>8500</v>
      </c>
      <c r="D71" s="421">
        <f>SUM(D21)</f>
        <v>8500</v>
      </c>
      <c r="E71" s="421">
        <f>SUM(E21)</f>
        <v>8500</v>
      </c>
      <c r="F71" s="421">
        <f>SUM(F21)</f>
        <v>8000</v>
      </c>
      <c r="G71" s="1041">
        <f t="shared" si="0"/>
        <v>0.94117647058823528</v>
      </c>
      <c r="H71" s="272"/>
    </row>
    <row r="72" spans="1:8" s="12" customFormat="1" ht="12.75" customHeight="1" thickBot="1" x14ac:dyDescent="0.25">
      <c r="A72" s="36"/>
      <c r="B72" s="71" t="s">
        <v>448</v>
      </c>
      <c r="C72" s="421">
        <f>SUM(C10+C22+C35+C16+C17)</f>
        <v>207293</v>
      </c>
      <c r="D72" s="421">
        <f>SUM(D10+D22+D35+D16+D17)</f>
        <v>408308</v>
      </c>
      <c r="E72" s="421">
        <f>SUM(E10+E22+E35+E16+E17)+E43</f>
        <v>426035</v>
      </c>
      <c r="F72" s="421">
        <f>SUM(F10+F22+F35+F16+F17)+F43</f>
        <v>428535</v>
      </c>
      <c r="G72" s="1041">
        <f t="shared" si="0"/>
        <v>1.0058680624831293</v>
      </c>
      <c r="H72" s="272"/>
    </row>
    <row r="73" spans="1:8" s="12" customFormat="1" ht="12.75" customHeight="1" thickBot="1" x14ac:dyDescent="0.25">
      <c r="A73" s="1042"/>
      <c r="B73" s="1043" t="s">
        <v>401</v>
      </c>
      <c r="C73" s="393">
        <f>SUM(C11+C23+C29+C37+C49+C63)</f>
        <v>1470867</v>
      </c>
      <c r="D73" s="393">
        <f>SUM(D11+D23+D29+D37+D49+D63)</f>
        <v>1992077</v>
      </c>
      <c r="E73" s="393">
        <f>SUM(E11+E23+E29+E37+E49+E63)</f>
        <v>2009304</v>
      </c>
      <c r="F73" s="393">
        <f>SUM(F11+F23+F29+F37+F49+F63)</f>
        <v>2041754</v>
      </c>
      <c r="G73" s="1097">
        <f t="shared" si="0"/>
        <v>1.0161498708010337</v>
      </c>
      <c r="H73" s="307"/>
    </row>
    <row r="74" spans="1:8" ht="12.95" customHeight="1" x14ac:dyDescent="0.2">
      <c r="A74" s="32"/>
      <c r="B74" s="28"/>
      <c r="C74" s="16"/>
      <c r="D74" s="16"/>
      <c r="E74" s="16"/>
      <c r="F74" s="16"/>
      <c r="G74" s="16"/>
      <c r="H74" s="28"/>
    </row>
    <row r="75" spans="1:8" ht="12.95" customHeight="1" x14ac:dyDescent="0.2">
      <c r="A75" s="45"/>
    </row>
  </sheetData>
  <mergeCells count="7">
    <mergeCell ref="A3:H3"/>
    <mergeCell ref="A2:H2"/>
    <mergeCell ref="G5:G7"/>
    <mergeCell ref="C5:C7"/>
    <mergeCell ref="D5:D7"/>
    <mergeCell ref="E5:E7"/>
    <mergeCell ref="F5:F7"/>
  </mergeCells>
  <phoneticPr fontId="0" type="noConversion"/>
  <printOptions horizontalCentered="1"/>
  <pageMargins left="0" right="0" top="0.39370078740157483" bottom="0.39370078740157483" header="0.59055118110236227" footer="0"/>
  <pageSetup paperSize="9" scale="56" firstPageNumber="39" orientation="landscape" useFirstPageNumber="1" horizontalDpi="300" verticalDpi="300" r:id="rId1"/>
  <headerFooter alignWithMargins="0">
    <oddFooter>&amp;P. oldal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07"/>
  <sheetViews>
    <sheetView zoomScaleNormal="100" workbookViewId="0">
      <selection activeCell="H34" sqref="H34"/>
    </sheetView>
  </sheetViews>
  <sheetFormatPr defaultColWidth="9.140625" defaultRowHeight="12.95" customHeight="1" x14ac:dyDescent="0.2"/>
  <cols>
    <col min="1" max="1" width="5.85546875" style="32" customWidth="1"/>
    <col min="2" max="2" width="66.140625" style="28" customWidth="1"/>
    <col min="3" max="6" width="13.28515625" style="693" customWidth="1"/>
    <col min="7" max="7" width="9.5703125" style="693" customWidth="1"/>
    <col min="8" max="8" width="52.140625" style="28" customWidth="1"/>
    <col min="9" max="10" width="9.140625" style="28"/>
    <col min="11" max="11" width="11.28515625" style="28" customWidth="1"/>
    <col min="12" max="16384" width="9.140625" style="28"/>
  </cols>
  <sheetData>
    <row r="1" spans="1:8" s="15" customFormat="1" ht="12.95" customHeight="1" x14ac:dyDescent="0.2">
      <c r="A1" s="1182" t="s">
        <v>117</v>
      </c>
      <c r="B1" s="1183"/>
      <c r="C1" s="1183"/>
      <c r="D1" s="1183"/>
      <c r="E1" s="1183"/>
      <c r="F1" s="1183"/>
      <c r="G1" s="1183"/>
      <c r="H1" s="1183"/>
    </row>
    <row r="2" spans="1:8" s="15" customFormat="1" ht="12.95" customHeight="1" x14ac:dyDescent="0.2">
      <c r="A2" s="1182" t="s">
        <v>1183</v>
      </c>
      <c r="B2" s="1183"/>
      <c r="C2" s="1183"/>
      <c r="D2" s="1183"/>
      <c r="E2" s="1183"/>
      <c r="F2" s="1183"/>
      <c r="G2" s="1183"/>
      <c r="H2" s="1183"/>
    </row>
    <row r="3" spans="1:8" ht="10.5" customHeight="1" x14ac:dyDescent="0.2">
      <c r="C3" s="258"/>
      <c r="D3" s="258"/>
      <c r="E3" s="258"/>
      <c r="F3" s="258"/>
      <c r="G3" s="258"/>
      <c r="H3" s="259" t="s">
        <v>146</v>
      </c>
    </row>
    <row r="4" spans="1:8" ht="12.95" customHeight="1" x14ac:dyDescent="0.2">
      <c r="A4" s="256"/>
      <c r="B4" s="260"/>
      <c r="C4" s="1140" t="s">
        <v>1252</v>
      </c>
      <c r="D4" s="1140" t="s">
        <v>1337</v>
      </c>
      <c r="E4" s="1140" t="s">
        <v>1355</v>
      </c>
      <c r="F4" s="1140" t="s">
        <v>1357</v>
      </c>
      <c r="G4" s="1140" t="s">
        <v>1359</v>
      </c>
      <c r="H4" s="261"/>
    </row>
    <row r="5" spans="1:8" ht="12" customHeight="1" x14ac:dyDescent="0.2">
      <c r="A5" s="37" t="s">
        <v>234</v>
      </c>
      <c r="B5" s="262" t="s">
        <v>114</v>
      </c>
      <c r="C5" s="1184"/>
      <c r="D5" s="1184"/>
      <c r="E5" s="1184"/>
      <c r="F5" s="1162"/>
      <c r="G5" s="1186"/>
      <c r="H5" s="1" t="s">
        <v>463</v>
      </c>
    </row>
    <row r="6" spans="1:8" ht="12.75" customHeight="1" thickBot="1" x14ac:dyDescent="0.25">
      <c r="A6" s="263"/>
      <c r="B6" s="264"/>
      <c r="C6" s="1161"/>
      <c r="D6" s="1161"/>
      <c r="E6" s="1161"/>
      <c r="F6" s="1163"/>
      <c r="G6" s="1187"/>
      <c r="H6" s="247" t="s">
        <v>115</v>
      </c>
    </row>
    <row r="7" spans="1:8" ht="12.95" customHeight="1" x14ac:dyDescent="0.2">
      <c r="A7" s="265" t="s">
        <v>131</v>
      </c>
      <c r="B7" s="239" t="s">
        <v>132</v>
      </c>
      <c r="C7" s="266" t="s">
        <v>133</v>
      </c>
      <c r="D7" s="266" t="s">
        <v>454</v>
      </c>
      <c r="E7" s="266" t="s">
        <v>455</v>
      </c>
      <c r="F7" s="266" t="s">
        <v>469</v>
      </c>
      <c r="G7" s="266" t="s">
        <v>520</v>
      </c>
      <c r="H7" s="266" t="s">
        <v>410</v>
      </c>
    </row>
    <row r="8" spans="1:8" ht="16.5" customHeight="1" x14ac:dyDescent="0.2">
      <c r="A8" s="255"/>
      <c r="B8" s="267" t="s">
        <v>224</v>
      </c>
      <c r="C8" s="3"/>
      <c r="D8" s="3"/>
      <c r="E8" s="3"/>
      <c r="F8" s="3"/>
      <c r="G8" s="3"/>
      <c r="H8" s="268"/>
    </row>
    <row r="9" spans="1:8" ht="12" x14ac:dyDescent="0.2">
      <c r="A9" s="37"/>
      <c r="B9" s="269" t="s">
        <v>216</v>
      </c>
      <c r="C9" s="270"/>
      <c r="D9" s="270"/>
      <c r="E9" s="270"/>
      <c r="F9" s="270"/>
      <c r="G9" s="270"/>
      <c r="H9" s="29"/>
    </row>
    <row r="10" spans="1:8" ht="12" x14ac:dyDescent="0.2">
      <c r="A10" s="276">
        <v>4010</v>
      </c>
      <c r="B10" s="318" t="s">
        <v>1279</v>
      </c>
      <c r="C10" s="686"/>
      <c r="D10" s="686">
        <v>0</v>
      </c>
      <c r="E10" s="686">
        <v>0</v>
      </c>
      <c r="F10" s="686">
        <v>0</v>
      </c>
      <c r="G10" s="686"/>
      <c r="H10" s="29"/>
    </row>
    <row r="11" spans="1:8" ht="12" x14ac:dyDescent="0.2">
      <c r="A11" s="276">
        <v>4012</v>
      </c>
      <c r="B11" s="318" t="s">
        <v>404</v>
      </c>
      <c r="C11" s="686">
        <f>250000-200000</f>
        <v>50000</v>
      </c>
      <c r="D11" s="686">
        <f>50000+6947</f>
        <v>56947</v>
      </c>
      <c r="E11" s="686">
        <f>50000+6947</f>
        <v>56947</v>
      </c>
      <c r="F11" s="686">
        <f>F12+F13</f>
        <v>56947</v>
      </c>
      <c r="G11" s="199">
        <f>F11/E11</f>
        <v>1</v>
      </c>
      <c r="H11" s="33" t="s">
        <v>1380</v>
      </c>
    </row>
    <row r="12" spans="1:8" ht="12" x14ac:dyDescent="0.2">
      <c r="A12" s="276"/>
      <c r="B12" s="146" t="s">
        <v>254</v>
      </c>
      <c r="C12" s="686"/>
      <c r="D12" s="686"/>
      <c r="E12" s="686"/>
      <c r="F12" s="687">
        <v>100</v>
      </c>
      <c r="G12" s="199"/>
      <c r="H12" s="33"/>
    </row>
    <row r="13" spans="1:8" ht="12" x14ac:dyDescent="0.2">
      <c r="A13" s="276"/>
      <c r="B13" s="146" t="s">
        <v>409</v>
      </c>
      <c r="C13" s="686"/>
      <c r="D13" s="686"/>
      <c r="E13" s="686"/>
      <c r="F13" s="687">
        <v>56847</v>
      </c>
      <c r="G13" s="199"/>
      <c r="H13" s="33"/>
    </row>
    <row r="14" spans="1:8" ht="12" x14ac:dyDescent="0.2">
      <c r="A14" s="276">
        <v>4013</v>
      </c>
      <c r="B14" s="318" t="s">
        <v>1043</v>
      </c>
      <c r="C14" s="686"/>
      <c r="D14" s="686">
        <f>D15</f>
        <v>283</v>
      </c>
      <c r="E14" s="686">
        <f>E15</f>
        <v>283</v>
      </c>
      <c r="F14" s="686">
        <f>F15</f>
        <v>283</v>
      </c>
      <c r="G14" s="199">
        <f t="shared" ref="G14:G79" si="0">F14/E14</f>
        <v>1</v>
      </c>
      <c r="H14" s="33"/>
    </row>
    <row r="15" spans="1:8" ht="12" x14ac:dyDescent="0.2">
      <c r="A15" s="276"/>
      <c r="B15" s="146" t="s">
        <v>254</v>
      </c>
      <c r="C15" s="686"/>
      <c r="D15" s="687">
        <v>283</v>
      </c>
      <c r="E15" s="687">
        <v>283</v>
      </c>
      <c r="F15" s="687">
        <v>283</v>
      </c>
      <c r="G15" s="1044">
        <f t="shared" si="0"/>
        <v>1</v>
      </c>
      <c r="H15" s="33"/>
    </row>
    <row r="16" spans="1:8" ht="12" x14ac:dyDescent="0.2">
      <c r="A16" s="51">
        <v>4014</v>
      </c>
      <c r="B16" s="67" t="s">
        <v>403</v>
      </c>
      <c r="C16" s="686">
        <v>124267</v>
      </c>
      <c r="D16" s="686">
        <f>124267+96539</f>
        <v>220806</v>
      </c>
      <c r="E16" s="686">
        <f>124267+96539</f>
        <v>220806</v>
      </c>
      <c r="F16" s="686">
        <f>124267+96539</f>
        <v>220806</v>
      </c>
      <c r="G16" s="199">
        <f t="shared" si="0"/>
        <v>1</v>
      </c>
      <c r="H16" s="331" t="s">
        <v>1396</v>
      </c>
    </row>
    <row r="17" spans="1:8" ht="12" x14ac:dyDescent="0.2">
      <c r="A17" s="51">
        <v>4015</v>
      </c>
      <c r="B17" s="67" t="s">
        <v>1045</v>
      </c>
      <c r="C17" s="686">
        <v>139501</v>
      </c>
      <c r="D17" s="686">
        <v>139501</v>
      </c>
      <c r="E17" s="686">
        <v>139501</v>
      </c>
      <c r="F17" s="686">
        <v>139501</v>
      </c>
      <c r="G17" s="199">
        <f t="shared" si="0"/>
        <v>1</v>
      </c>
      <c r="H17" s="331"/>
    </row>
    <row r="18" spans="1:8" ht="12" x14ac:dyDescent="0.2">
      <c r="A18" s="51">
        <v>4016</v>
      </c>
      <c r="B18" s="67" t="s">
        <v>1242</v>
      </c>
      <c r="C18" s="839">
        <v>10000</v>
      </c>
      <c r="D18" s="839">
        <v>10000</v>
      </c>
      <c r="E18" s="839">
        <v>10000</v>
      </c>
      <c r="F18" s="839">
        <v>10000</v>
      </c>
      <c r="G18" s="199">
        <f t="shared" si="0"/>
        <v>1</v>
      </c>
      <c r="H18" s="301"/>
    </row>
    <row r="19" spans="1:8" ht="12" x14ac:dyDescent="0.2">
      <c r="A19" s="51">
        <v>4018</v>
      </c>
      <c r="B19" s="67" t="s">
        <v>965</v>
      </c>
      <c r="C19" s="839">
        <v>117169</v>
      </c>
      <c r="D19" s="839">
        <f>117169+120000+30000</f>
        <v>267169</v>
      </c>
      <c r="E19" s="839">
        <f>117169+120000+30000</f>
        <v>267169</v>
      </c>
      <c r="F19" s="839">
        <f>117169+120000+30000</f>
        <v>267169</v>
      </c>
      <c r="G19" s="199">
        <f t="shared" si="0"/>
        <v>1</v>
      </c>
      <c r="H19" s="838"/>
    </row>
    <row r="20" spans="1:8" ht="12" x14ac:dyDescent="0.2">
      <c r="A20" s="51">
        <v>4019</v>
      </c>
      <c r="B20" s="67" t="s">
        <v>441</v>
      </c>
      <c r="C20" s="839">
        <f>60000+60000</f>
        <v>120000</v>
      </c>
      <c r="D20" s="839">
        <v>120000</v>
      </c>
      <c r="E20" s="839">
        <v>120000</v>
      </c>
      <c r="F20" s="839">
        <v>120000</v>
      </c>
      <c r="G20" s="199">
        <f t="shared" si="0"/>
        <v>1</v>
      </c>
      <c r="H20" s="838"/>
    </row>
    <row r="21" spans="1:8" ht="12" x14ac:dyDescent="0.2">
      <c r="A21" s="51">
        <v>4020</v>
      </c>
      <c r="B21" s="67" t="s">
        <v>996</v>
      </c>
      <c r="C21" s="839">
        <v>59988</v>
      </c>
      <c r="D21" s="839">
        <f>59988+2000</f>
        <v>61988</v>
      </c>
      <c r="E21" s="839">
        <f>E22+E23+E24</f>
        <v>61988</v>
      </c>
      <c r="F21" s="839">
        <f>F22+F23+F24</f>
        <v>61988</v>
      </c>
      <c r="G21" s="199">
        <f t="shared" si="0"/>
        <v>1</v>
      </c>
      <c r="H21" s="838"/>
    </row>
    <row r="22" spans="1:8" ht="12" x14ac:dyDescent="0.2">
      <c r="A22" s="51"/>
      <c r="B22" s="146" t="s">
        <v>254</v>
      </c>
      <c r="C22" s="1045"/>
      <c r="D22" s="1045"/>
      <c r="E22" s="1045">
        <v>900</v>
      </c>
      <c r="F22" s="1045">
        <v>900</v>
      </c>
      <c r="G22" s="199">
        <f t="shared" si="0"/>
        <v>1</v>
      </c>
      <c r="H22" s="838"/>
    </row>
    <row r="23" spans="1:8" ht="12" x14ac:dyDescent="0.2">
      <c r="A23" s="51"/>
      <c r="B23" s="146" t="s">
        <v>205</v>
      </c>
      <c r="C23" s="839"/>
      <c r="D23" s="1045">
        <v>2000</v>
      </c>
      <c r="E23" s="1045">
        <v>2000</v>
      </c>
      <c r="F23" s="1045">
        <f>2000+140</f>
        <v>2140</v>
      </c>
      <c r="G23" s="1044">
        <f t="shared" si="0"/>
        <v>1.07</v>
      </c>
      <c r="H23" s="838"/>
    </row>
    <row r="24" spans="1:8" ht="12" x14ac:dyDescent="0.2">
      <c r="A24" s="51"/>
      <c r="B24" s="146" t="s">
        <v>409</v>
      </c>
      <c r="C24" s="839"/>
      <c r="D24" s="1045">
        <v>59988</v>
      </c>
      <c r="E24" s="1045">
        <f>59988-900</f>
        <v>59088</v>
      </c>
      <c r="F24" s="1045">
        <f>59088-140</f>
        <v>58948</v>
      </c>
      <c r="G24" s="1044">
        <f t="shared" si="0"/>
        <v>0.9976306525859735</v>
      </c>
      <c r="H24" s="838"/>
    </row>
    <row r="25" spans="1:8" ht="12" x14ac:dyDescent="0.2">
      <c r="A25" s="51">
        <v>4021</v>
      </c>
      <c r="B25" s="67" t="s">
        <v>1010</v>
      </c>
      <c r="C25" s="839">
        <f>25000+25000+13602+30000-50000</f>
        <v>43602</v>
      </c>
      <c r="D25" s="839">
        <f>D27+D28</f>
        <v>110842</v>
      </c>
      <c r="E25" s="839">
        <f>E27+E28</f>
        <v>110842</v>
      </c>
      <c r="F25" s="839">
        <f>F26+F27+F28</f>
        <v>110842</v>
      </c>
      <c r="G25" s="199">
        <f t="shared" si="0"/>
        <v>1</v>
      </c>
      <c r="H25" s="838"/>
    </row>
    <row r="26" spans="1:8" ht="12" x14ac:dyDescent="0.2">
      <c r="A26" s="51"/>
      <c r="B26" s="146" t="s">
        <v>254</v>
      </c>
      <c r="C26" s="839"/>
      <c r="D26" s="839"/>
      <c r="E26" s="839"/>
      <c r="F26" s="1045">
        <v>300</v>
      </c>
      <c r="G26" s="199"/>
      <c r="H26" s="838"/>
    </row>
    <row r="27" spans="1:8" ht="12" x14ac:dyDescent="0.2">
      <c r="A27" s="51"/>
      <c r="B27" s="146" t="s">
        <v>205</v>
      </c>
      <c r="C27" s="839"/>
      <c r="D27" s="1045">
        <v>9376</v>
      </c>
      <c r="E27" s="1045">
        <v>9376</v>
      </c>
      <c r="F27" s="1045">
        <v>9376</v>
      </c>
      <c r="G27" s="1044">
        <f t="shared" si="0"/>
        <v>1</v>
      </c>
      <c r="H27" s="838"/>
    </row>
    <row r="28" spans="1:8" ht="12" x14ac:dyDescent="0.2">
      <c r="A28" s="51"/>
      <c r="B28" s="146" t="s">
        <v>409</v>
      </c>
      <c r="C28" s="839"/>
      <c r="D28" s="1045">
        <f>43602+7864+50000</f>
        <v>101466</v>
      </c>
      <c r="E28" s="1045">
        <f>43602+7864+50000</f>
        <v>101466</v>
      </c>
      <c r="F28" s="1045">
        <f>101466-300</f>
        <v>101166</v>
      </c>
      <c r="G28" s="1044">
        <f t="shared" si="0"/>
        <v>0.99704334456862398</v>
      </c>
      <c r="H28" s="838"/>
    </row>
    <row r="29" spans="1:8" ht="12" x14ac:dyDescent="0.2">
      <c r="A29" s="51">
        <v>4022</v>
      </c>
      <c r="B29" s="273" t="s">
        <v>1146</v>
      </c>
      <c r="C29" s="839">
        <f>30000+30000</f>
        <v>60000</v>
      </c>
      <c r="D29" s="839">
        <f>30000+30000</f>
        <v>60000</v>
      </c>
      <c r="E29" s="839">
        <f>30000+30000</f>
        <v>60000</v>
      </c>
      <c r="F29" s="839">
        <f>30000+30000</f>
        <v>60000</v>
      </c>
      <c r="G29" s="199">
        <f t="shared" si="0"/>
        <v>1</v>
      </c>
      <c r="H29" s="838"/>
    </row>
    <row r="30" spans="1:8" s="15" customFormat="1" ht="12" x14ac:dyDescent="0.2">
      <c r="A30" s="255">
        <v>4010</v>
      </c>
      <c r="B30" s="254" t="s">
        <v>217</v>
      </c>
      <c r="C30" s="840">
        <f>SUM(C11:C29)</f>
        <v>724527</v>
      </c>
      <c r="D30" s="840">
        <f>D10+D11+D14+D16+D17+D18+D19+D20+D21+D25+D29</f>
        <v>1047536</v>
      </c>
      <c r="E30" s="840">
        <f>E10+E11+E14+E16+E17+E18+E19+E20+E21+E25+E29</f>
        <v>1047536</v>
      </c>
      <c r="F30" s="840">
        <f>F10+F11+F14+F16+F17+F18+F19+F20+F21+F25+F29</f>
        <v>1047536</v>
      </c>
      <c r="G30" s="1099">
        <f t="shared" si="0"/>
        <v>1</v>
      </c>
      <c r="H30" s="842"/>
    </row>
    <row r="31" spans="1:8" s="15" customFormat="1" ht="12.75" x14ac:dyDescent="0.2">
      <c r="A31" s="10"/>
      <c r="B31" s="272" t="s">
        <v>221</v>
      </c>
      <c r="C31" s="742"/>
      <c r="D31" s="742"/>
      <c r="E31" s="742"/>
      <c r="F31" s="742"/>
      <c r="G31" s="199"/>
      <c r="H31" s="272"/>
    </row>
    <row r="32" spans="1:8" s="15" customFormat="1" ht="12" x14ac:dyDescent="0.2">
      <c r="A32" s="51">
        <v>4111</v>
      </c>
      <c r="B32" s="67" t="s">
        <v>1110</v>
      </c>
      <c r="C32" s="841"/>
      <c r="D32" s="841"/>
      <c r="E32" s="841"/>
      <c r="F32" s="841"/>
      <c r="G32" s="199"/>
      <c r="H32" s="272"/>
    </row>
    <row r="33" spans="1:10" s="15" customFormat="1" ht="12" x14ac:dyDescent="0.2">
      <c r="A33" s="51">
        <v>4114</v>
      </c>
      <c r="B33" s="273" t="s">
        <v>1093</v>
      </c>
      <c r="C33" s="198">
        <v>33002</v>
      </c>
      <c r="D33" s="198">
        <v>33002</v>
      </c>
      <c r="E33" s="198">
        <v>33002</v>
      </c>
      <c r="F33" s="198">
        <v>33002</v>
      </c>
      <c r="G33" s="199">
        <f t="shared" si="0"/>
        <v>1</v>
      </c>
      <c r="H33" s="33"/>
    </row>
    <row r="34" spans="1:10" ht="12" x14ac:dyDescent="0.2">
      <c r="A34" s="33">
        <v>4121</v>
      </c>
      <c r="B34" s="274" t="s">
        <v>1128</v>
      </c>
      <c r="C34" s="682">
        <f>60000+61563-10000-20000</f>
        <v>91563</v>
      </c>
      <c r="D34" s="682">
        <f>D35+D36+D37</f>
        <v>152279</v>
      </c>
      <c r="E34" s="682">
        <f>E35+E36+E37</f>
        <v>152279</v>
      </c>
      <c r="F34" s="682">
        <f>F35+F36+F37</f>
        <v>152279</v>
      </c>
      <c r="G34" s="199">
        <f t="shared" si="0"/>
        <v>1</v>
      </c>
      <c r="H34" s="331" t="s">
        <v>1396</v>
      </c>
    </row>
    <row r="35" spans="1:10" ht="12" x14ac:dyDescent="0.2">
      <c r="A35" s="33"/>
      <c r="B35" s="146" t="s">
        <v>254</v>
      </c>
      <c r="C35" s="682"/>
      <c r="D35" s="687">
        <v>6397</v>
      </c>
      <c r="E35" s="687">
        <f>6397+2100</f>
        <v>8497</v>
      </c>
      <c r="F35" s="687">
        <f>6397+2100</f>
        <v>8497</v>
      </c>
      <c r="G35" s="1044">
        <f t="shared" si="0"/>
        <v>1</v>
      </c>
      <c r="H35" s="331"/>
    </row>
    <row r="36" spans="1:10" ht="12" x14ac:dyDescent="0.2">
      <c r="A36" s="33"/>
      <c r="B36" s="146" t="s">
        <v>205</v>
      </c>
      <c r="C36" s="682"/>
      <c r="D36" s="687">
        <v>4319</v>
      </c>
      <c r="E36" s="687">
        <f>4319+32000</f>
        <v>36319</v>
      </c>
      <c r="F36" s="687">
        <f>4319+32000</f>
        <v>36319</v>
      </c>
      <c r="G36" s="1044">
        <f t="shared" si="0"/>
        <v>1</v>
      </c>
      <c r="H36" s="331"/>
    </row>
    <row r="37" spans="1:10" ht="12" x14ac:dyDescent="0.2">
      <c r="A37" s="33"/>
      <c r="B37" s="146" t="s">
        <v>409</v>
      </c>
      <c r="C37" s="682"/>
      <c r="D37" s="687">
        <f>91563+50000</f>
        <v>141563</v>
      </c>
      <c r="E37" s="687">
        <f>141563-34100</f>
        <v>107463</v>
      </c>
      <c r="F37" s="687">
        <f>141563-34100</f>
        <v>107463</v>
      </c>
      <c r="G37" s="1044">
        <f t="shared" si="0"/>
        <v>1</v>
      </c>
      <c r="H37" s="331"/>
    </row>
    <row r="38" spans="1:10" ht="13.15" customHeight="1" x14ac:dyDescent="0.2">
      <c r="A38" s="50">
        <v>4122</v>
      </c>
      <c r="B38" s="273" t="s">
        <v>1129</v>
      </c>
      <c r="C38" s="71">
        <v>0</v>
      </c>
      <c r="D38" s="71">
        <v>1371</v>
      </c>
      <c r="E38" s="71">
        <v>1371</v>
      </c>
      <c r="F38" s="71">
        <v>1371</v>
      </c>
      <c r="G38" s="199">
        <f t="shared" si="0"/>
        <v>1</v>
      </c>
      <c r="H38" s="400"/>
    </row>
    <row r="39" spans="1:10" ht="13.15" customHeight="1" x14ac:dyDescent="0.2">
      <c r="A39" s="50">
        <v>4123</v>
      </c>
      <c r="B39" s="273" t="s">
        <v>1126</v>
      </c>
      <c r="C39" s="71">
        <v>0</v>
      </c>
      <c r="D39" s="71">
        <v>0</v>
      </c>
      <c r="E39" s="71">
        <v>0</v>
      </c>
      <c r="F39" s="71">
        <v>0</v>
      </c>
      <c r="G39" s="199"/>
      <c r="H39" s="400"/>
    </row>
    <row r="40" spans="1:10" ht="12" x14ac:dyDescent="0.2">
      <c r="A40" s="50">
        <v>4124</v>
      </c>
      <c r="B40" s="273" t="s">
        <v>1091</v>
      </c>
      <c r="C40" s="71">
        <v>0</v>
      </c>
      <c r="D40" s="71">
        <v>5214</v>
      </c>
      <c r="E40" s="71">
        <v>5214</v>
      </c>
      <c r="F40" s="71">
        <v>5214</v>
      </c>
      <c r="G40" s="199">
        <f t="shared" si="0"/>
        <v>1</v>
      </c>
      <c r="H40" s="400"/>
    </row>
    <row r="41" spans="1:10" ht="12" x14ac:dyDescent="0.2">
      <c r="A41" s="51">
        <v>4125</v>
      </c>
      <c r="B41" s="273" t="s">
        <v>1094</v>
      </c>
      <c r="C41" s="686">
        <v>0</v>
      </c>
      <c r="D41" s="686">
        <v>806163</v>
      </c>
      <c r="E41" s="686">
        <v>806163</v>
      </c>
      <c r="F41" s="686">
        <v>806163</v>
      </c>
      <c r="G41" s="199">
        <f t="shared" si="0"/>
        <v>1</v>
      </c>
      <c r="H41" s="146"/>
      <c r="I41" s="87"/>
      <c r="J41" s="16"/>
    </row>
    <row r="42" spans="1:10" ht="12" x14ac:dyDescent="0.2">
      <c r="A42" s="50">
        <v>4126</v>
      </c>
      <c r="B42" s="273" t="s">
        <v>984</v>
      </c>
      <c r="C42" s="71">
        <v>100000</v>
      </c>
      <c r="D42" s="71">
        <f>100000+64048+50000</f>
        <v>214048</v>
      </c>
      <c r="E42" s="71">
        <f>E43+E44</f>
        <v>214048</v>
      </c>
      <c r="F42" s="71">
        <f>F43+F44</f>
        <v>214048</v>
      </c>
      <c r="G42" s="199">
        <f t="shared" si="0"/>
        <v>1</v>
      </c>
      <c r="H42" s="400"/>
    </row>
    <row r="43" spans="1:10" ht="12" x14ac:dyDescent="0.2">
      <c r="A43" s="253"/>
      <c r="B43" s="146" t="s">
        <v>254</v>
      </c>
      <c r="C43" s="71"/>
      <c r="D43" s="71"/>
      <c r="E43" s="1046">
        <v>5000</v>
      </c>
      <c r="F43" s="1046">
        <f>5000+100</f>
        <v>5100</v>
      </c>
      <c r="G43" s="199">
        <f t="shared" si="0"/>
        <v>1.02</v>
      </c>
      <c r="H43" s="400"/>
    </row>
    <row r="44" spans="1:10" ht="12" x14ac:dyDescent="0.2">
      <c r="A44" s="253"/>
      <c r="B44" s="273" t="s">
        <v>409</v>
      </c>
      <c r="C44" s="71"/>
      <c r="D44" s="71"/>
      <c r="E44" s="1046">
        <v>209048</v>
      </c>
      <c r="F44" s="1046">
        <f>209048-100</f>
        <v>208948</v>
      </c>
      <c r="G44" s="199">
        <f t="shared" si="0"/>
        <v>0.99952164096284102</v>
      </c>
      <c r="H44" s="400"/>
    </row>
    <row r="45" spans="1:10" ht="12" x14ac:dyDescent="0.2">
      <c r="A45" s="253">
        <v>4127</v>
      </c>
      <c r="B45" s="67" t="s">
        <v>991</v>
      </c>
      <c r="C45" s="71">
        <v>0</v>
      </c>
      <c r="D45" s="71">
        <v>50</v>
      </c>
      <c r="E45" s="71">
        <v>50</v>
      </c>
      <c r="F45" s="71">
        <v>50</v>
      </c>
      <c r="G45" s="199">
        <f t="shared" si="0"/>
        <v>1</v>
      </c>
      <c r="H45" s="400"/>
    </row>
    <row r="46" spans="1:10" ht="12" x14ac:dyDescent="0.2">
      <c r="A46" s="253">
        <v>4129</v>
      </c>
      <c r="B46" s="67" t="s">
        <v>1052</v>
      </c>
      <c r="C46" s="71">
        <v>33691</v>
      </c>
      <c r="D46" s="71">
        <f>D47+D48</f>
        <v>37120</v>
      </c>
      <c r="E46" s="71">
        <f>E47+E48</f>
        <v>37120</v>
      </c>
      <c r="F46" s="71">
        <f>F47+F48</f>
        <v>37120</v>
      </c>
      <c r="G46" s="199">
        <f t="shared" si="0"/>
        <v>1</v>
      </c>
      <c r="H46" s="400"/>
    </row>
    <row r="47" spans="1:10" ht="12" x14ac:dyDescent="0.2">
      <c r="A47" s="253"/>
      <c r="B47" s="146" t="s">
        <v>205</v>
      </c>
      <c r="C47" s="71"/>
      <c r="D47" s="1046">
        <v>3429</v>
      </c>
      <c r="E47" s="1046">
        <f>3429+33691</f>
        <v>37120</v>
      </c>
      <c r="F47" s="1046">
        <f>3429+33691</f>
        <v>37120</v>
      </c>
      <c r="G47" s="1044">
        <f t="shared" si="0"/>
        <v>1</v>
      </c>
      <c r="H47" s="400"/>
    </row>
    <row r="48" spans="1:10" ht="12" x14ac:dyDescent="0.2">
      <c r="A48" s="253"/>
      <c r="B48" s="146" t="s">
        <v>409</v>
      </c>
      <c r="C48" s="71"/>
      <c r="D48" s="1046">
        <v>33691</v>
      </c>
      <c r="E48" s="1046">
        <f>33691-33691</f>
        <v>0</v>
      </c>
      <c r="F48" s="1046">
        <f>33691-33691</f>
        <v>0</v>
      </c>
      <c r="G48" s="1044"/>
      <c r="H48" s="400"/>
    </row>
    <row r="49" spans="1:8" ht="12" x14ac:dyDescent="0.2">
      <c r="A49" s="253">
        <v>4151</v>
      </c>
      <c r="B49" s="67" t="s">
        <v>1142</v>
      </c>
      <c r="C49" s="71">
        <v>99949</v>
      </c>
      <c r="D49" s="71">
        <v>99949</v>
      </c>
      <c r="E49" s="71">
        <v>99949</v>
      </c>
      <c r="F49" s="71">
        <v>99949</v>
      </c>
      <c r="G49" s="199">
        <f t="shared" si="0"/>
        <v>1</v>
      </c>
      <c r="H49" s="400"/>
    </row>
    <row r="50" spans="1:8" ht="12" x14ac:dyDescent="0.2">
      <c r="A50" s="253">
        <v>4152</v>
      </c>
      <c r="B50" s="67" t="s">
        <v>1212</v>
      </c>
      <c r="C50" s="71">
        <v>79883</v>
      </c>
      <c r="D50" s="71">
        <v>79883</v>
      </c>
      <c r="E50" s="71">
        <v>79883</v>
      </c>
      <c r="F50" s="71">
        <v>79883</v>
      </c>
      <c r="G50" s="199">
        <f t="shared" si="0"/>
        <v>1</v>
      </c>
      <c r="H50" s="400"/>
    </row>
    <row r="51" spans="1:8" ht="12" x14ac:dyDescent="0.2">
      <c r="A51" s="253">
        <v>4153</v>
      </c>
      <c r="B51" s="67" t="s">
        <v>1143</v>
      </c>
      <c r="C51" s="71">
        <v>21171</v>
      </c>
      <c r="D51" s="71">
        <v>21171</v>
      </c>
      <c r="E51" s="71">
        <v>21171</v>
      </c>
      <c r="F51" s="71">
        <v>21171</v>
      </c>
      <c r="G51" s="199">
        <f t="shared" si="0"/>
        <v>1</v>
      </c>
      <c r="H51" s="400"/>
    </row>
    <row r="52" spans="1:8" ht="12" x14ac:dyDescent="0.2">
      <c r="A52" s="253">
        <v>4154</v>
      </c>
      <c r="B52" s="843" t="s">
        <v>1144</v>
      </c>
      <c r="C52" s="338">
        <f>381000+213491</f>
        <v>594491</v>
      </c>
      <c r="D52" s="338">
        <f>381000+213491</f>
        <v>594491</v>
      </c>
      <c r="E52" s="338">
        <f>381000+213491</f>
        <v>594491</v>
      </c>
      <c r="F52" s="338">
        <f>381000+213491</f>
        <v>594491</v>
      </c>
      <c r="G52" s="199">
        <f t="shared" si="0"/>
        <v>1</v>
      </c>
      <c r="H52" s="400"/>
    </row>
    <row r="53" spans="1:8" ht="12" x14ac:dyDescent="0.2">
      <c r="A53" s="253">
        <v>4155</v>
      </c>
      <c r="B53" s="67" t="s">
        <v>1145</v>
      </c>
      <c r="C53" s="71">
        <v>922474</v>
      </c>
      <c r="D53" s="71">
        <v>922474</v>
      </c>
      <c r="E53" s="71">
        <v>922474</v>
      </c>
      <c r="F53" s="71">
        <f>922474+9500</f>
        <v>931974</v>
      </c>
      <c r="G53" s="199">
        <f t="shared" si="0"/>
        <v>1.0102983932338472</v>
      </c>
      <c r="H53" s="400"/>
    </row>
    <row r="54" spans="1:8" ht="12" x14ac:dyDescent="0.2">
      <c r="A54" s="253">
        <v>4156</v>
      </c>
      <c r="B54" s="67" t="s">
        <v>1149</v>
      </c>
      <c r="C54" s="71">
        <v>67269</v>
      </c>
      <c r="D54" s="71">
        <f>67269+2691</f>
        <v>69960</v>
      </c>
      <c r="E54" s="71">
        <f>67269+2691</f>
        <v>69960</v>
      </c>
      <c r="F54" s="71">
        <f>67269+2691</f>
        <v>69960</v>
      </c>
      <c r="G54" s="199">
        <f t="shared" si="0"/>
        <v>1</v>
      </c>
      <c r="H54" s="400"/>
    </row>
    <row r="55" spans="1:8" ht="12" x14ac:dyDescent="0.2">
      <c r="A55" s="253">
        <v>4157</v>
      </c>
      <c r="B55" s="67" t="s">
        <v>1213</v>
      </c>
      <c r="C55" s="71">
        <f>30999+1500</f>
        <v>32499</v>
      </c>
      <c r="D55" s="71">
        <f>30999+1500</f>
        <v>32499</v>
      </c>
      <c r="E55" s="71">
        <f>E56+E57</f>
        <v>32499</v>
      </c>
      <c r="F55" s="71">
        <f>F56+F57</f>
        <v>32499</v>
      </c>
      <c r="G55" s="199">
        <f t="shared" si="0"/>
        <v>1</v>
      </c>
      <c r="H55" s="400"/>
    </row>
    <row r="56" spans="1:8" ht="12" x14ac:dyDescent="0.2">
      <c r="A56" s="253"/>
      <c r="B56" s="146" t="s">
        <v>254</v>
      </c>
      <c r="C56" s="71"/>
      <c r="D56" s="71"/>
      <c r="E56" s="1046">
        <v>32499</v>
      </c>
      <c r="F56" s="1046">
        <v>32499</v>
      </c>
      <c r="G56" s="199">
        <f t="shared" si="0"/>
        <v>1</v>
      </c>
      <c r="H56" s="400"/>
    </row>
    <row r="57" spans="1:8" ht="12" x14ac:dyDescent="0.2">
      <c r="A57" s="253"/>
      <c r="B57" s="146" t="s">
        <v>409</v>
      </c>
      <c r="C57" s="71"/>
      <c r="D57" s="71"/>
      <c r="E57" s="1046">
        <f>32499-32499</f>
        <v>0</v>
      </c>
      <c r="F57" s="1046">
        <f>32499-32499</f>
        <v>0</v>
      </c>
      <c r="G57" s="199"/>
      <c r="H57" s="400"/>
    </row>
    <row r="58" spans="1:8" ht="12" x14ac:dyDescent="0.2">
      <c r="A58" s="253">
        <v>4158</v>
      </c>
      <c r="B58" s="67" t="s">
        <v>1241</v>
      </c>
      <c r="C58" s="71">
        <v>50000</v>
      </c>
      <c r="D58" s="71">
        <f>50000+30000</f>
        <v>80000</v>
      </c>
      <c r="E58" s="71">
        <f>50000+30000</f>
        <v>80000</v>
      </c>
      <c r="F58" s="71">
        <f>50000+30000</f>
        <v>80000</v>
      </c>
      <c r="G58" s="199">
        <f t="shared" si="0"/>
        <v>1</v>
      </c>
      <c r="H58" s="400"/>
    </row>
    <row r="59" spans="1:8" ht="12" x14ac:dyDescent="0.2">
      <c r="A59" s="253">
        <v>4159</v>
      </c>
      <c r="B59" s="67" t="s">
        <v>1271</v>
      </c>
      <c r="C59" s="71"/>
      <c r="D59" s="71">
        <v>100000</v>
      </c>
      <c r="E59" s="71">
        <v>100000</v>
      </c>
      <c r="F59" s="71">
        <v>100000</v>
      </c>
      <c r="G59" s="199">
        <f t="shared" si="0"/>
        <v>1</v>
      </c>
      <c r="H59" s="400"/>
    </row>
    <row r="60" spans="1:8" ht="12" x14ac:dyDescent="0.2">
      <c r="A60" s="253">
        <v>4160</v>
      </c>
      <c r="B60" s="67" t="s">
        <v>1272</v>
      </c>
      <c r="C60" s="71"/>
      <c r="D60" s="71">
        <v>654720</v>
      </c>
      <c r="E60" s="71">
        <v>654720</v>
      </c>
      <c r="F60" s="71">
        <v>654720</v>
      </c>
      <c r="G60" s="199">
        <f t="shared" si="0"/>
        <v>1</v>
      </c>
      <c r="H60" s="400"/>
    </row>
    <row r="61" spans="1:8" ht="12" x14ac:dyDescent="0.2">
      <c r="A61" s="253">
        <v>4161</v>
      </c>
      <c r="B61" s="67" t="s">
        <v>1273</v>
      </c>
      <c r="C61" s="71"/>
      <c r="D61" s="71">
        <v>12000</v>
      </c>
      <c r="E61" s="71">
        <v>12000</v>
      </c>
      <c r="F61" s="71">
        <f>F63+F62</f>
        <v>12000</v>
      </c>
      <c r="G61" s="199">
        <f t="shared" si="0"/>
        <v>1</v>
      </c>
      <c r="H61" s="400"/>
    </row>
    <row r="62" spans="1:8" ht="12" x14ac:dyDescent="0.2">
      <c r="A62" s="253"/>
      <c r="B62" s="146" t="s">
        <v>254</v>
      </c>
      <c r="C62" s="71"/>
      <c r="D62" s="71"/>
      <c r="E62" s="71"/>
      <c r="F62" s="1046">
        <v>10300</v>
      </c>
      <c r="G62" s="199"/>
      <c r="H62" s="400"/>
    </row>
    <row r="63" spans="1:8" ht="12" x14ac:dyDescent="0.2">
      <c r="A63" s="253"/>
      <c r="B63" s="146" t="s">
        <v>409</v>
      </c>
      <c r="C63" s="71"/>
      <c r="D63" s="71"/>
      <c r="E63" s="71"/>
      <c r="F63" s="1046">
        <v>1700</v>
      </c>
      <c r="G63" s="199"/>
      <c r="H63" s="400"/>
    </row>
    <row r="64" spans="1:8" ht="12" x14ac:dyDescent="0.2">
      <c r="A64" s="281"/>
      <c r="B64" s="277" t="s">
        <v>118</v>
      </c>
      <c r="C64" s="684">
        <f>SUM(C33:C58)</f>
        <v>2125992</v>
      </c>
      <c r="D64" s="684">
        <f>D33+D34+D38+D39+D40+D41+D42+D45+D46+D49+D50+D51+D52+D53+D54+D55+D58+D59+D60+D61</f>
        <v>3916394</v>
      </c>
      <c r="E64" s="684">
        <f>E33+E34+E38+E39+E40+E41+E42+E45+E46+E49+E50+E51+E52+E53+E54+E55+E58+E59+E60+E61</f>
        <v>3916394</v>
      </c>
      <c r="F64" s="684">
        <f>F33+F34+F38+F39+F40+F41+F42+F45+F46+F49+F50+F51+F52+F53+F54+F55+F58+F59+F60+F61</f>
        <v>3925894</v>
      </c>
      <c r="G64" s="1101">
        <f t="shared" si="0"/>
        <v>1.0024257007849569</v>
      </c>
      <c r="H64" s="34"/>
    </row>
    <row r="65" spans="1:8" ht="12" x14ac:dyDescent="0.2">
      <c r="A65" s="36">
        <v>4131</v>
      </c>
      <c r="B65" s="416" t="s">
        <v>241</v>
      </c>
      <c r="C65" s="198">
        <v>30000</v>
      </c>
      <c r="D65" s="198">
        <f>D66+D67</f>
        <v>40360</v>
      </c>
      <c r="E65" s="198">
        <f>E66+E67</f>
        <v>40360</v>
      </c>
      <c r="F65" s="198">
        <f>F66+F67</f>
        <v>40360</v>
      </c>
      <c r="G65" s="199">
        <f t="shared" si="0"/>
        <v>1</v>
      </c>
      <c r="H65" s="33" t="s">
        <v>1380</v>
      </c>
    </row>
    <row r="66" spans="1:8" ht="12" x14ac:dyDescent="0.2">
      <c r="A66" s="36"/>
      <c r="B66" s="146" t="s">
        <v>254</v>
      </c>
      <c r="C66" s="198"/>
      <c r="D66" s="417">
        <v>10360</v>
      </c>
      <c r="E66" s="417">
        <f>10360+6000</f>
        <v>16360</v>
      </c>
      <c r="F66" s="417">
        <f>16360+1100</f>
        <v>17460</v>
      </c>
      <c r="G66" s="1044">
        <f t="shared" si="0"/>
        <v>1.0672371638141809</v>
      </c>
      <c r="H66" s="33"/>
    </row>
    <row r="67" spans="1:8" ht="12" x14ac:dyDescent="0.2">
      <c r="A67" s="36"/>
      <c r="B67" s="146" t="s">
        <v>409</v>
      </c>
      <c r="C67" s="198"/>
      <c r="D67" s="417">
        <v>30000</v>
      </c>
      <c r="E67" s="417">
        <f>30000-6000</f>
        <v>24000</v>
      </c>
      <c r="F67" s="417">
        <f>24000-1100</f>
        <v>22900</v>
      </c>
      <c r="G67" s="1044">
        <f t="shared" si="0"/>
        <v>0.95416666666666672</v>
      </c>
      <c r="H67" s="33"/>
    </row>
    <row r="68" spans="1:8" ht="11.25" customHeight="1" x14ac:dyDescent="0.2">
      <c r="A68" s="36">
        <v>4132</v>
      </c>
      <c r="B68" s="29" t="s">
        <v>101</v>
      </c>
      <c r="C68" s="198">
        <f>18000+8999</f>
        <v>26999</v>
      </c>
      <c r="D68" s="198">
        <f>26999+3000</f>
        <v>29999</v>
      </c>
      <c r="E68" s="198">
        <f>26999+3000</f>
        <v>29999</v>
      </c>
      <c r="F68" s="198">
        <f>26999+3000</f>
        <v>29999</v>
      </c>
      <c r="G68" s="199">
        <f t="shared" si="0"/>
        <v>1</v>
      </c>
      <c r="H68" s="33" t="s">
        <v>1380</v>
      </c>
    </row>
    <row r="69" spans="1:8" ht="12.95" customHeight="1" x14ac:dyDescent="0.2">
      <c r="A69" s="36">
        <v>4133</v>
      </c>
      <c r="B69" s="29" t="s">
        <v>1330</v>
      </c>
      <c r="C69" s="198">
        <v>47231</v>
      </c>
      <c r="D69" s="198">
        <f>47231+20000</f>
        <v>67231</v>
      </c>
      <c r="E69" s="198">
        <f>47231+20000</f>
        <v>67231</v>
      </c>
      <c r="F69" s="198">
        <f>47231+20000</f>
        <v>67231</v>
      </c>
      <c r="G69" s="199">
        <f t="shared" si="0"/>
        <v>1</v>
      </c>
      <c r="H69" s="33" t="s">
        <v>1380</v>
      </c>
    </row>
    <row r="70" spans="1:8" ht="12.95" customHeight="1" x14ac:dyDescent="0.2">
      <c r="A70" s="36">
        <v>4140</v>
      </c>
      <c r="B70" s="29" t="s">
        <v>1028</v>
      </c>
      <c r="C70" s="198">
        <v>0</v>
      </c>
      <c r="D70" s="198">
        <v>0</v>
      </c>
      <c r="E70" s="198">
        <v>0</v>
      </c>
      <c r="F70" s="198">
        <v>0</v>
      </c>
      <c r="G70" s="199"/>
      <c r="H70" s="33"/>
    </row>
    <row r="71" spans="1:8" ht="12" x14ac:dyDescent="0.2">
      <c r="A71" s="36">
        <v>4141</v>
      </c>
      <c r="B71" s="67" t="s">
        <v>1171</v>
      </c>
      <c r="C71" s="198">
        <f>20000+24575</f>
        <v>44575</v>
      </c>
      <c r="D71" s="198">
        <f>20000+24575</f>
        <v>44575</v>
      </c>
      <c r="E71" s="198">
        <f>E74+E75</f>
        <v>44575</v>
      </c>
      <c r="F71" s="198">
        <f>F72+F73+F74+F75</f>
        <v>44575</v>
      </c>
      <c r="G71" s="199">
        <f t="shared" si="0"/>
        <v>1</v>
      </c>
      <c r="H71" s="33" t="s">
        <v>1380</v>
      </c>
    </row>
    <row r="72" spans="1:8" ht="12" x14ac:dyDescent="0.2">
      <c r="A72" s="36"/>
      <c r="B72" s="1046" t="s">
        <v>1367</v>
      </c>
      <c r="C72" s="198"/>
      <c r="D72" s="198"/>
      <c r="E72" s="198"/>
      <c r="F72" s="417">
        <v>1050</v>
      </c>
      <c r="G72" s="199"/>
      <c r="H72" s="33"/>
    </row>
    <row r="73" spans="1:8" ht="12" x14ac:dyDescent="0.2">
      <c r="A73" s="36"/>
      <c r="B73" s="1046" t="s">
        <v>1368</v>
      </c>
      <c r="C73" s="198"/>
      <c r="D73" s="198"/>
      <c r="E73" s="198"/>
      <c r="F73" s="417">
        <v>140</v>
      </c>
      <c r="G73" s="199"/>
      <c r="H73" s="33"/>
    </row>
    <row r="74" spans="1:8" ht="12" x14ac:dyDescent="0.2">
      <c r="A74" s="36"/>
      <c r="B74" s="146" t="s">
        <v>205</v>
      </c>
      <c r="C74" s="198"/>
      <c r="D74" s="198"/>
      <c r="E74" s="417">
        <v>25000</v>
      </c>
      <c r="F74" s="417">
        <f>25000+3810</f>
        <v>28810</v>
      </c>
      <c r="G74" s="199">
        <f t="shared" si="0"/>
        <v>1.1524000000000001</v>
      </c>
      <c r="H74" s="33"/>
    </row>
    <row r="75" spans="1:8" ht="12" x14ac:dyDescent="0.2">
      <c r="A75" s="36"/>
      <c r="B75" s="146" t="s">
        <v>409</v>
      </c>
      <c r="C75" s="198"/>
      <c r="D75" s="198"/>
      <c r="E75" s="417">
        <f>44575-25000</f>
        <v>19575</v>
      </c>
      <c r="F75" s="417">
        <f>19575-5000</f>
        <v>14575</v>
      </c>
      <c r="G75" s="199">
        <f t="shared" si="0"/>
        <v>0.7445721583652618</v>
      </c>
      <c r="H75" s="33"/>
    </row>
    <row r="76" spans="1:8" ht="12" x14ac:dyDescent="0.2">
      <c r="A76" s="255">
        <v>4100</v>
      </c>
      <c r="B76" s="254" t="s">
        <v>140</v>
      </c>
      <c r="C76" s="688">
        <f>SUM(C64+C65+C68+C69+C71+C70)</f>
        <v>2274797</v>
      </c>
      <c r="D76" s="688">
        <f>SUM(D64+D65+D68+D69+D71+D70)</f>
        <v>4098559</v>
      </c>
      <c r="E76" s="688">
        <f>SUM(E64+E65+E68+E69+E71+E70)</f>
        <v>4098559</v>
      </c>
      <c r="F76" s="688">
        <f>SUM(F64+F65+F68+F69+F71+F70)</f>
        <v>4108059</v>
      </c>
      <c r="G76" s="1099">
        <f t="shared" si="0"/>
        <v>1.0023178878235008</v>
      </c>
      <c r="H76" s="357"/>
    </row>
    <row r="77" spans="1:8" ht="12" x14ac:dyDescent="0.2">
      <c r="A77" s="344">
        <v>4200</v>
      </c>
      <c r="B77" s="271" t="s">
        <v>402</v>
      </c>
      <c r="C77" s="688"/>
      <c r="D77" s="241"/>
      <c r="E77" s="241"/>
      <c r="F77" s="241"/>
      <c r="G77" s="943"/>
      <c r="H77" s="271"/>
    </row>
    <row r="78" spans="1:8" s="15" customFormat="1" ht="12" x14ac:dyDescent="0.2">
      <c r="A78" s="10"/>
      <c r="B78" s="31" t="s">
        <v>222</v>
      </c>
      <c r="C78" s="198"/>
      <c r="D78" s="198"/>
      <c r="E78" s="198"/>
      <c r="F78" s="198"/>
      <c r="G78" s="199"/>
      <c r="H78" s="31"/>
    </row>
    <row r="79" spans="1:8" s="15" customFormat="1" ht="12" x14ac:dyDescent="0.2">
      <c r="A79" s="51">
        <v>4311</v>
      </c>
      <c r="B79" s="67" t="s">
        <v>1044</v>
      </c>
      <c r="C79" s="198">
        <v>157646</v>
      </c>
      <c r="D79" s="198">
        <v>157646</v>
      </c>
      <c r="E79" s="198">
        <f>157646-23001</f>
        <v>134645</v>
      </c>
      <c r="F79" s="198">
        <f>F80+F81</f>
        <v>134645</v>
      </c>
      <c r="G79" s="199">
        <f t="shared" si="0"/>
        <v>1</v>
      </c>
      <c r="H79" s="272"/>
    </row>
    <row r="80" spans="1:8" s="15" customFormat="1" ht="12" x14ac:dyDescent="0.2">
      <c r="A80" s="51"/>
      <c r="B80" s="146" t="s">
        <v>254</v>
      </c>
      <c r="C80" s="198"/>
      <c r="D80" s="198"/>
      <c r="E80" s="198"/>
      <c r="F80" s="417"/>
      <c r="G80" s="199"/>
      <c r="H80" s="272"/>
    </row>
    <row r="81" spans="1:8" s="15" customFormat="1" ht="12" x14ac:dyDescent="0.2">
      <c r="A81" s="51"/>
      <c r="B81" s="146" t="s">
        <v>409</v>
      </c>
      <c r="C81" s="198"/>
      <c r="D81" s="198"/>
      <c r="E81" s="198"/>
      <c r="F81" s="417">
        <v>134645</v>
      </c>
      <c r="G81" s="199"/>
      <c r="H81" s="272"/>
    </row>
    <row r="82" spans="1:8" s="15" customFormat="1" ht="12" hidden="1" x14ac:dyDescent="0.2">
      <c r="A82" s="51">
        <v>4312</v>
      </c>
      <c r="B82" s="67" t="s">
        <v>1099</v>
      </c>
      <c r="C82" s="198">
        <v>0</v>
      </c>
      <c r="D82" s="198">
        <v>0</v>
      </c>
      <c r="E82" s="198">
        <v>0</v>
      </c>
      <c r="F82" s="198">
        <v>0</v>
      </c>
      <c r="G82" s="199"/>
      <c r="H82" s="272"/>
    </row>
    <row r="83" spans="1:8" s="15" customFormat="1" ht="12" hidden="1" x14ac:dyDescent="0.2">
      <c r="A83" s="51">
        <v>4313</v>
      </c>
      <c r="B83" s="67" t="s">
        <v>1078</v>
      </c>
      <c r="C83" s="198">
        <v>0</v>
      </c>
      <c r="D83" s="198">
        <v>0</v>
      </c>
      <c r="E83" s="198">
        <v>0</v>
      </c>
      <c r="F83" s="198">
        <v>0</v>
      </c>
      <c r="G83" s="199"/>
      <c r="H83" s="272"/>
    </row>
    <row r="84" spans="1:8" ht="12" hidden="1" x14ac:dyDescent="0.2">
      <c r="A84" s="33">
        <v>4323</v>
      </c>
      <c r="B84" s="29" t="s">
        <v>424</v>
      </c>
      <c r="C84" s="198">
        <v>0</v>
      </c>
      <c r="D84" s="198">
        <v>0</v>
      </c>
      <c r="E84" s="198">
        <v>0</v>
      </c>
      <c r="F84" s="198">
        <v>0</v>
      </c>
      <c r="G84" s="199"/>
      <c r="H84" s="398"/>
    </row>
    <row r="85" spans="1:8" ht="12" x14ac:dyDescent="0.2">
      <c r="A85" s="33">
        <v>4324</v>
      </c>
      <c r="B85" s="29" t="s">
        <v>447</v>
      </c>
      <c r="C85" s="337">
        <f>SUM(C86:C88)</f>
        <v>1535518</v>
      </c>
      <c r="D85" s="337">
        <f>SUM(D86:D88)</f>
        <v>1563912</v>
      </c>
      <c r="E85" s="337">
        <f>SUM(E86:E88)</f>
        <v>1424455</v>
      </c>
      <c r="F85" s="337">
        <f>SUM(F86:F88)</f>
        <v>1321049</v>
      </c>
      <c r="G85" s="199">
        <f t="shared" ref="G85:G105" si="1">F85/E85</f>
        <v>0.92740662218181691</v>
      </c>
      <c r="H85" s="398"/>
    </row>
    <row r="86" spans="1:8" ht="12" x14ac:dyDescent="0.2">
      <c r="A86" s="33"/>
      <c r="B86" s="146" t="s">
        <v>254</v>
      </c>
      <c r="C86" s="417">
        <v>0</v>
      </c>
      <c r="D86" s="417">
        <v>0</v>
      </c>
      <c r="E86" s="417">
        <v>12700</v>
      </c>
      <c r="F86" s="417">
        <v>12700</v>
      </c>
      <c r="G86" s="199">
        <f t="shared" si="1"/>
        <v>1</v>
      </c>
      <c r="H86" s="398"/>
    </row>
    <row r="87" spans="1:8" ht="12" x14ac:dyDescent="0.2">
      <c r="A87" s="33"/>
      <c r="B87" s="542" t="s">
        <v>205</v>
      </c>
      <c r="C87" s="417">
        <v>1535518</v>
      </c>
      <c r="D87" s="417">
        <f>1535518+21332+7062</f>
        <v>1563912</v>
      </c>
      <c r="E87" s="417">
        <f>1563912-139457-12700</f>
        <v>1411755</v>
      </c>
      <c r="F87" s="417">
        <f>1411755-103406</f>
        <v>1308349</v>
      </c>
      <c r="G87" s="199">
        <f t="shared" si="1"/>
        <v>0.92675357976419426</v>
      </c>
      <c r="H87" s="398"/>
    </row>
    <row r="88" spans="1:8" ht="12" x14ac:dyDescent="0.2">
      <c r="A88" s="33"/>
      <c r="B88" s="146" t="s">
        <v>409</v>
      </c>
      <c r="C88" s="417">
        <v>0</v>
      </c>
      <c r="D88" s="417">
        <v>0</v>
      </c>
      <c r="E88" s="417">
        <v>0</v>
      </c>
      <c r="F88" s="417">
        <v>0</v>
      </c>
      <c r="G88" s="199"/>
      <c r="H88" s="398"/>
    </row>
    <row r="89" spans="1:8" ht="12" x14ac:dyDescent="0.2">
      <c r="A89" s="33">
        <v>4325</v>
      </c>
      <c r="B89" s="67" t="s">
        <v>1098</v>
      </c>
      <c r="C89" s="198">
        <v>0</v>
      </c>
      <c r="D89" s="198">
        <v>0</v>
      </c>
      <c r="E89" s="198">
        <v>0</v>
      </c>
      <c r="F89" s="198">
        <v>0</v>
      </c>
      <c r="G89" s="199"/>
      <c r="H89" s="398"/>
    </row>
    <row r="90" spans="1:8" ht="12" x14ac:dyDescent="0.2">
      <c r="A90" s="33">
        <v>4326</v>
      </c>
      <c r="B90" s="67" t="s">
        <v>1114</v>
      </c>
      <c r="C90" s="198">
        <v>0</v>
      </c>
      <c r="D90" s="198">
        <v>0</v>
      </c>
      <c r="E90" s="198">
        <v>0</v>
      </c>
      <c r="F90" s="198">
        <v>0</v>
      </c>
      <c r="G90" s="199"/>
      <c r="H90" s="398"/>
    </row>
    <row r="91" spans="1:8" ht="12" x14ac:dyDescent="0.2">
      <c r="A91" s="33">
        <v>4329</v>
      </c>
      <c r="B91" s="67" t="s">
        <v>1117</v>
      </c>
      <c r="C91" s="198">
        <v>0</v>
      </c>
      <c r="D91" s="198">
        <v>0</v>
      </c>
      <c r="E91" s="198">
        <v>0</v>
      </c>
      <c r="F91" s="198">
        <v>0</v>
      </c>
      <c r="G91" s="943"/>
      <c r="H91" s="398"/>
    </row>
    <row r="92" spans="1:8" s="15" customFormat="1" ht="12" x14ac:dyDescent="0.2">
      <c r="A92" s="268">
        <v>4300</v>
      </c>
      <c r="B92" s="260" t="s">
        <v>223</v>
      </c>
      <c r="C92" s="56">
        <f>SUM(C79:C85)+C89+C90+C91</f>
        <v>1693164</v>
      </c>
      <c r="D92" s="56">
        <f>SUM(D79:D85)+D89+D90+D91</f>
        <v>1721558</v>
      </c>
      <c r="E92" s="56">
        <f>SUM(E79:E85)+E89+E90+E91</f>
        <v>1559100</v>
      </c>
      <c r="F92" s="56">
        <f>F79+F82+F83+F84+F85+F89+F90+F91</f>
        <v>1455694</v>
      </c>
      <c r="G92" s="1099">
        <f t="shared" si="1"/>
        <v>0.93367583862484771</v>
      </c>
      <c r="H92" s="254"/>
    </row>
    <row r="93" spans="1:8" s="15" customFormat="1" ht="16.5" customHeight="1" x14ac:dyDescent="0.2">
      <c r="A93" s="268"/>
      <c r="B93" s="267" t="s">
        <v>225</v>
      </c>
      <c r="C93" s="56">
        <f>SUM(C92+C77+C76+C30)</f>
        <v>4692488</v>
      </c>
      <c r="D93" s="56">
        <f>SUM(D92+D77+D76+D30)</f>
        <v>6867653</v>
      </c>
      <c r="E93" s="56">
        <f>SUM(E92+E77+E76+E30)</f>
        <v>6705195</v>
      </c>
      <c r="F93" s="56">
        <f>SUM(F92+F77+F76+F30)</f>
        <v>6611289</v>
      </c>
      <c r="G93" s="1099">
        <f t="shared" si="1"/>
        <v>0.98599503817562351</v>
      </c>
      <c r="H93" s="254"/>
    </row>
    <row r="94" spans="1:8" s="15" customFormat="1" ht="12" x14ac:dyDescent="0.2">
      <c r="A94" s="278"/>
      <c r="B94" s="73" t="s">
        <v>51</v>
      </c>
      <c r="C94" s="270"/>
      <c r="D94" s="270"/>
      <c r="E94" s="270"/>
      <c r="F94" s="270"/>
      <c r="G94" s="199"/>
      <c r="H94" s="31"/>
    </row>
    <row r="95" spans="1:8" s="15" customFormat="1" ht="11.25" customHeight="1" x14ac:dyDescent="0.2">
      <c r="A95" s="278"/>
      <c r="B95" s="198" t="s">
        <v>238</v>
      </c>
      <c r="C95" s="686"/>
      <c r="D95" s="686"/>
      <c r="E95" s="686"/>
      <c r="F95" s="686">
        <f>F72</f>
        <v>1050</v>
      </c>
      <c r="G95" s="199"/>
      <c r="H95" s="31"/>
    </row>
    <row r="96" spans="1:8" s="15" customFormat="1" ht="13.5" customHeight="1" x14ac:dyDescent="0.2">
      <c r="A96" s="278"/>
      <c r="B96" s="198" t="s">
        <v>20</v>
      </c>
      <c r="C96" s="686"/>
      <c r="D96" s="686"/>
      <c r="E96" s="686"/>
      <c r="F96" s="686">
        <f>F73</f>
        <v>140</v>
      </c>
      <c r="G96" s="199"/>
      <c r="H96" s="31"/>
    </row>
    <row r="97" spans="1:9" ht="12" x14ac:dyDescent="0.2">
      <c r="A97" s="278"/>
      <c r="B97" s="21" t="s">
        <v>248</v>
      </c>
      <c r="C97" s="686">
        <f>C86</f>
        <v>0</v>
      </c>
      <c r="D97" s="686">
        <f>D15+D35+D66</f>
        <v>17040</v>
      </c>
      <c r="E97" s="686">
        <f>E15+E35+E66+E22+E43+E56+E86</f>
        <v>76239</v>
      </c>
      <c r="F97" s="686">
        <f>F12+F15+F26+F35+F66+F22+F43+F56+F86+F62+F80</f>
        <v>88139</v>
      </c>
      <c r="G97" s="199">
        <f t="shared" si="1"/>
        <v>1.1560880913967917</v>
      </c>
      <c r="H97" s="29"/>
      <c r="I97" s="16"/>
    </row>
    <row r="98" spans="1:9" ht="12" customHeight="1" x14ac:dyDescent="0.2">
      <c r="A98" s="36"/>
      <c r="B98" s="21" t="s">
        <v>246</v>
      </c>
      <c r="C98" s="198"/>
      <c r="D98" s="198"/>
      <c r="E98" s="198"/>
      <c r="F98" s="198"/>
      <c r="G98" s="199"/>
      <c r="H98" s="29"/>
    </row>
    <row r="99" spans="1:9" ht="12" customHeight="1" x14ac:dyDescent="0.2">
      <c r="A99" s="36"/>
      <c r="B99" s="279" t="s">
        <v>42</v>
      </c>
      <c r="C99" s="279">
        <f>SUM(C95:C98)</f>
        <v>0</v>
      </c>
      <c r="D99" s="279">
        <f>SUM(D95:D98)</f>
        <v>17040</v>
      </c>
      <c r="E99" s="279">
        <f>SUM(E95:E98)</f>
        <v>76239</v>
      </c>
      <c r="F99" s="279">
        <f>SUM(F95:F98)</f>
        <v>89329</v>
      </c>
      <c r="G99" s="1100">
        <f t="shared" si="1"/>
        <v>1.1716969005364708</v>
      </c>
      <c r="H99" s="29"/>
    </row>
    <row r="100" spans="1:9" ht="12" customHeight="1" x14ac:dyDescent="0.2">
      <c r="A100" s="36"/>
      <c r="B100" s="280" t="s">
        <v>52</v>
      </c>
      <c r="C100" s="689"/>
      <c r="D100" s="689"/>
      <c r="E100" s="689"/>
      <c r="F100" s="689"/>
      <c r="G100" s="199"/>
      <c r="H100" s="29"/>
    </row>
    <row r="101" spans="1:9" ht="12" customHeight="1" x14ac:dyDescent="0.2">
      <c r="A101" s="36"/>
      <c r="B101" s="198" t="s">
        <v>207</v>
      </c>
      <c r="C101" s="198">
        <f>C87</f>
        <v>1535518</v>
      </c>
      <c r="D101" s="198">
        <f>D87+D23+D27+D47+D36</f>
        <v>1583036</v>
      </c>
      <c r="E101" s="198">
        <f>E87+E23+E27+E47+E36+E74</f>
        <v>1521570</v>
      </c>
      <c r="F101" s="198">
        <f>F87+F23+F27+F47+F36+F74</f>
        <v>1422114</v>
      </c>
      <c r="G101" s="199">
        <f t="shared" si="1"/>
        <v>0.93463593525108934</v>
      </c>
      <c r="H101" s="29"/>
    </row>
    <row r="102" spans="1:9" ht="12" x14ac:dyDescent="0.2">
      <c r="A102" s="36"/>
      <c r="B102" s="21" t="s">
        <v>208</v>
      </c>
      <c r="C102" s="198">
        <f>SUM(C30+C76+C77+C92)-C95-C96-C97-C98-C101-C103</f>
        <v>3129971</v>
      </c>
      <c r="D102" s="198">
        <f>SUM(D30+D76+D77+D92)-D95-D96-D97-D98-D101-D103</f>
        <v>5237578</v>
      </c>
      <c r="E102" s="198">
        <f>SUM(E30+E76+E77+E92)-E95-E96-E97-E98-E101-E103</f>
        <v>5077387</v>
      </c>
      <c r="F102" s="198">
        <f>SUM(F30+F76+F77+F92)-F95-F96-F97-F98-F101-F103</f>
        <v>5069847</v>
      </c>
      <c r="G102" s="199">
        <f t="shared" si="1"/>
        <v>0.9985149841837937</v>
      </c>
      <c r="H102" s="29"/>
    </row>
    <row r="103" spans="1:9" ht="12" x14ac:dyDescent="0.2">
      <c r="A103" s="36"/>
      <c r="B103" s="21" t="s">
        <v>274</v>
      </c>
      <c r="C103" s="198">
        <f>SUM(C68)</f>
        <v>26999</v>
      </c>
      <c r="D103" s="198">
        <f>SUM(D68)</f>
        <v>29999</v>
      </c>
      <c r="E103" s="198">
        <f>SUM(E68)</f>
        <v>29999</v>
      </c>
      <c r="F103" s="198">
        <f>SUM(F68)</f>
        <v>29999</v>
      </c>
      <c r="G103" s="199">
        <f t="shared" si="1"/>
        <v>1</v>
      </c>
      <c r="H103" s="29"/>
    </row>
    <row r="104" spans="1:9" ht="12" x14ac:dyDescent="0.2">
      <c r="A104" s="36"/>
      <c r="B104" s="279" t="s">
        <v>48</v>
      </c>
      <c r="C104" s="279">
        <f>SUM(C101:C103)</f>
        <v>4692488</v>
      </c>
      <c r="D104" s="279">
        <f>SUM(D101:D103)</f>
        <v>6850613</v>
      </c>
      <c r="E104" s="279">
        <f>SUM(E101:E103)</f>
        <v>6628956</v>
      </c>
      <c r="F104" s="279">
        <f>SUM(F101:F103)</f>
        <v>6521960</v>
      </c>
      <c r="G104" s="1100">
        <f t="shared" si="1"/>
        <v>0.98385929850793996</v>
      </c>
      <c r="H104" s="29"/>
    </row>
    <row r="105" spans="1:9" ht="12" customHeight="1" x14ac:dyDescent="0.2">
      <c r="A105" s="281"/>
      <c r="B105" s="277" t="s">
        <v>89</v>
      </c>
      <c r="C105" s="844">
        <f>SUM(C99+C104)</f>
        <v>4692488</v>
      </c>
      <c r="D105" s="844">
        <f>SUM(D99+D104)</f>
        <v>6867653</v>
      </c>
      <c r="E105" s="844">
        <f>SUM(E99+E104)</f>
        <v>6705195</v>
      </c>
      <c r="F105" s="844">
        <f>SUM(F99+F104)</f>
        <v>6611289</v>
      </c>
      <c r="G105" s="1100">
        <f t="shared" si="1"/>
        <v>0.98599503817562351</v>
      </c>
      <c r="H105" s="34"/>
    </row>
    <row r="106" spans="1:9" ht="12" x14ac:dyDescent="0.2">
      <c r="C106" s="690"/>
      <c r="D106" s="690"/>
      <c r="E106" s="690"/>
      <c r="F106" s="690"/>
      <c r="G106" s="691"/>
    </row>
    <row r="107" spans="1:9" ht="12" x14ac:dyDescent="0.2">
      <c r="C107" s="692"/>
      <c r="D107" s="692"/>
      <c r="E107" s="692"/>
      <c r="F107" s="692"/>
    </row>
  </sheetData>
  <mergeCells count="7">
    <mergeCell ref="A1:H1"/>
    <mergeCell ref="A2:H2"/>
    <mergeCell ref="G4:G6"/>
    <mergeCell ref="C4:C6"/>
    <mergeCell ref="D4:D6"/>
    <mergeCell ref="E4:E6"/>
    <mergeCell ref="F4:F6"/>
  </mergeCells>
  <phoneticPr fontId="0" type="noConversion"/>
  <printOptions horizontalCentered="1"/>
  <pageMargins left="0" right="0" top="0.59055118110236227" bottom="0.39370078740157483" header="0.11811023622047245" footer="0"/>
  <pageSetup paperSize="9" scale="56" firstPageNumber="40" orientation="landscape" useFirstPageNumber="1" r:id="rId1"/>
  <headerFooter alignWithMargins="0">
    <oddFooter>&amp;P. oldal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73"/>
  <sheetViews>
    <sheetView topLeftCell="A4" workbookViewId="0">
      <selection activeCell="H44" sqref="H44"/>
    </sheetView>
  </sheetViews>
  <sheetFormatPr defaultColWidth="9.140625" defaultRowHeight="12" x14ac:dyDescent="0.2"/>
  <cols>
    <col min="1" max="1" width="6.140625" style="28" customWidth="1"/>
    <col min="2" max="2" width="52" style="28" customWidth="1"/>
    <col min="3" max="6" width="12.42578125" style="16" customWidth="1"/>
    <col min="7" max="7" width="10.5703125" style="685" customWidth="1"/>
    <col min="8" max="8" width="48.28515625" style="28" customWidth="1"/>
    <col min="9" max="16384" width="9.140625" style="28"/>
  </cols>
  <sheetData>
    <row r="1" spans="1:8" s="15" customFormat="1" ht="12.75" x14ac:dyDescent="0.2">
      <c r="A1" s="1180" t="s">
        <v>119</v>
      </c>
      <c r="B1" s="1148"/>
      <c r="C1" s="1148"/>
      <c r="D1" s="1148"/>
      <c r="E1" s="1148"/>
      <c r="F1" s="1148"/>
      <c r="G1" s="1148"/>
      <c r="H1" s="1148"/>
    </row>
    <row r="2" spans="1:8" s="15" customFormat="1" ht="12.75" x14ac:dyDescent="0.2">
      <c r="A2" s="1182" t="s">
        <v>1184</v>
      </c>
      <c r="B2" s="1183"/>
      <c r="C2" s="1183"/>
      <c r="D2" s="1183"/>
      <c r="E2" s="1183"/>
      <c r="F2" s="1183"/>
      <c r="G2" s="1183"/>
      <c r="H2" s="1183"/>
    </row>
    <row r="3" spans="1:8" s="15" customFormat="1" ht="9.75" customHeight="1" x14ac:dyDescent="0.2">
      <c r="A3" s="677"/>
      <c r="B3" s="677"/>
      <c r="C3" s="283"/>
      <c r="D3" s="283"/>
      <c r="E3" s="283"/>
      <c r="F3" s="283"/>
      <c r="G3" s="284"/>
    </row>
    <row r="4" spans="1:8" s="15" customFormat="1" x14ac:dyDescent="0.2">
      <c r="A4" s="282"/>
      <c r="B4" s="282"/>
      <c r="C4" s="283"/>
      <c r="D4" s="283"/>
      <c r="E4" s="283"/>
      <c r="F4" s="283"/>
      <c r="G4" s="284"/>
      <c r="H4" s="60" t="s">
        <v>146</v>
      </c>
    </row>
    <row r="5" spans="1:8" ht="12" customHeight="1" x14ac:dyDescent="0.2">
      <c r="A5" s="256"/>
      <c r="B5" s="260"/>
      <c r="C5" s="1140" t="s">
        <v>1252</v>
      </c>
      <c r="D5" s="1140" t="s">
        <v>1337</v>
      </c>
      <c r="E5" s="1140" t="s">
        <v>1355</v>
      </c>
      <c r="F5" s="1140" t="s">
        <v>1357</v>
      </c>
      <c r="G5" s="1188" t="s">
        <v>1358</v>
      </c>
      <c r="H5" s="1" t="s">
        <v>435</v>
      </c>
    </row>
    <row r="6" spans="1:8" ht="12" customHeight="1" x14ac:dyDescent="0.2">
      <c r="A6" s="10" t="s">
        <v>234</v>
      </c>
      <c r="B6" s="262" t="s">
        <v>114</v>
      </c>
      <c r="C6" s="1184"/>
      <c r="D6" s="1184"/>
      <c r="E6" s="1184"/>
      <c r="F6" s="1162"/>
      <c r="G6" s="1189"/>
      <c r="H6" s="10" t="s">
        <v>115</v>
      </c>
    </row>
    <row r="7" spans="1:8" s="15" customFormat="1" ht="12.75" customHeight="1" thickBot="1" x14ac:dyDescent="0.25">
      <c r="A7" s="10"/>
      <c r="B7" s="247"/>
      <c r="C7" s="1161"/>
      <c r="D7" s="1161"/>
      <c r="E7" s="1161"/>
      <c r="F7" s="1163"/>
      <c r="G7" s="1190"/>
      <c r="H7" s="247"/>
    </row>
    <row r="8" spans="1:8" s="15" customFormat="1" x14ac:dyDescent="0.2">
      <c r="A8" s="248" t="s">
        <v>131</v>
      </c>
      <c r="B8" s="248" t="s">
        <v>132</v>
      </c>
      <c r="C8" s="1" t="s">
        <v>133</v>
      </c>
      <c r="D8" s="1" t="s">
        <v>454</v>
      </c>
      <c r="E8" s="1" t="s">
        <v>455</v>
      </c>
      <c r="F8" s="1" t="s">
        <v>469</v>
      </c>
      <c r="G8" s="1" t="s">
        <v>520</v>
      </c>
      <c r="H8" s="1" t="s">
        <v>410</v>
      </c>
    </row>
    <row r="9" spans="1:8" s="15" customFormat="1" ht="12.75" x14ac:dyDescent="0.2">
      <c r="A9" s="255"/>
      <c r="B9" s="285" t="s">
        <v>227</v>
      </c>
      <c r="C9" s="3"/>
      <c r="D9" s="3"/>
      <c r="E9" s="3"/>
      <c r="F9" s="3"/>
      <c r="G9" s="257"/>
      <c r="H9" s="254"/>
    </row>
    <row r="10" spans="1:8" x14ac:dyDescent="0.2">
      <c r="A10" s="10"/>
      <c r="B10" s="269" t="s">
        <v>216</v>
      </c>
      <c r="C10" s="678"/>
      <c r="D10" s="678"/>
      <c r="E10" s="678"/>
      <c r="F10" s="678"/>
      <c r="G10" s="286"/>
      <c r="H10" s="29"/>
    </row>
    <row r="11" spans="1:8" x14ac:dyDescent="0.2">
      <c r="A11" s="51">
        <v>5002</v>
      </c>
      <c r="B11" s="607" t="s">
        <v>1280</v>
      </c>
      <c r="C11" s="678"/>
      <c r="D11" s="845">
        <v>45694</v>
      </c>
      <c r="E11" s="845">
        <v>45694</v>
      </c>
      <c r="F11" s="845">
        <v>45694</v>
      </c>
      <c r="G11" s="286">
        <f>F11/E11</f>
        <v>1</v>
      </c>
      <c r="H11" s="29"/>
    </row>
    <row r="12" spans="1:8" x14ac:dyDescent="0.2">
      <c r="A12" s="51">
        <v>5003</v>
      </c>
      <c r="B12" s="607" t="s">
        <v>1214</v>
      </c>
      <c r="C12" s="845">
        <v>45000</v>
      </c>
      <c r="D12" s="845">
        <v>45000</v>
      </c>
      <c r="E12" s="845">
        <v>45000</v>
      </c>
      <c r="F12" s="845">
        <v>45000</v>
      </c>
      <c r="G12" s="286">
        <f t="shared" ref="G12:G73" si="0">F12/E12</f>
        <v>1</v>
      </c>
      <c r="H12" s="29"/>
    </row>
    <row r="13" spans="1:8" x14ac:dyDescent="0.2">
      <c r="A13" s="51">
        <v>5004</v>
      </c>
      <c r="B13" s="607" t="s">
        <v>1331</v>
      </c>
      <c r="C13" s="845"/>
      <c r="D13" s="845">
        <v>50000</v>
      </c>
      <c r="E13" s="845">
        <v>50000</v>
      </c>
      <c r="F13" s="845">
        <v>50000</v>
      </c>
      <c r="G13" s="286">
        <f t="shared" si="0"/>
        <v>1</v>
      </c>
      <c r="H13" s="29"/>
    </row>
    <row r="14" spans="1:8" x14ac:dyDescent="0.2">
      <c r="A14" s="51">
        <v>5005</v>
      </c>
      <c r="B14" s="607" t="s">
        <v>1215</v>
      </c>
      <c r="C14" s="845">
        <v>30000</v>
      </c>
      <c r="D14" s="845">
        <f>30000+30000</f>
        <v>60000</v>
      </c>
      <c r="E14" s="845">
        <f>30000+30000</f>
        <v>60000</v>
      </c>
      <c r="F14" s="845">
        <f>30000+30000</f>
        <v>60000</v>
      </c>
      <c r="G14" s="286">
        <f t="shared" si="0"/>
        <v>1</v>
      </c>
      <c r="H14" s="29"/>
    </row>
    <row r="15" spans="1:8" x14ac:dyDescent="0.2">
      <c r="A15" s="51">
        <v>5006</v>
      </c>
      <c r="B15" s="607" t="s">
        <v>1216</v>
      </c>
      <c r="C15" s="845">
        <v>10000</v>
      </c>
      <c r="D15" s="845">
        <v>10000</v>
      </c>
      <c r="E15" s="845">
        <f>E16+E17</f>
        <v>10000</v>
      </c>
      <c r="F15" s="845">
        <f>F16+F17</f>
        <v>10000</v>
      </c>
      <c r="G15" s="286">
        <f t="shared" si="0"/>
        <v>1</v>
      </c>
      <c r="H15" s="29"/>
    </row>
    <row r="16" spans="1:8" x14ac:dyDescent="0.2">
      <c r="A16" s="51"/>
      <c r="B16" s="1050" t="s">
        <v>205</v>
      </c>
      <c r="C16" s="845"/>
      <c r="D16" s="845"/>
      <c r="E16" s="1125">
        <f>10000-10000</f>
        <v>0</v>
      </c>
      <c r="F16" s="1125">
        <f>10000-10000</f>
        <v>0</v>
      </c>
      <c r="G16" s="286"/>
      <c r="H16" s="29"/>
    </row>
    <row r="17" spans="1:15" x14ac:dyDescent="0.2">
      <c r="A17" s="51"/>
      <c r="B17" s="417" t="s">
        <v>326</v>
      </c>
      <c r="C17" s="845"/>
      <c r="D17" s="845"/>
      <c r="E17" s="1125">
        <v>10000</v>
      </c>
      <c r="F17" s="1125">
        <v>10000</v>
      </c>
      <c r="G17" s="286">
        <f t="shared" si="0"/>
        <v>1</v>
      </c>
      <c r="H17" s="29"/>
    </row>
    <row r="18" spans="1:15" x14ac:dyDescent="0.2">
      <c r="A18" s="51">
        <v>5008</v>
      </c>
      <c r="B18" s="607" t="s">
        <v>1217</v>
      </c>
      <c r="C18" s="845">
        <v>35560</v>
      </c>
      <c r="D18" s="845">
        <v>35560</v>
      </c>
      <c r="E18" s="845">
        <v>35560</v>
      </c>
      <c r="F18" s="845">
        <v>35560</v>
      </c>
      <c r="G18" s="286">
        <f t="shared" si="0"/>
        <v>1</v>
      </c>
      <c r="H18" s="29"/>
    </row>
    <row r="19" spans="1:15" x14ac:dyDescent="0.2">
      <c r="A19" s="51">
        <v>5009</v>
      </c>
      <c r="B19" s="607" t="s">
        <v>1100</v>
      </c>
      <c r="C19" s="21">
        <v>20000</v>
      </c>
      <c r="D19" s="21">
        <v>20000</v>
      </c>
      <c r="E19" s="21">
        <v>20000</v>
      </c>
      <c r="F19" s="21">
        <v>20000</v>
      </c>
      <c r="G19" s="286">
        <f t="shared" si="0"/>
        <v>1</v>
      </c>
      <c r="H19" s="29"/>
    </row>
    <row r="20" spans="1:15" hidden="1" x14ac:dyDescent="0.2">
      <c r="A20" s="51">
        <v>5010</v>
      </c>
      <c r="B20" s="607" t="s">
        <v>1122</v>
      </c>
      <c r="C20" s="21"/>
      <c r="D20" s="21"/>
      <c r="E20" s="21"/>
      <c r="F20" s="21"/>
      <c r="G20" s="286"/>
      <c r="H20" s="29"/>
    </row>
    <row r="21" spans="1:15" ht="12.75" x14ac:dyDescent="0.2">
      <c r="A21" s="51">
        <v>5011</v>
      </c>
      <c r="B21" s="607" t="s">
        <v>1029</v>
      </c>
      <c r="C21" s="21">
        <f>59747+20000</f>
        <v>79747</v>
      </c>
      <c r="D21" s="21">
        <f>59747+20000</f>
        <v>79747</v>
      </c>
      <c r="E21" s="21">
        <f>79747-11971</f>
        <v>67776</v>
      </c>
      <c r="F21" s="21">
        <f>79747-11971</f>
        <v>67776</v>
      </c>
      <c r="G21" s="286">
        <f t="shared" si="0"/>
        <v>1</v>
      </c>
      <c r="H21" s="29"/>
      <c r="L21" s="827"/>
      <c r="M21" s="86"/>
      <c r="N21" s="826"/>
      <c r="O21" s="827"/>
    </row>
    <row r="22" spans="1:15" ht="12.75" x14ac:dyDescent="0.2">
      <c r="A22" s="51">
        <v>5012</v>
      </c>
      <c r="B22" s="607" t="s">
        <v>1218</v>
      </c>
      <c r="C22" s="21">
        <v>199000</v>
      </c>
      <c r="D22" s="21">
        <v>199000</v>
      </c>
      <c r="E22" s="21">
        <v>199000</v>
      </c>
      <c r="F22" s="21">
        <v>199000</v>
      </c>
      <c r="G22" s="286">
        <f t="shared" si="0"/>
        <v>1</v>
      </c>
      <c r="H22" s="29"/>
      <c r="L22" s="827"/>
      <c r="M22" s="86"/>
      <c r="N22" s="826"/>
      <c r="O22" s="827"/>
    </row>
    <row r="23" spans="1:15" ht="12.75" x14ac:dyDescent="0.2">
      <c r="A23" s="50">
        <v>5013</v>
      </c>
      <c r="B23" s="320" t="s">
        <v>421</v>
      </c>
      <c r="C23" s="679"/>
      <c r="D23" s="679">
        <f>D24</f>
        <v>5939</v>
      </c>
      <c r="E23" s="679">
        <f>E24</f>
        <v>8058</v>
      </c>
      <c r="F23" s="679">
        <f>F24</f>
        <v>8058</v>
      </c>
      <c r="G23" s="286">
        <f t="shared" si="0"/>
        <v>1</v>
      </c>
      <c r="H23" s="331" t="s">
        <v>1397</v>
      </c>
      <c r="L23" s="827"/>
      <c r="M23" s="86"/>
      <c r="N23" s="826"/>
      <c r="O23" s="827"/>
    </row>
    <row r="24" spans="1:15" ht="12.75" x14ac:dyDescent="0.2">
      <c r="A24" s="50"/>
      <c r="B24" s="1047" t="s">
        <v>254</v>
      </c>
      <c r="C24" s="1048"/>
      <c r="D24" s="1048">
        <v>5939</v>
      </c>
      <c r="E24" s="1048">
        <f>5939+2119</f>
        <v>8058</v>
      </c>
      <c r="F24" s="1048">
        <f>5939+2119</f>
        <v>8058</v>
      </c>
      <c r="G24" s="1049">
        <f t="shared" si="0"/>
        <v>1</v>
      </c>
      <c r="H24" s="33"/>
      <c r="L24" s="827"/>
      <c r="M24" s="86"/>
      <c r="N24" s="826"/>
      <c r="O24" s="827"/>
    </row>
    <row r="25" spans="1:15" ht="12.75" x14ac:dyDescent="0.2">
      <c r="A25" s="50">
        <v>5014</v>
      </c>
      <c r="B25" s="320" t="s">
        <v>423</v>
      </c>
      <c r="C25" s="679">
        <f>10000+10000+20000</f>
        <v>40000</v>
      </c>
      <c r="D25" s="679">
        <f>10000+10000+20000</f>
        <v>40000</v>
      </c>
      <c r="E25" s="679">
        <f>10000+10000+20000</f>
        <v>40000</v>
      </c>
      <c r="F25" s="679">
        <f>10000+10000+20000</f>
        <v>40000</v>
      </c>
      <c r="G25" s="286">
        <f t="shared" si="0"/>
        <v>1</v>
      </c>
      <c r="H25" s="331" t="s">
        <v>1398</v>
      </c>
      <c r="L25" s="827"/>
      <c r="M25" s="86"/>
      <c r="N25" s="826"/>
      <c r="O25" s="827"/>
    </row>
    <row r="26" spans="1:15" ht="12.75" x14ac:dyDescent="0.2">
      <c r="A26" s="50">
        <v>5015</v>
      </c>
      <c r="B26" s="320" t="s">
        <v>998</v>
      </c>
      <c r="C26" s="845">
        <v>15000</v>
      </c>
      <c r="D26" s="845">
        <f>15000+124</f>
        <v>15124</v>
      </c>
      <c r="E26" s="845">
        <f>E27+E28</f>
        <v>15124</v>
      </c>
      <c r="F26" s="845">
        <f>F27+F28</f>
        <v>15124</v>
      </c>
      <c r="G26" s="286">
        <f t="shared" si="0"/>
        <v>1</v>
      </c>
      <c r="H26" s="331" t="s">
        <v>1399</v>
      </c>
      <c r="L26" s="827"/>
      <c r="M26" s="86"/>
      <c r="N26" s="826"/>
      <c r="O26" s="827"/>
    </row>
    <row r="27" spans="1:15" ht="12.75" x14ac:dyDescent="0.2">
      <c r="A27" s="50"/>
      <c r="B27" s="1047" t="s">
        <v>254</v>
      </c>
      <c r="C27" s="845"/>
      <c r="D27" s="845"/>
      <c r="E27" s="1125">
        <v>410</v>
      </c>
      <c r="F27" s="1125">
        <v>410</v>
      </c>
      <c r="G27" s="286">
        <f t="shared" si="0"/>
        <v>1</v>
      </c>
      <c r="H27" s="301"/>
      <c r="L27" s="827"/>
      <c r="M27" s="86"/>
      <c r="N27" s="826"/>
      <c r="O27" s="827"/>
    </row>
    <row r="28" spans="1:15" ht="12.75" x14ac:dyDescent="0.2">
      <c r="A28" s="50"/>
      <c r="B28" s="1050" t="s">
        <v>205</v>
      </c>
      <c r="C28" s="845"/>
      <c r="D28" s="845"/>
      <c r="E28" s="1125">
        <f>15124-410</f>
        <v>14714</v>
      </c>
      <c r="F28" s="1125">
        <f>15124-410</f>
        <v>14714</v>
      </c>
      <c r="G28" s="286">
        <f t="shared" si="0"/>
        <v>1</v>
      </c>
      <c r="H28" s="301"/>
      <c r="L28" s="827"/>
      <c r="M28" s="86"/>
      <c r="N28" s="826"/>
      <c r="O28" s="827"/>
    </row>
    <row r="29" spans="1:15" hidden="1" x14ac:dyDescent="0.2">
      <c r="A29" s="50">
        <v>5016</v>
      </c>
      <c r="B29" s="320" t="s">
        <v>461</v>
      </c>
      <c r="C29" s="679"/>
      <c r="D29" s="679"/>
      <c r="E29" s="679"/>
      <c r="F29" s="679"/>
      <c r="G29" s="286"/>
      <c r="H29" s="399" t="s">
        <v>1379</v>
      </c>
    </row>
    <row r="30" spans="1:15" x14ac:dyDescent="0.2">
      <c r="A30" s="50">
        <v>5018</v>
      </c>
      <c r="B30" s="320" t="s">
        <v>992</v>
      </c>
      <c r="C30" s="679"/>
      <c r="D30" s="679"/>
      <c r="E30" s="679"/>
      <c r="F30" s="679"/>
      <c r="G30" s="286"/>
      <c r="H30" s="399"/>
    </row>
    <row r="31" spans="1:15" ht="14.25" customHeight="1" x14ac:dyDescent="0.2">
      <c r="A31" s="50">
        <v>5019</v>
      </c>
      <c r="B31" s="320" t="s">
        <v>993</v>
      </c>
      <c r="C31" s="818">
        <v>364178</v>
      </c>
      <c r="D31" s="679">
        <v>364178</v>
      </c>
      <c r="E31" s="679">
        <v>364178</v>
      </c>
      <c r="F31" s="679">
        <v>364178</v>
      </c>
      <c r="G31" s="286">
        <f t="shared" si="0"/>
        <v>1</v>
      </c>
      <c r="H31" s="399"/>
    </row>
    <row r="32" spans="1:15" x14ac:dyDescent="0.2">
      <c r="A32" s="50"/>
      <c r="B32" s="1047" t="s">
        <v>254</v>
      </c>
      <c r="C32" s="818"/>
      <c r="D32" s="679"/>
      <c r="E32" s="679"/>
      <c r="F32" s="1048">
        <v>300</v>
      </c>
      <c r="G32" s="286"/>
      <c r="H32" s="399"/>
    </row>
    <row r="33" spans="1:9" x14ac:dyDescent="0.2">
      <c r="A33" s="50"/>
      <c r="B33" s="1050" t="s">
        <v>205</v>
      </c>
      <c r="C33" s="818"/>
      <c r="D33" s="679"/>
      <c r="E33" s="679"/>
      <c r="F33" s="1048">
        <v>363878</v>
      </c>
      <c r="G33" s="286"/>
      <c r="H33" s="399"/>
    </row>
    <row r="34" spans="1:9" x14ac:dyDescent="0.2">
      <c r="A34" s="255">
        <v>5010</v>
      </c>
      <c r="B34" s="319" t="s">
        <v>140</v>
      </c>
      <c r="C34" s="7">
        <f>SUM(C12:C31)</f>
        <v>838485</v>
      </c>
      <c r="D34" s="4">
        <f>D11+D12+D13+D14+D15+D18+D19+D21+D22+D23+D25+D26+D31</f>
        <v>970242</v>
      </c>
      <c r="E34" s="4">
        <f>E11+E12+E13+E14+E15+E18+E19+E21+E22+E23+E25+E26+E31</f>
        <v>960390</v>
      </c>
      <c r="F34" s="4">
        <f>F11+F12+F13+F14+F15+F18+F19+F21+F22+F23+F25+F26+F31</f>
        <v>960390</v>
      </c>
      <c r="G34" s="1051">
        <f t="shared" si="0"/>
        <v>1</v>
      </c>
      <c r="H34" s="35"/>
    </row>
    <row r="35" spans="1:9" s="15" customFormat="1" x14ac:dyDescent="0.2">
      <c r="A35" s="10"/>
      <c r="B35" s="260" t="s">
        <v>457</v>
      </c>
      <c r="C35" s="680"/>
      <c r="D35" s="680"/>
      <c r="E35" s="680"/>
      <c r="F35" s="680"/>
      <c r="G35" s="286"/>
      <c r="H35" s="31"/>
    </row>
    <row r="36" spans="1:9" s="15" customFormat="1" hidden="1" x14ac:dyDescent="0.2">
      <c r="A36" s="33">
        <v>5020</v>
      </c>
      <c r="B36" s="29" t="s">
        <v>1095</v>
      </c>
      <c r="C36" s="680"/>
      <c r="D36" s="680"/>
      <c r="E36" s="680"/>
      <c r="F36" s="680"/>
      <c r="G36" s="286"/>
      <c r="H36" s="31"/>
    </row>
    <row r="37" spans="1:9" x14ac:dyDescent="0.2">
      <c r="A37" s="50">
        <v>5022</v>
      </c>
      <c r="B37" s="287" t="s">
        <v>1042</v>
      </c>
      <c r="C37" s="679">
        <v>0</v>
      </c>
      <c r="D37" s="679">
        <v>0</v>
      </c>
      <c r="E37" s="679">
        <v>0</v>
      </c>
      <c r="F37" s="679">
        <v>0</v>
      </c>
      <c r="G37" s="286"/>
      <c r="H37" s="401"/>
    </row>
    <row r="38" spans="1:9" x14ac:dyDescent="0.2">
      <c r="A38" s="50">
        <v>5023</v>
      </c>
      <c r="B38" s="287" t="s">
        <v>1376</v>
      </c>
      <c r="C38" s="679">
        <v>1094589</v>
      </c>
      <c r="D38" s="679">
        <v>1094589</v>
      </c>
      <c r="E38" s="679">
        <f>E39+E40</f>
        <v>1094589</v>
      </c>
      <c r="F38" s="679">
        <f>F39+F40</f>
        <v>1151312</v>
      </c>
      <c r="G38" s="286">
        <f t="shared" si="0"/>
        <v>1.0518212772099849</v>
      </c>
      <c r="H38" s="401"/>
      <c r="I38" s="798"/>
    </row>
    <row r="39" spans="1:9" x14ac:dyDescent="0.2">
      <c r="A39" s="50"/>
      <c r="B39" s="287" t="s">
        <v>254</v>
      </c>
      <c r="C39" s="679"/>
      <c r="D39" s="679"/>
      <c r="E39" s="1048">
        <v>16002</v>
      </c>
      <c r="F39" s="1048">
        <v>16002</v>
      </c>
      <c r="G39" s="286">
        <f t="shared" si="0"/>
        <v>1</v>
      </c>
      <c r="H39" s="401"/>
      <c r="I39" s="798"/>
    </row>
    <row r="40" spans="1:9" x14ac:dyDescent="0.2">
      <c r="A40" s="50"/>
      <c r="B40" s="287" t="s">
        <v>205</v>
      </c>
      <c r="C40" s="679"/>
      <c r="D40" s="679"/>
      <c r="E40" s="1048">
        <f>1094589-16002</f>
        <v>1078587</v>
      </c>
      <c r="F40" s="1048">
        <f>1094589-16002+56723</f>
        <v>1135310</v>
      </c>
      <c r="G40" s="286">
        <f t="shared" si="0"/>
        <v>1.0525901016793267</v>
      </c>
      <c r="H40" s="401"/>
      <c r="I40" s="798"/>
    </row>
    <row r="41" spans="1:9" x14ac:dyDescent="0.2">
      <c r="A41" s="50">
        <v>5024</v>
      </c>
      <c r="B41" s="287" t="s">
        <v>1259</v>
      </c>
      <c r="C41" s="679"/>
      <c r="D41" s="679">
        <f>D42</f>
        <v>4660</v>
      </c>
      <c r="E41" s="679">
        <f>E42</f>
        <v>4660</v>
      </c>
      <c r="F41" s="679">
        <f>F42</f>
        <v>4660</v>
      </c>
      <c r="G41" s="286">
        <f t="shared" si="0"/>
        <v>1</v>
      </c>
      <c r="H41" s="401"/>
      <c r="I41" s="798"/>
    </row>
    <row r="42" spans="1:9" x14ac:dyDescent="0.2">
      <c r="A42" s="50"/>
      <c r="B42" s="1047" t="s">
        <v>254</v>
      </c>
      <c r="C42" s="1048"/>
      <c r="D42" s="1048">
        <v>4660</v>
      </c>
      <c r="E42" s="1048">
        <v>4660</v>
      </c>
      <c r="F42" s="1048">
        <v>4660</v>
      </c>
      <c r="G42" s="1049">
        <f t="shared" si="0"/>
        <v>1</v>
      </c>
      <c r="H42" s="401"/>
      <c r="I42" s="798"/>
    </row>
    <row r="43" spans="1:9" hidden="1" x14ac:dyDescent="0.2">
      <c r="A43" s="50">
        <v>5025</v>
      </c>
      <c r="B43" s="287" t="s">
        <v>1131</v>
      </c>
      <c r="C43" s="679">
        <v>0</v>
      </c>
      <c r="D43" s="679">
        <v>0</v>
      </c>
      <c r="E43" s="679">
        <v>0</v>
      </c>
      <c r="F43" s="679">
        <v>0</v>
      </c>
      <c r="G43" s="286"/>
      <c r="H43" s="401"/>
    </row>
    <row r="44" spans="1:9" x14ac:dyDescent="0.2">
      <c r="A44" s="50">
        <v>5026</v>
      </c>
      <c r="B44" s="287" t="s">
        <v>1377</v>
      </c>
      <c r="C44" s="679"/>
      <c r="D44" s="679"/>
      <c r="E44" s="679"/>
      <c r="F44" s="679">
        <v>20000</v>
      </c>
      <c r="G44" s="286"/>
      <c r="H44" s="401"/>
    </row>
    <row r="45" spans="1:9" s="15" customFormat="1" x14ac:dyDescent="0.2">
      <c r="A45" s="255">
        <v>5020</v>
      </c>
      <c r="B45" s="288" t="s">
        <v>140</v>
      </c>
      <c r="C45" s="4">
        <f>C36+C37+C38+C43</f>
        <v>1094589</v>
      </c>
      <c r="D45" s="4">
        <f>D36+D37+D38+D41+D43</f>
        <v>1099249</v>
      </c>
      <c r="E45" s="4">
        <f>E36+E37+E38+E41+E43</f>
        <v>1099249</v>
      </c>
      <c r="F45" s="4">
        <f>SUM(F38+F41+F44)</f>
        <v>1175972</v>
      </c>
      <c r="G45" s="1051">
        <f t="shared" si="0"/>
        <v>1.0697958333371238</v>
      </c>
      <c r="H45" s="271"/>
    </row>
    <row r="46" spans="1:9" s="15" customFormat="1" ht="12" customHeight="1" x14ac:dyDescent="0.2">
      <c r="A46" s="10"/>
      <c r="B46" s="289" t="s">
        <v>420</v>
      </c>
      <c r="C46" s="680"/>
      <c r="D46" s="680"/>
      <c r="E46" s="680"/>
      <c r="F46" s="680"/>
      <c r="G46" s="286"/>
      <c r="H46" s="31"/>
    </row>
    <row r="47" spans="1:9" x14ac:dyDescent="0.2">
      <c r="A47" s="50">
        <v>5033</v>
      </c>
      <c r="B47" s="320" t="s">
        <v>17</v>
      </c>
      <c r="C47" s="845">
        <f>25000+47117</f>
        <v>72117</v>
      </c>
      <c r="D47" s="845">
        <f>D52+D53</f>
        <v>72117</v>
      </c>
      <c r="E47" s="845">
        <f>E52+E53</f>
        <v>72117</v>
      </c>
      <c r="F47" s="845">
        <f>F52+F53</f>
        <v>72117</v>
      </c>
      <c r="G47" s="286">
        <f t="shared" si="0"/>
        <v>1</v>
      </c>
      <c r="H47" s="331" t="s">
        <v>1398</v>
      </c>
    </row>
    <row r="48" spans="1:9" hidden="1" x14ac:dyDescent="0.2">
      <c r="A48" s="50">
        <v>5038</v>
      </c>
      <c r="B48" s="397" t="s">
        <v>430</v>
      </c>
      <c r="C48" s="679"/>
      <c r="D48" s="679"/>
      <c r="E48" s="679"/>
      <c r="F48" s="679"/>
      <c r="G48" s="286" t="e">
        <f t="shared" si="0"/>
        <v>#DIV/0!</v>
      </c>
      <c r="H48" s="290"/>
    </row>
    <row r="49" spans="1:8" hidden="1" x14ac:dyDescent="0.2">
      <c r="A49" s="50">
        <v>5037</v>
      </c>
      <c r="B49" s="397" t="s">
        <v>443</v>
      </c>
      <c r="C49" s="679"/>
      <c r="D49" s="679"/>
      <c r="E49" s="679"/>
      <c r="F49" s="679"/>
      <c r="G49" s="286" t="e">
        <f t="shared" si="0"/>
        <v>#DIV/0!</v>
      </c>
      <c r="H49" s="290"/>
    </row>
    <row r="50" spans="1:8" hidden="1" x14ac:dyDescent="0.2">
      <c r="A50" s="50">
        <v>5039</v>
      </c>
      <c r="B50" s="397" t="s">
        <v>442</v>
      </c>
      <c r="C50" s="679"/>
      <c r="D50" s="679"/>
      <c r="E50" s="679"/>
      <c r="F50" s="679"/>
      <c r="G50" s="286" t="e">
        <f t="shared" si="0"/>
        <v>#DIV/0!</v>
      </c>
      <c r="H50" s="290"/>
    </row>
    <row r="51" spans="1:8" hidden="1" x14ac:dyDescent="0.2">
      <c r="A51" s="50">
        <v>5049</v>
      </c>
      <c r="B51" s="287" t="s">
        <v>407</v>
      </c>
      <c r="C51" s="679"/>
      <c r="D51" s="679"/>
      <c r="E51" s="679"/>
      <c r="F51" s="679"/>
      <c r="G51" s="286" t="e">
        <f t="shared" si="0"/>
        <v>#DIV/0!</v>
      </c>
      <c r="H51" s="290"/>
    </row>
    <row r="52" spans="1:8" x14ac:dyDescent="0.2">
      <c r="A52" s="50"/>
      <c r="B52" s="1050" t="s">
        <v>254</v>
      </c>
      <c r="C52" s="1048"/>
      <c r="D52" s="1048">
        <v>0</v>
      </c>
      <c r="E52" s="1048">
        <v>0</v>
      </c>
      <c r="F52" s="1048">
        <v>0</v>
      </c>
      <c r="G52" s="1049"/>
      <c r="H52" s="290"/>
    </row>
    <row r="53" spans="1:8" x14ac:dyDescent="0.2">
      <c r="A53" s="50"/>
      <c r="B53" s="1050" t="s">
        <v>205</v>
      </c>
      <c r="C53" s="1048"/>
      <c r="D53" s="1048">
        <v>72117</v>
      </c>
      <c r="E53" s="1048">
        <v>72117</v>
      </c>
      <c r="F53" s="1048">
        <v>72117</v>
      </c>
      <c r="G53" s="1049">
        <f t="shared" si="0"/>
        <v>1</v>
      </c>
      <c r="H53" s="290"/>
    </row>
    <row r="54" spans="1:8" x14ac:dyDescent="0.2">
      <c r="A54" s="50">
        <v>5034</v>
      </c>
      <c r="B54" s="320" t="s">
        <v>1269</v>
      </c>
      <c r="C54" s="1048"/>
      <c r="D54" s="679">
        <f>D55</f>
        <v>108</v>
      </c>
      <c r="E54" s="679">
        <f>E55</f>
        <v>108</v>
      </c>
      <c r="F54" s="679">
        <f>F55</f>
        <v>108</v>
      </c>
      <c r="G54" s="1049">
        <f t="shared" si="0"/>
        <v>1</v>
      </c>
      <c r="H54" s="290"/>
    </row>
    <row r="55" spans="1:8" x14ac:dyDescent="0.2">
      <c r="A55" s="50"/>
      <c r="B55" s="146" t="s">
        <v>254</v>
      </c>
      <c r="C55" s="1048"/>
      <c r="D55" s="1048">
        <v>108</v>
      </c>
      <c r="E55" s="1048">
        <v>108</v>
      </c>
      <c r="F55" s="1048">
        <v>108</v>
      </c>
      <c r="G55" s="1102">
        <f t="shared" si="0"/>
        <v>1</v>
      </c>
      <c r="H55" s="290"/>
    </row>
    <row r="56" spans="1:8" ht="12" customHeight="1" x14ac:dyDescent="0.2">
      <c r="A56" s="255">
        <v>5030</v>
      </c>
      <c r="B56" s="288" t="s">
        <v>140</v>
      </c>
      <c r="C56" s="4">
        <f>SUM(C47)</f>
        <v>72117</v>
      </c>
      <c r="D56" s="4">
        <f>SUM(D47)+D54</f>
        <v>72225</v>
      </c>
      <c r="E56" s="4">
        <f>SUM(E47)+E54</f>
        <v>72225</v>
      </c>
      <c r="F56" s="4">
        <f>SUM(F47)+F54</f>
        <v>72225</v>
      </c>
      <c r="G56" s="1051">
        <f t="shared" si="0"/>
        <v>1</v>
      </c>
      <c r="H56" s="271"/>
    </row>
    <row r="57" spans="1:8" ht="12" customHeight="1" x14ac:dyDescent="0.2">
      <c r="A57" s="256"/>
      <c r="B57" s="313" t="s">
        <v>462</v>
      </c>
      <c r="C57" s="681"/>
      <c r="D57" s="681"/>
      <c r="E57" s="681"/>
      <c r="F57" s="681"/>
      <c r="G57" s="286"/>
      <c r="H57" s="314"/>
    </row>
    <row r="58" spans="1:8" ht="12" customHeight="1" x14ac:dyDescent="0.2">
      <c r="A58" s="51">
        <v>5056</v>
      </c>
      <c r="B58" s="321" t="s">
        <v>1118</v>
      </c>
      <c r="C58" s="198">
        <v>8917</v>
      </c>
      <c r="D58" s="198">
        <v>8917</v>
      </c>
      <c r="E58" s="198">
        <v>8917</v>
      </c>
      <c r="F58" s="198">
        <v>8917</v>
      </c>
      <c r="G58" s="286">
        <f t="shared" si="0"/>
        <v>1</v>
      </c>
      <c r="H58" s="322"/>
    </row>
    <row r="59" spans="1:8" ht="12" customHeight="1" x14ac:dyDescent="0.2">
      <c r="A59" s="51">
        <v>5061</v>
      </c>
      <c r="B59" s="321" t="s">
        <v>1219</v>
      </c>
      <c r="C59" s="198">
        <v>10000</v>
      </c>
      <c r="D59" s="198">
        <v>10000</v>
      </c>
      <c r="E59" s="198">
        <v>10000</v>
      </c>
      <c r="F59" s="198">
        <v>10000</v>
      </c>
      <c r="G59" s="286">
        <f t="shared" si="0"/>
        <v>1</v>
      </c>
      <c r="H59" s="322"/>
    </row>
    <row r="60" spans="1:8" ht="12" customHeight="1" x14ac:dyDescent="0.2">
      <c r="A60" s="255">
        <v>5060</v>
      </c>
      <c r="B60" s="288" t="s">
        <v>140</v>
      </c>
      <c r="C60" s="4">
        <f>SUM(C58:C59)</f>
        <v>18917</v>
      </c>
      <c r="D60" s="4">
        <f>SUM(D58:D59)</f>
        <v>18917</v>
      </c>
      <c r="E60" s="4">
        <f>SUM(E58:E59)</f>
        <v>18917</v>
      </c>
      <c r="F60" s="4">
        <f>SUM(F58:F59)</f>
        <v>18917</v>
      </c>
      <c r="G60" s="1051">
        <f t="shared" si="0"/>
        <v>1</v>
      </c>
      <c r="H60" s="271"/>
    </row>
    <row r="61" spans="1:8" ht="15.75" customHeight="1" x14ac:dyDescent="0.2">
      <c r="A61" s="13"/>
      <c r="B61" s="315" t="s">
        <v>227</v>
      </c>
      <c r="C61" s="7">
        <f>SUM(C56+C45+C34+C60)</f>
        <v>2024108</v>
      </c>
      <c r="D61" s="7">
        <f>SUM(D56+D45+D34+D60)</f>
        <v>2160633</v>
      </c>
      <c r="E61" s="7">
        <f>SUM(E56+E45+E34+E60)</f>
        <v>2150781</v>
      </c>
      <c r="F61" s="7">
        <f>SUM(F56+F45+F34+F60)</f>
        <v>2227504</v>
      </c>
      <c r="G61" s="1051">
        <f t="shared" si="0"/>
        <v>1.0356721581602217</v>
      </c>
      <c r="H61" s="277"/>
    </row>
    <row r="62" spans="1:8" x14ac:dyDescent="0.2">
      <c r="A62" s="10"/>
      <c r="B62" s="73" t="s">
        <v>51</v>
      </c>
      <c r="C62" s="681"/>
      <c r="D62" s="681"/>
      <c r="E62" s="681"/>
      <c r="F62" s="681"/>
      <c r="G62" s="286"/>
      <c r="H62" s="29"/>
    </row>
    <row r="63" spans="1:8" x14ac:dyDescent="0.2">
      <c r="A63" s="10"/>
      <c r="B63" s="29" t="s">
        <v>90</v>
      </c>
      <c r="C63" s="198"/>
      <c r="D63" s="198"/>
      <c r="E63" s="198"/>
      <c r="F63" s="198"/>
      <c r="G63" s="286"/>
      <c r="H63" s="29"/>
    </row>
    <row r="64" spans="1:8" x14ac:dyDescent="0.2">
      <c r="A64" s="10"/>
      <c r="B64" s="21" t="s">
        <v>85</v>
      </c>
      <c r="C64" s="198"/>
      <c r="D64" s="198"/>
      <c r="E64" s="198"/>
      <c r="F64" s="198"/>
      <c r="G64" s="286"/>
      <c r="H64" s="29"/>
    </row>
    <row r="65" spans="1:9" ht="12" customHeight="1" x14ac:dyDescent="0.2">
      <c r="A65" s="33"/>
      <c r="B65" s="21" t="s">
        <v>86</v>
      </c>
      <c r="C65" s="198"/>
      <c r="D65" s="198">
        <f>D24+D42+D52+D55</f>
        <v>10707</v>
      </c>
      <c r="E65" s="198">
        <f>E24+E39+E42+E52+E55+E27</f>
        <v>29238</v>
      </c>
      <c r="F65" s="198">
        <f>F24+F32+F39+F42+F52+F55+F27</f>
        <v>29538</v>
      </c>
      <c r="G65" s="286">
        <f t="shared" si="0"/>
        <v>1.0102606197414323</v>
      </c>
      <c r="H65" s="29"/>
      <c r="I65" s="16"/>
    </row>
    <row r="66" spans="1:9" ht="12" customHeight="1" x14ac:dyDescent="0.2">
      <c r="A66" s="33"/>
      <c r="B66" s="21" t="s">
        <v>245</v>
      </c>
      <c r="C66" s="682"/>
      <c r="D66" s="682"/>
      <c r="E66" s="682"/>
      <c r="F66" s="682"/>
      <c r="G66" s="286"/>
      <c r="H66" s="29"/>
      <c r="I66" s="16"/>
    </row>
    <row r="67" spans="1:9" ht="12" customHeight="1" x14ac:dyDescent="0.2">
      <c r="A67" s="33"/>
      <c r="B67" s="279" t="s">
        <v>42</v>
      </c>
      <c r="C67" s="683">
        <f>SUM(C63:C66)</f>
        <v>0</v>
      </c>
      <c r="D67" s="683">
        <f>SUM(D63:D66)</f>
        <v>10707</v>
      </c>
      <c r="E67" s="683">
        <f>SUM(E63:E66)</f>
        <v>29238</v>
      </c>
      <c r="F67" s="683">
        <f>SUM(F63:F66)</f>
        <v>29538</v>
      </c>
      <c r="G67" s="1052">
        <f t="shared" si="0"/>
        <v>1.0102606197414323</v>
      </c>
      <c r="H67" s="29"/>
      <c r="I67" s="16"/>
    </row>
    <row r="68" spans="1:9" ht="12" customHeight="1" x14ac:dyDescent="0.2">
      <c r="A68" s="33"/>
      <c r="B68" s="280" t="s">
        <v>52</v>
      </c>
      <c r="C68" s="682"/>
      <c r="D68" s="682"/>
      <c r="E68" s="682"/>
      <c r="F68" s="682"/>
      <c r="G68" s="286"/>
      <c r="H68" s="29"/>
      <c r="I68" s="16"/>
    </row>
    <row r="69" spans="1:9" ht="12" customHeight="1" x14ac:dyDescent="0.2">
      <c r="A69" s="33"/>
      <c r="B69" s="21" t="s">
        <v>208</v>
      </c>
      <c r="C69" s="682"/>
      <c r="D69" s="682"/>
      <c r="E69" s="682"/>
      <c r="F69" s="682"/>
      <c r="G69" s="286"/>
      <c r="H69" s="29"/>
      <c r="I69" s="16"/>
    </row>
    <row r="70" spans="1:9" ht="12" customHeight="1" x14ac:dyDescent="0.2">
      <c r="A70" s="33"/>
      <c r="B70" s="21" t="s">
        <v>338</v>
      </c>
      <c r="C70" s="682">
        <f>SUM(C56+C45+C34+C60)-C65-C63-C64-C71-C69</f>
        <v>2024108</v>
      </c>
      <c r="D70" s="682">
        <f>SUM(D56+D45+D34+D60)-D65-D63-D64-D71-D69</f>
        <v>2149926</v>
      </c>
      <c r="E70" s="682">
        <f>SUM(E56+E45+E34+E60)-E65-E63-E64-E71-E69</f>
        <v>2111543</v>
      </c>
      <c r="F70" s="682">
        <f>SUM(F56+F45+F34+F60)-F65-F63-F64-F71-F69</f>
        <v>2167966</v>
      </c>
      <c r="G70" s="286">
        <f t="shared" si="0"/>
        <v>1.0267212176119549</v>
      </c>
      <c r="H70" s="29"/>
      <c r="I70" s="16"/>
    </row>
    <row r="71" spans="1:9" ht="12" customHeight="1" x14ac:dyDescent="0.2">
      <c r="A71" s="33"/>
      <c r="B71" s="21" t="s">
        <v>274</v>
      </c>
      <c r="C71" s="682"/>
      <c r="D71" s="682"/>
      <c r="E71" s="682">
        <f>E17</f>
        <v>10000</v>
      </c>
      <c r="F71" s="682">
        <f>F17+F44</f>
        <v>30000</v>
      </c>
      <c r="G71" s="286">
        <f t="shared" si="0"/>
        <v>3</v>
      </c>
      <c r="H71" s="29"/>
      <c r="I71" s="16"/>
    </row>
    <row r="72" spans="1:9" ht="12" customHeight="1" x14ac:dyDescent="0.2">
      <c r="A72" s="275"/>
      <c r="B72" s="57" t="s">
        <v>48</v>
      </c>
      <c r="C72" s="684">
        <f>SUM(C69:C71)</f>
        <v>2024108</v>
      </c>
      <c r="D72" s="684">
        <f>SUM(D69:D71)</f>
        <v>2149926</v>
      </c>
      <c r="E72" s="684">
        <f>SUM(E69:E71)</f>
        <v>2121543</v>
      </c>
      <c r="F72" s="684">
        <f>SUM(F69:F71)</f>
        <v>2197966</v>
      </c>
      <c r="G72" s="1052">
        <f t="shared" si="0"/>
        <v>1.0360223667396795</v>
      </c>
      <c r="H72" s="34"/>
      <c r="I72" s="16"/>
    </row>
    <row r="73" spans="1:9" ht="12" customHeight="1" x14ac:dyDescent="0.2">
      <c r="A73" s="291"/>
      <c r="B73" s="271" t="s">
        <v>89</v>
      </c>
      <c r="C73" s="349">
        <f>SUM(C56+C45+C34+C60)</f>
        <v>2024108</v>
      </c>
      <c r="D73" s="349">
        <f>SUM(D56+D45+D34+D60)</f>
        <v>2160633</v>
      </c>
      <c r="E73" s="349">
        <f>SUM(E56+E45+E34+E60)</f>
        <v>2150781</v>
      </c>
      <c r="F73" s="349">
        <f>SUM(F56+F45+F34+F60)</f>
        <v>2227504</v>
      </c>
      <c r="G73" s="1051">
        <f t="shared" si="0"/>
        <v>1.0356721581602217</v>
      </c>
      <c r="H73" s="35"/>
      <c r="I73" s="16"/>
    </row>
  </sheetData>
  <mergeCells count="7">
    <mergeCell ref="A2:H2"/>
    <mergeCell ref="A1:H1"/>
    <mergeCell ref="G5:G7"/>
    <mergeCell ref="C5:C7"/>
    <mergeCell ref="D5:D7"/>
    <mergeCell ref="E5:E7"/>
    <mergeCell ref="F5:F7"/>
  </mergeCells>
  <phoneticPr fontId="0" type="noConversion"/>
  <printOptions horizontalCentered="1"/>
  <pageMargins left="0" right="0" top="0.39370078740157483" bottom="7.874015748031496E-2" header="0.51181102362204722" footer="0"/>
  <pageSetup paperSize="9" scale="61" firstPageNumber="42" orientation="landscape" useFirstPageNumber="1" horizontalDpi="300" verticalDpi="300" r:id="rId1"/>
  <headerFooter alignWithMargins="0">
    <oddFooter>&amp;P. oldal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0"/>
  <sheetViews>
    <sheetView workbookViewId="0">
      <selection activeCell="F12" sqref="F12"/>
    </sheetView>
  </sheetViews>
  <sheetFormatPr defaultColWidth="9.140625" defaultRowHeight="12.75" x14ac:dyDescent="0.2"/>
  <cols>
    <col min="1" max="1" width="10.140625" style="47" customWidth="1"/>
    <col min="2" max="2" width="52.42578125" style="47" customWidth="1"/>
    <col min="3" max="3" width="12.140625" style="47" customWidth="1"/>
    <col min="4" max="4" width="11.7109375" style="47" customWidth="1"/>
    <col min="5" max="5" width="14.28515625" style="47" customWidth="1"/>
    <col min="6" max="6" width="12.85546875" style="47" customWidth="1"/>
    <col min="7" max="16384" width="9.140625" style="47"/>
  </cols>
  <sheetData>
    <row r="1" spans="1:6" ht="12.95" customHeight="1" x14ac:dyDescent="0.2">
      <c r="A1" s="1191" t="s">
        <v>88</v>
      </c>
      <c r="B1" s="1191"/>
    </row>
    <row r="3" spans="1:6" s="46" customFormat="1" ht="12.95" customHeight="1" x14ac:dyDescent="0.2">
      <c r="A3" s="1197" t="s">
        <v>1335</v>
      </c>
      <c r="B3" s="1197"/>
    </row>
    <row r="4" spans="1:6" s="46" customFormat="1" x14ac:dyDescent="0.2"/>
    <row r="5" spans="1:6" s="46" customFormat="1" x14ac:dyDescent="0.2"/>
    <row r="6" spans="1:6" s="46" customFormat="1" x14ac:dyDescent="0.2">
      <c r="C6" s="630"/>
      <c r="D6" s="630"/>
      <c r="E6" s="630"/>
      <c r="F6" s="630" t="s">
        <v>456</v>
      </c>
    </row>
    <row r="7" spans="1:6" s="46" customFormat="1" ht="12.75" customHeight="1" x14ac:dyDescent="0.2">
      <c r="A7" s="1192" t="s">
        <v>234</v>
      </c>
      <c r="B7" s="1192" t="s">
        <v>130</v>
      </c>
      <c r="C7" s="1140" t="s">
        <v>1252</v>
      </c>
      <c r="D7" s="1140" t="s">
        <v>1337</v>
      </c>
      <c r="E7" s="1140" t="s">
        <v>1355</v>
      </c>
      <c r="F7" s="1140" t="s">
        <v>1357</v>
      </c>
    </row>
    <row r="8" spans="1:6" s="46" customFormat="1" x14ac:dyDescent="0.2">
      <c r="A8" s="1195"/>
      <c r="B8" s="1193"/>
      <c r="C8" s="1184"/>
      <c r="D8" s="1184"/>
      <c r="E8" s="1184"/>
      <c r="F8" s="1184"/>
    </row>
    <row r="9" spans="1:6" s="46" customFormat="1" ht="13.5" thickBot="1" x14ac:dyDescent="0.25">
      <c r="A9" s="1196"/>
      <c r="B9" s="1194"/>
      <c r="C9" s="1161"/>
      <c r="D9" s="1161"/>
      <c r="E9" s="1161"/>
      <c r="F9" s="1161"/>
    </row>
    <row r="10" spans="1:6" s="46" customFormat="1" x14ac:dyDescent="0.2">
      <c r="A10" s="54" t="s">
        <v>131</v>
      </c>
      <c r="B10" s="54" t="s">
        <v>132</v>
      </c>
      <c r="C10" s="54" t="s">
        <v>133</v>
      </c>
      <c r="D10" s="54" t="s">
        <v>454</v>
      </c>
      <c r="E10" s="54" t="s">
        <v>454</v>
      </c>
      <c r="F10" s="54" t="s">
        <v>455</v>
      </c>
    </row>
    <row r="11" spans="1:6" s="46" customFormat="1" x14ac:dyDescent="0.2">
      <c r="A11" s="11"/>
      <c r="B11" s="11"/>
      <c r="C11" s="324"/>
      <c r="D11" s="324"/>
      <c r="E11" s="324"/>
      <c r="F11" s="324"/>
    </row>
    <row r="12" spans="1:6" s="25" customFormat="1" x14ac:dyDescent="0.2">
      <c r="A12" s="14">
        <v>6110</v>
      </c>
      <c r="B12" s="14" t="s">
        <v>40</v>
      </c>
      <c r="C12" s="14">
        <v>16404</v>
      </c>
      <c r="D12" s="14">
        <f>16404+325700+2972593-3264697</f>
        <v>50000</v>
      </c>
      <c r="E12" s="14">
        <f>50000+48036-5000-49016-2000</f>
        <v>42020</v>
      </c>
      <c r="F12" s="14">
        <f>42020+14873+59330-9500-56723</f>
        <v>50000</v>
      </c>
    </row>
    <row r="13" spans="1:6" x14ac:dyDescent="0.2">
      <c r="A13" s="676"/>
      <c r="B13" s="676"/>
      <c r="C13" s="676"/>
      <c r="D13" s="676"/>
      <c r="E13" s="676"/>
      <c r="F13" s="676"/>
    </row>
    <row r="14" spans="1:6" s="25" customFormat="1" x14ac:dyDescent="0.2">
      <c r="A14" s="14">
        <v>6120</v>
      </c>
      <c r="B14" s="14" t="s">
        <v>41</v>
      </c>
      <c r="C14" s="14">
        <f>SUM(C16+C20)</f>
        <v>27583</v>
      </c>
      <c r="D14" s="14">
        <f>SUM(D16+D20)</f>
        <v>76173</v>
      </c>
      <c r="E14" s="14">
        <f>SUM(E16+E20)</f>
        <v>56173</v>
      </c>
      <c r="F14" s="14">
        <f>SUM(F16+F20)</f>
        <v>56173</v>
      </c>
    </row>
    <row r="15" spans="1:6" s="25" customFormat="1" x14ac:dyDescent="0.2">
      <c r="A15" s="14"/>
      <c r="B15" s="14"/>
      <c r="C15" s="14"/>
      <c r="D15" s="14"/>
      <c r="E15" s="14"/>
      <c r="F15" s="14"/>
    </row>
    <row r="16" spans="1:6" s="25" customFormat="1" x14ac:dyDescent="0.2">
      <c r="A16" s="14"/>
      <c r="B16" s="800" t="s">
        <v>438</v>
      </c>
      <c r="C16" s="800">
        <f>SUM(C17)</f>
        <v>0</v>
      </c>
      <c r="D16" s="800">
        <f>SUM(D17)</f>
        <v>0</v>
      </c>
      <c r="E16" s="800">
        <f>SUM(E17)</f>
        <v>0</v>
      </c>
      <c r="F16" s="800">
        <f>SUM(F17)</f>
        <v>0</v>
      </c>
    </row>
    <row r="17" spans="1:6" s="25" customFormat="1" x14ac:dyDescent="0.2">
      <c r="A17" s="676">
        <v>6125</v>
      </c>
      <c r="B17" s="676" t="s">
        <v>1185</v>
      </c>
      <c r="C17" s="676"/>
      <c r="D17" s="676"/>
      <c r="E17" s="676"/>
      <c r="F17" s="676"/>
    </row>
    <row r="18" spans="1:6" s="25" customFormat="1" x14ac:dyDescent="0.2">
      <c r="A18" s="14"/>
      <c r="B18" s="800"/>
      <c r="C18" s="800"/>
      <c r="D18" s="800"/>
      <c r="E18" s="800"/>
      <c r="F18" s="800"/>
    </row>
    <row r="19" spans="1:6" s="25" customFormat="1" x14ac:dyDescent="0.2">
      <c r="A19" s="676"/>
      <c r="B19" s="800"/>
      <c r="C19" s="800"/>
      <c r="D19" s="800"/>
      <c r="E19" s="800"/>
      <c r="F19" s="800"/>
    </row>
    <row r="20" spans="1:6" s="25" customFormat="1" x14ac:dyDescent="0.2">
      <c r="A20" s="801"/>
      <c r="B20" s="800" t="s">
        <v>439</v>
      </c>
      <c r="C20" s="800">
        <f>SUM(C21:C25)</f>
        <v>27583</v>
      </c>
      <c r="D20" s="800">
        <f>SUM(D21:D25)</f>
        <v>76173</v>
      </c>
      <c r="E20" s="800">
        <f>SUM(E21:E25)</f>
        <v>56173</v>
      </c>
      <c r="F20" s="800">
        <f>SUM(F21:F25)</f>
        <v>56173</v>
      </c>
    </row>
    <row r="21" spans="1:6" x14ac:dyDescent="0.2">
      <c r="A21" s="676">
        <v>6135</v>
      </c>
      <c r="B21" s="676" t="s">
        <v>987</v>
      </c>
      <c r="C21" s="676">
        <v>27583</v>
      </c>
      <c r="D21" s="676">
        <v>27583</v>
      </c>
      <c r="E21" s="676">
        <f>27583-20000</f>
        <v>7583</v>
      </c>
      <c r="F21" s="676">
        <v>7583</v>
      </c>
    </row>
    <row r="22" spans="1:6" x14ac:dyDescent="0.2">
      <c r="A22" s="676">
        <v>6137</v>
      </c>
      <c r="B22" s="676" t="s">
        <v>1203</v>
      </c>
      <c r="C22" s="676"/>
      <c r="D22" s="676"/>
      <c r="E22" s="676"/>
      <c r="F22" s="676"/>
    </row>
    <row r="23" spans="1:6" x14ac:dyDescent="0.2">
      <c r="A23" s="676">
        <v>6141</v>
      </c>
      <c r="B23" s="846" t="s">
        <v>1102</v>
      </c>
      <c r="C23" s="676">
        <v>0</v>
      </c>
      <c r="D23" s="676">
        <v>48590</v>
      </c>
      <c r="E23" s="676">
        <v>48590</v>
      </c>
      <c r="F23" s="676">
        <v>48590</v>
      </c>
    </row>
    <row r="24" spans="1:6" x14ac:dyDescent="0.2">
      <c r="A24" s="676">
        <v>6142</v>
      </c>
      <c r="B24" s="846" t="s">
        <v>1206</v>
      </c>
      <c r="C24" s="676"/>
      <c r="D24" s="676"/>
      <c r="E24" s="676"/>
      <c r="F24" s="676"/>
    </row>
    <row r="25" spans="1:6" x14ac:dyDescent="0.2">
      <c r="A25" s="676"/>
      <c r="B25" s="846"/>
      <c r="C25" s="676"/>
      <c r="D25" s="676"/>
      <c r="E25" s="676"/>
      <c r="F25" s="676"/>
    </row>
    <row r="26" spans="1:6" s="25" customFormat="1" x14ac:dyDescent="0.2">
      <c r="A26" s="14">
        <v>6100</v>
      </c>
      <c r="B26" s="14" t="s">
        <v>121</v>
      </c>
      <c r="C26" s="14">
        <f>SUM(C16+C20+C12)</f>
        <v>43987</v>
      </c>
      <c r="D26" s="14">
        <f>SUM(D16+D20+D12)</f>
        <v>126173</v>
      </c>
      <c r="E26" s="14">
        <f>SUM(E16+E20+E12)</f>
        <v>98193</v>
      </c>
      <c r="F26" s="14">
        <f>SUM(F16+F20+F12)</f>
        <v>106173</v>
      </c>
    </row>
    <row r="29" spans="1:6" x14ac:dyDescent="0.2">
      <c r="A29" s="292"/>
    </row>
    <row r="30" spans="1:6" x14ac:dyDescent="0.2">
      <c r="A30" s="292"/>
    </row>
  </sheetData>
  <mergeCells count="8">
    <mergeCell ref="A1:B1"/>
    <mergeCell ref="B7:B9"/>
    <mergeCell ref="A7:A9"/>
    <mergeCell ref="F7:F9"/>
    <mergeCell ref="E7:E9"/>
    <mergeCell ref="D7:D9"/>
    <mergeCell ref="C7:C9"/>
    <mergeCell ref="A3:B3"/>
  </mergeCells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firstPageNumber="43" orientation="landscape" useFirstPageNumber="1" r:id="rId1"/>
  <headerFooter alignWithMargins="0">
    <oddFooter>&amp;P. oldal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I69"/>
  <sheetViews>
    <sheetView view="pageBreakPreview" topLeftCell="A10" zoomScale="60" zoomScaleNormal="100" workbookViewId="0">
      <selection activeCell="B31" sqref="B31:C31"/>
    </sheetView>
  </sheetViews>
  <sheetFormatPr defaultColWidth="9.140625" defaultRowHeight="12.75" x14ac:dyDescent="0.2"/>
  <cols>
    <col min="1" max="1" width="9.140625" style="425"/>
    <col min="2" max="2" width="7" style="425" customWidth="1"/>
    <col min="3" max="3" width="63.5703125" style="425" customWidth="1"/>
    <col min="4" max="4" width="10.42578125" style="425" customWidth="1"/>
    <col min="5" max="5" width="10.85546875" style="425" customWidth="1"/>
    <col min="6" max="6" width="10.140625" style="425" customWidth="1"/>
    <col min="7" max="7" width="10.85546875" style="425" customWidth="1"/>
    <col min="8" max="9" width="11" style="425" customWidth="1"/>
    <col min="10" max="16384" width="9.140625" style="425"/>
  </cols>
  <sheetData>
    <row r="2" spans="2:9" x14ac:dyDescent="0.2">
      <c r="B2" s="1200" t="s">
        <v>470</v>
      </c>
      <c r="C2" s="1200"/>
      <c r="D2" s="1200"/>
      <c r="E2" s="1200"/>
      <c r="F2" s="1200"/>
      <c r="G2" s="1200"/>
      <c r="H2" s="1200"/>
      <c r="I2" s="1200"/>
    </row>
    <row r="3" spans="2:9" x14ac:dyDescent="0.2">
      <c r="B3" s="426"/>
      <c r="C3" s="426"/>
      <c r="D3" s="426"/>
      <c r="E3" s="426"/>
      <c r="F3" s="426"/>
      <c r="G3" s="426"/>
      <c r="H3" s="426"/>
      <c r="I3" s="426"/>
    </row>
    <row r="4" spans="2:9" x14ac:dyDescent="0.2">
      <c r="B4" s="1200" t="s">
        <v>471</v>
      </c>
      <c r="C4" s="1201"/>
      <c r="D4" s="1201"/>
      <c r="E4" s="1201"/>
      <c r="F4" s="1201"/>
      <c r="G4" s="1201"/>
      <c r="H4" s="1201"/>
      <c r="I4" s="1201"/>
    </row>
    <row r="5" spans="2:9" ht="15.75" x14ac:dyDescent="0.2">
      <c r="E5" s="427"/>
      <c r="F5" s="427"/>
      <c r="G5" s="427"/>
      <c r="H5" s="427"/>
      <c r="I5" s="427"/>
    </row>
    <row r="6" spans="2:9" x14ac:dyDescent="0.2">
      <c r="B6" s="1202" t="s">
        <v>472</v>
      </c>
      <c r="C6" s="1203"/>
      <c r="D6" s="1203"/>
      <c r="E6" s="1203"/>
      <c r="F6" s="1203"/>
      <c r="G6" s="428"/>
      <c r="H6" s="428"/>
      <c r="I6" s="428"/>
    </row>
    <row r="7" spans="2:9" x14ac:dyDescent="0.2">
      <c r="B7" s="662"/>
      <c r="C7" s="662"/>
      <c r="D7" s="662"/>
      <c r="E7" s="663" t="s">
        <v>456</v>
      </c>
    </row>
    <row r="8" spans="2:9" ht="22.5" customHeight="1" x14ac:dyDescent="0.2">
      <c r="B8" s="1204" t="s">
        <v>473</v>
      </c>
      <c r="C8" s="1204" t="s">
        <v>474</v>
      </c>
      <c r="D8" s="1204" t="s">
        <v>475</v>
      </c>
      <c r="E8" s="1206" t="s">
        <v>142</v>
      </c>
      <c r="F8" s="1207"/>
      <c r="G8" s="1207"/>
      <c r="H8" s="1207"/>
      <c r="I8" s="1207"/>
    </row>
    <row r="9" spans="2:9" ht="21.75" customHeight="1" x14ac:dyDescent="0.2">
      <c r="B9" s="1204"/>
      <c r="C9" s="1204"/>
      <c r="D9" s="1204"/>
      <c r="E9" s="1204"/>
      <c r="F9" s="1207"/>
      <c r="G9" s="1207"/>
      <c r="H9" s="1207"/>
      <c r="I9" s="1207"/>
    </row>
    <row r="10" spans="2:9" ht="18" customHeight="1" thickBot="1" x14ac:dyDescent="0.25">
      <c r="B10" s="1205"/>
      <c r="C10" s="1205"/>
      <c r="D10" s="1205"/>
      <c r="E10" s="1205"/>
      <c r="F10" s="1208"/>
      <c r="G10" s="1208"/>
      <c r="H10" s="1208"/>
      <c r="I10" s="1208"/>
    </row>
    <row r="11" spans="2:9" ht="13.5" thickTop="1" x14ac:dyDescent="0.2">
      <c r="B11" s="1209" t="s">
        <v>478</v>
      </c>
      <c r="C11" s="664" t="s">
        <v>476</v>
      </c>
      <c r="D11" s="430">
        <v>12000</v>
      </c>
      <c r="E11" s="665">
        <f t="shared" ref="E11" si="0">SUM(D11)</f>
        <v>12000</v>
      </c>
      <c r="F11" s="429"/>
      <c r="G11" s="429"/>
      <c r="H11" s="429"/>
      <c r="I11" s="429"/>
    </row>
    <row r="12" spans="2:9" x14ac:dyDescent="0.2">
      <c r="B12" s="1210"/>
      <c r="C12" s="664" t="s">
        <v>477</v>
      </c>
      <c r="D12" s="430">
        <v>292</v>
      </c>
      <c r="E12" s="665">
        <v>292</v>
      </c>
      <c r="F12" s="429"/>
      <c r="G12" s="429"/>
      <c r="H12" s="429"/>
      <c r="I12" s="429"/>
    </row>
    <row r="13" spans="2:9" x14ac:dyDescent="0.2">
      <c r="B13" s="821"/>
      <c r="C13" s="821"/>
      <c r="D13" s="822"/>
      <c r="E13" s="823"/>
      <c r="F13" s="429"/>
      <c r="G13" s="429"/>
      <c r="H13" s="429"/>
      <c r="I13" s="429"/>
    </row>
    <row r="14" spans="2:9" ht="13.5" customHeight="1" x14ac:dyDescent="0.2">
      <c r="B14" s="666" t="s">
        <v>479</v>
      </c>
      <c r="C14" s="662"/>
      <c r="D14" s="662"/>
      <c r="E14" s="662"/>
      <c r="F14" s="662"/>
      <c r="G14" s="662"/>
      <c r="H14" s="667" t="s">
        <v>456</v>
      </c>
      <c r="I14" s="663"/>
    </row>
    <row r="15" spans="2:9" ht="13.5" customHeight="1" x14ac:dyDescent="0.2">
      <c r="B15" s="666"/>
      <c r="C15" s="662"/>
      <c r="D15" s="662"/>
      <c r="E15" s="662"/>
      <c r="F15" s="662"/>
      <c r="H15" s="663"/>
      <c r="I15" s="663"/>
    </row>
    <row r="16" spans="2:9" x14ac:dyDescent="0.2">
      <c r="B16" s="1211" t="s">
        <v>130</v>
      </c>
      <c r="C16" s="1212"/>
      <c r="D16" s="668">
        <v>2024</v>
      </c>
      <c r="E16" s="668">
        <v>2025</v>
      </c>
      <c r="F16" s="668">
        <v>2026</v>
      </c>
      <c r="G16" s="669">
        <v>2027</v>
      </c>
      <c r="H16" s="669">
        <v>2028</v>
      </c>
      <c r="I16" s="670"/>
    </row>
    <row r="17" spans="2:9" x14ac:dyDescent="0.2">
      <c r="B17" s="850" t="s">
        <v>1187</v>
      </c>
      <c r="C17" s="851"/>
      <c r="D17" s="847">
        <v>113</v>
      </c>
      <c r="E17" s="848">
        <v>120</v>
      </c>
      <c r="F17" s="847">
        <v>120</v>
      </c>
      <c r="G17" s="669"/>
      <c r="H17" s="669"/>
      <c r="I17" s="670"/>
    </row>
    <row r="18" spans="2:9" x14ac:dyDescent="0.2">
      <c r="B18" s="850" t="s">
        <v>1189</v>
      </c>
      <c r="C18" s="851"/>
      <c r="D18" s="671">
        <v>1006</v>
      </c>
      <c r="E18" s="849">
        <v>1006</v>
      </c>
      <c r="F18" s="671">
        <v>1006</v>
      </c>
      <c r="G18" s="669"/>
      <c r="H18" s="669"/>
      <c r="I18" s="670"/>
    </row>
    <row r="19" spans="2:9" x14ac:dyDescent="0.2">
      <c r="B19" s="850" t="s">
        <v>1188</v>
      </c>
      <c r="C19" s="851"/>
      <c r="D19" s="847">
        <v>280</v>
      </c>
      <c r="E19" s="848">
        <v>280</v>
      </c>
      <c r="F19" s="847">
        <v>280</v>
      </c>
      <c r="G19" s="669"/>
      <c r="H19" s="669"/>
      <c r="I19" s="670"/>
    </row>
    <row r="20" spans="2:9" x14ac:dyDescent="0.2">
      <c r="B20" s="850" t="s">
        <v>1190</v>
      </c>
      <c r="C20" s="851"/>
      <c r="D20" s="847">
        <v>317</v>
      </c>
      <c r="E20" s="848">
        <v>317</v>
      </c>
      <c r="F20" s="847"/>
      <c r="G20" s="669"/>
      <c r="H20" s="669"/>
      <c r="I20" s="670"/>
    </row>
    <row r="21" spans="2:9" x14ac:dyDescent="0.2">
      <c r="B21" s="1198" t="s">
        <v>480</v>
      </c>
      <c r="C21" s="1199"/>
      <c r="D21" s="808">
        <v>4550</v>
      </c>
      <c r="E21" s="820"/>
      <c r="F21" s="671"/>
      <c r="G21" s="672"/>
      <c r="H21" s="672"/>
      <c r="I21" s="673"/>
    </row>
    <row r="22" spans="2:9" x14ac:dyDescent="0.2">
      <c r="B22" s="1137" t="s">
        <v>1162</v>
      </c>
      <c r="C22" s="1138"/>
      <c r="D22" s="671"/>
      <c r="E22" s="849">
        <v>22000</v>
      </c>
      <c r="F22" s="671">
        <v>22000</v>
      </c>
      <c r="G22" s="672"/>
      <c r="H22" s="672"/>
      <c r="I22" s="673"/>
    </row>
    <row r="23" spans="2:9" x14ac:dyDescent="0.2">
      <c r="B23" s="1137" t="s">
        <v>1356</v>
      </c>
      <c r="C23" s="1138"/>
      <c r="D23" s="671"/>
      <c r="E23" s="849">
        <v>33000</v>
      </c>
      <c r="F23" s="671"/>
      <c r="G23" s="672"/>
      <c r="H23" s="672"/>
      <c r="I23" s="673"/>
    </row>
    <row r="24" spans="2:9" x14ac:dyDescent="0.2">
      <c r="B24" s="836" t="s">
        <v>1166</v>
      </c>
      <c r="C24" s="837"/>
      <c r="D24" s="808">
        <v>9000</v>
      </c>
      <c r="E24" s="820">
        <v>9000</v>
      </c>
      <c r="F24" s="671"/>
      <c r="G24" s="672"/>
      <c r="H24" s="672"/>
      <c r="I24" s="673"/>
    </row>
    <row r="25" spans="2:9" x14ac:dyDescent="0.2">
      <c r="B25" s="836" t="s">
        <v>1191</v>
      </c>
      <c r="C25" s="837"/>
      <c r="D25" s="808">
        <v>212</v>
      </c>
      <c r="E25" s="820">
        <v>212</v>
      </c>
      <c r="F25" s="671"/>
      <c r="G25" s="672"/>
      <c r="H25" s="672"/>
      <c r="I25" s="673"/>
    </row>
    <row r="26" spans="2:9" x14ac:dyDescent="0.2">
      <c r="B26" s="836" t="s">
        <v>1165</v>
      </c>
      <c r="C26" s="837"/>
      <c r="D26" s="808">
        <v>1500</v>
      </c>
      <c r="E26" s="820">
        <v>1800</v>
      </c>
      <c r="F26" s="671"/>
      <c r="G26" s="672"/>
      <c r="H26" s="672"/>
      <c r="I26" s="673"/>
    </row>
    <row r="27" spans="2:9" x14ac:dyDescent="0.2">
      <c r="B27" s="836" t="s">
        <v>1163</v>
      </c>
      <c r="C27" s="837"/>
      <c r="D27" s="808">
        <v>4000</v>
      </c>
      <c r="E27" s="820">
        <v>4000</v>
      </c>
      <c r="F27" s="671"/>
      <c r="G27" s="672"/>
      <c r="H27" s="672"/>
      <c r="I27" s="673"/>
    </row>
    <row r="28" spans="2:9" x14ac:dyDescent="0.2">
      <c r="B28" s="836" t="s">
        <v>1164</v>
      </c>
      <c r="C28" s="837"/>
      <c r="D28" s="808">
        <v>3000</v>
      </c>
      <c r="E28" s="820">
        <v>7380</v>
      </c>
      <c r="F28" s="671"/>
      <c r="G28" s="672"/>
      <c r="H28" s="672"/>
      <c r="I28" s="673"/>
    </row>
    <row r="29" spans="2:9" x14ac:dyDescent="0.2">
      <c r="B29" s="836" t="s">
        <v>1167</v>
      </c>
      <c r="C29" s="837"/>
      <c r="D29" s="808">
        <v>4445</v>
      </c>
      <c r="E29" s="820">
        <v>4100</v>
      </c>
      <c r="F29" s="671"/>
      <c r="G29" s="672"/>
      <c r="H29" s="672"/>
      <c r="I29" s="673"/>
    </row>
    <row r="30" spans="2:9" x14ac:dyDescent="0.2">
      <c r="B30" s="1198" t="s">
        <v>973</v>
      </c>
      <c r="C30" s="1199"/>
      <c r="D30" s="808">
        <v>2743</v>
      </c>
      <c r="E30" s="808">
        <v>2743</v>
      </c>
      <c r="F30" s="671"/>
      <c r="G30" s="672"/>
      <c r="H30" s="672"/>
      <c r="I30" s="673"/>
    </row>
    <row r="31" spans="2:9" x14ac:dyDescent="0.2">
      <c r="B31" s="1198" t="s">
        <v>481</v>
      </c>
      <c r="C31" s="1199"/>
      <c r="D31" s="808">
        <v>2134</v>
      </c>
      <c r="E31" s="808">
        <v>2134</v>
      </c>
      <c r="F31" s="671"/>
      <c r="G31" s="672"/>
      <c r="H31" s="672"/>
      <c r="I31" s="673"/>
    </row>
    <row r="32" spans="2:9" x14ac:dyDescent="0.2">
      <c r="B32" s="1198" t="s">
        <v>482</v>
      </c>
      <c r="C32" s="1199"/>
      <c r="D32" s="809">
        <v>5100</v>
      </c>
      <c r="E32" s="810">
        <v>2300</v>
      </c>
      <c r="F32" s="671"/>
      <c r="G32" s="672"/>
      <c r="H32" s="672"/>
      <c r="I32" s="673"/>
    </row>
    <row r="33" spans="2:9" x14ac:dyDescent="0.2">
      <c r="B33" s="1198" t="s">
        <v>483</v>
      </c>
      <c r="C33" s="1199"/>
      <c r="D33" s="809">
        <v>7500</v>
      </c>
      <c r="E33" s="810">
        <v>7500</v>
      </c>
      <c r="F33" s="671"/>
      <c r="G33" s="672"/>
      <c r="H33" s="672"/>
      <c r="I33" s="673"/>
    </row>
    <row r="34" spans="2:9" x14ac:dyDescent="0.2">
      <c r="B34" s="1198" t="s">
        <v>484</v>
      </c>
      <c r="C34" s="1199"/>
      <c r="D34" s="430">
        <v>7300</v>
      </c>
      <c r="E34" s="431">
        <v>5200</v>
      </c>
      <c r="F34" s="671"/>
      <c r="G34" s="672"/>
      <c r="H34" s="672"/>
      <c r="I34" s="674"/>
    </row>
    <row r="35" spans="2:9" x14ac:dyDescent="0.2">
      <c r="B35" s="1198" t="s">
        <v>485</v>
      </c>
      <c r="C35" s="1199"/>
      <c r="D35" s="430">
        <v>2000</v>
      </c>
      <c r="E35" s="431">
        <v>2000</v>
      </c>
      <c r="F35" s="671"/>
      <c r="G35" s="672"/>
      <c r="H35" s="672"/>
      <c r="I35" s="674"/>
    </row>
    <row r="36" spans="2:9" x14ac:dyDescent="0.2">
      <c r="B36" s="1198" t="s">
        <v>486</v>
      </c>
      <c r="C36" s="1199"/>
      <c r="D36" s="430">
        <v>5840</v>
      </c>
      <c r="E36" s="431">
        <v>1000</v>
      </c>
      <c r="F36" s="671"/>
      <c r="G36" s="672"/>
      <c r="H36" s="672"/>
      <c r="I36" s="674"/>
    </row>
    <row r="37" spans="2:9" x14ac:dyDescent="0.2">
      <c r="B37" s="836" t="s">
        <v>1192</v>
      </c>
      <c r="C37" s="837"/>
      <c r="D37" s="430">
        <v>6000</v>
      </c>
      <c r="E37" s="431">
        <v>3000</v>
      </c>
      <c r="F37" s="671"/>
      <c r="G37" s="672"/>
      <c r="H37" s="672"/>
      <c r="I37" s="674"/>
    </row>
    <row r="38" spans="2:9" x14ac:dyDescent="0.2">
      <c r="B38" s="1198" t="s">
        <v>487</v>
      </c>
      <c r="C38" s="1199"/>
      <c r="D38" s="430">
        <v>11000</v>
      </c>
      <c r="E38" s="431">
        <v>8000</v>
      </c>
      <c r="F38" s="671"/>
      <c r="G38" s="672"/>
      <c r="H38" s="672"/>
      <c r="I38" s="674"/>
    </row>
    <row r="39" spans="2:9" x14ac:dyDescent="0.2">
      <c r="B39" s="836" t="s">
        <v>1196</v>
      </c>
      <c r="C39" s="837"/>
      <c r="D39" s="430">
        <v>700</v>
      </c>
      <c r="E39" s="431">
        <v>700</v>
      </c>
      <c r="F39" s="671"/>
      <c r="G39" s="672"/>
      <c r="H39" s="672"/>
      <c r="I39" s="674"/>
    </row>
    <row r="40" spans="2:9" x14ac:dyDescent="0.2">
      <c r="B40" s="1198" t="s">
        <v>488</v>
      </c>
      <c r="C40" s="1199"/>
      <c r="D40" s="430">
        <v>12000</v>
      </c>
      <c r="E40" s="431">
        <v>12000</v>
      </c>
      <c r="F40" s="671"/>
      <c r="G40" s="672"/>
      <c r="H40" s="672"/>
      <c r="I40" s="674"/>
    </row>
    <row r="41" spans="2:9" x14ac:dyDescent="0.2">
      <c r="B41" s="836" t="s">
        <v>1193</v>
      </c>
      <c r="C41" s="837"/>
      <c r="D41" s="430">
        <v>86000</v>
      </c>
      <c r="E41" s="431">
        <v>86000</v>
      </c>
      <c r="F41" s="671"/>
      <c r="G41" s="672"/>
      <c r="H41" s="672"/>
      <c r="I41" s="674"/>
    </row>
    <row r="42" spans="2:9" x14ac:dyDescent="0.2">
      <c r="B42" s="836" t="s">
        <v>1194</v>
      </c>
      <c r="C42" s="837"/>
      <c r="D42" s="430">
        <v>81000</v>
      </c>
      <c r="E42" s="431">
        <v>81000</v>
      </c>
      <c r="F42" s="671"/>
      <c r="G42" s="672"/>
      <c r="H42" s="672"/>
      <c r="I42" s="674"/>
    </row>
    <row r="43" spans="2:9" ht="11.25" customHeight="1" x14ac:dyDescent="0.2">
      <c r="B43" s="1198" t="s">
        <v>1346</v>
      </c>
      <c r="C43" s="1199"/>
      <c r="D43" s="430">
        <v>11085</v>
      </c>
      <c r="E43" s="431">
        <v>4565</v>
      </c>
      <c r="F43" s="671"/>
      <c r="G43" s="672"/>
      <c r="H43" s="672"/>
      <c r="I43" s="674"/>
    </row>
    <row r="44" spans="2:9" x14ac:dyDescent="0.2">
      <c r="B44" s="836" t="s">
        <v>1151</v>
      </c>
      <c r="C44" s="837"/>
      <c r="D44" s="430">
        <v>931974</v>
      </c>
      <c r="E44" s="431"/>
      <c r="F44" s="671"/>
      <c r="G44" s="672"/>
      <c r="H44" s="672"/>
      <c r="I44" s="674"/>
    </row>
    <row r="45" spans="2:9" x14ac:dyDescent="0.2">
      <c r="B45" s="836" t="s">
        <v>1195</v>
      </c>
      <c r="C45" s="837"/>
      <c r="D45" s="430">
        <v>3700</v>
      </c>
      <c r="E45" s="431">
        <v>1300</v>
      </c>
      <c r="F45" s="671"/>
      <c r="G45" s="672"/>
      <c r="H45" s="672"/>
      <c r="I45" s="674"/>
    </row>
    <row r="46" spans="2:9" x14ac:dyDescent="0.2">
      <c r="B46" s="1198" t="s">
        <v>489</v>
      </c>
      <c r="C46" s="1199"/>
      <c r="D46" s="430">
        <v>14000</v>
      </c>
      <c r="E46" s="431">
        <v>14000</v>
      </c>
      <c r="F46" s="671"/>
      <c r="G46" s="672"/>
      <c r="H46" s="672"/>
      <c r="I46" s="674"/>
    </row>
    <row r="47" spans="2:9" x14ac:dyDescent="0.2">
      <c r="B47" s="1198" t="s">
        <v>1197</v>
      </c>
      <c r="C47" s="1199"/>
      <c r="D47" s="430">
        <v>11000</v>
      </c>
      <c r="E47" s="431">
        <v>11000</v>
      </c>
      <c r="F47" s="671"/>
      <c r="G47" s="672"/>
      <c r="H47" s="672"/>
      <c r="I47" s="674"/>
    </row>
    <row r="48" spans="2:9" x14ac:dyDescent="0.2">
      <c r="B48" s="1198" t="s">
        <v>490</v>
      </c>
      <c r="C48" s="1199"/>
      <c r="D48" s="430">
        <v>4445</v>
      </c>
      <c r="E48" s="431">
        <v>7620</v>
      </c>
      <c r="F48" s="671">
        <v>7620</v>
      </c>
      <c r="G48" s="672"/>
      <c r="H48" s="672"/>
      <c r="I48" s="674"/>
    </row>
    <row r="49" spans="2:9" x14ac:dyDescent="0.2">
      <c r="B49" s="1198" t="s">
        <v>491</v>
      </c>
      <c r="C49" s="1199"/>
      <c r="D49" s="430">
        <v>3800</v>
      </c>
      <c r="E49" s="431">
        <v>2800</v>
      </c>
      <c r="F49" s="671"/>
      <c r="G49" s="672"/>
      <c r="H49" s="672"/>
      <c r="I49" s="674"/>
    </row>
    <row r="50" spans="2:9" x14ac:dyDescent="0.2">
      <c r="B50" s="1198" t="s">
        <v>492</v>
      </c>
      <c r="C50" s="1199"/>
      <c r="D50" s="430">
        <v>694</v>
      </c>
      <c r="E50" s="431">
        <v>694</v>
      </c>
      <c r="F50" s="430">
        <v>694</v>
      </c>
      <c r="G50" s="430"/>
      <c r="H50" s="430"/>
      <c r="I50" s="674"/>
    </row>
    <row r="51" spans="2:9" x14ac:dyDescent="0.2">
      <c r="B51" s="836" t="s">
        <v>1155</v>
      </c>
      <c r="C51" s="837"/>
      <c r="D51" s="430">
        <v>5760</v>
      </c>
      <c r="E51" s="431">
        <v>5760</v>
      </c>
      <c r="F51" s="430"/>
      <c r="G51" s="430"/>
      <c r="H51" s="430"/>
      <c r="I51" s="675"/>
    </row>
    <row r="52" spans="2:9" x14ac:dyDescent="0.2">
      <c r="B52" s="836" t="s">
        <v>1156</v>
      </c>
      <c r="C52" s="837"/>
      <c r="D52" s="430">
        <v>2500</v>
      </c>
      <c r="E52" s="431">
        <v>2500</v>
      </c>
      <c r="F52" s="430"/>
      <c r="G52" s="430"/>
      <c r="H52" s="430"/>
      <c r="I52" s="675"/>
    </row>
    <row r="53" spans="2:9" x14ac:dyDescent="0.2">
      <c r="B53" s="836" t="s">
        <v>1157</v>
      </c>
      <c r="C53" s="837"/>
      <c r="D53" s="430">
        <v>7000</v>
      </c>
      <c r="E53" s="431">
        <v>7000</v>
      </c>
      <c r="F53" s="430"/>
      <c r="G53" s="430"/>
      <c r="H53" s="430"/>
      <c r="I53" s="675"/>
    </row>
    <row r="54" spans="2:9" x14ac:dyDescent="0.2">
      <c r="B54" s="836" t="s">
        <v>1158</v>
      </c>
      <c r="C54" s="837"/>
      <c r="D54" s="430">
        <v>3000</v>
      </c>
      <c r="E54" s="431">
        <v>3000</v>
      </c>
      <c r="F54" s="430"/>
      <c r="G54" s="430"/>
      <c r="H54" s="430"/>
      <c r="I54" s="675"/>
    </row>
    <row r="55" spans="2:9" x14ac:dyDescent="0.2">
      <c r="B55" s="836" t="s">
        <v>1159</v>
      </c>
      <c r="C55" s="837"/>
      <c r="D55" s="430">
        <v>400</v>
      </c>
      <c r="E55" s="431">
        <v>400</v>
      </c>
      <c r="F55" s="430"/>
      <c r="G55" s="430"/>
      <c r="H55" s="430"/>
      <c r="I55" s="675"/>
    </row>
    <row r="56" spans="2:9" x14ac:dyDescent="0.2">
      <c r="B56" s="836" t="s">
        <v>1160</v>
      </c>
      <c r="C56" s="837"/>
      <c r="D56" s="430">
        <v>5000</v>
      </c>
      <c r="E56" s="431">
        <v>5000</v>
      </c>
      <c r="F56" s="430"/>
      <c r="G56" s="430"/>
      <c r="H56" s="430"/>
      <c r="I56" s="675"/>
    </row>
    <row r="57" spans="2:9" x14ac:dyDescent="0.2">
      <c r="B57" s="836" t="s">
        <v>1161</v>
      </c>
      <c r="C57" s="837"/>
      <c r="D57" s="430">
        <v>2100</v>
      </c>
      <c r="E57" s="431">
        <v>2100</v>
      </c>
      <c r="F57" s="430"/>
      <c r="G57" s="430"/>
      <c r="H57" s="430"/>
      <c r="I57" s="675"/>
    </row>
    <row r="58" spans="2:9" x14ac:dyDescent="0.2">
      <c r="B58" s="836" t="s">
        <v>136</v>
      </c>
      <c r="C58" s="837"/>
      <c r="D58" s="430">
        <v>8000</v>
      </c>
      <c r="E58" s="431">
        <v>8000</v>
      </c>
      <c r="F58" s="430"/>
      <c r="G58" s="430"/>
      <c r="H58" s="430"/>
      <c r="I58" s="675"/>
    </row>
    <row r="59" spans="2:9" x14ac:dyDescent="0.2">
      <c r="B59" s="1198" t="s">
        <v>113</v>
      </c>
      <c r="C59" s="1199"/>
      <c r="D59" s="430">
        <v>8820</v>
      </c>
      <c r="E59" s="431">
        <v>8820</v>
      </c>
      <c r="F59" s="430">
        <v>4410</v>
      </c>
      <c r="G59" s="430"/>
      <c r="H59" s="430"/>
      <c r="I59" s="674"/>
    </row>
    <row r="60" spans="2:9" x14ac:dyDescent="0.2">
      <c r="B60" s="1198" t="s">
        <v>392</v>
      </c>
      <c r="C60" s="1199"/>
      <c r="D60" s="430">
        <v>8500</v>
      </c>
      <c r="E60" s="431">
        <v>3500</v>
      </c>
      <c r="F60" s="430"/>
      <c r="G60" s="430"/>
      <c r="H60" s="430"/>
      <c r="I60" s="674"/>
    </row>
    <row r="61" spans="2:9" x14ac:dyDescent="0.2">
      <c r="B61" s="1198" t="s">
        <v>493</v>
      </c>
      <c r="C61" s="1199"/>
      <c r="D61" s="809">
        <v>14000</v>
      </c>
      <c r="E61" s="810">
        <v>14000</v>
      </c>
      <c r="F61" s="430"/>
      <c r="G61" s="430"/>
      <c r="H61" s="430"/>
      <c r="I61" s="674"/>
    </row>
    <row r="62" spans="2:9" ht="12.75" customHeight="1" x14ac:dyDescent="0.2">
      <c r="B62" s="1198" t="s">
        <v>494</v>
      </c>
      <c r="C62" s="1199"/>
      <c r="D62" s="430">
        <v>800</v>
      </c>
      <c r="E62" s="431">
        <v>800</v>
      </c>
      <c r="F62" s="430">
        <v>800</v>
      </c>
      <c r="G62" s="430"/>
      <c r="H62" s="430"/>
      <c r="I62" s="674"/>
    </row>
    <row r="63" spans="2:9" ht="12.75" customHeight="1" x14ac:dyDescent="0.2">
      <c r="B63" s="836" t="s">
        <v>1334</v>
      </c>
      <c r="C63" s="837"/>
      <c r="D63" s="430">
        <v>654720</v>
      </c>
      <c r="E63" s="431">
        <v>1345280</v>
      </c>
      <c r="F63" s="430"/>
      <c r="G63" s="430"/>
      <c r="H63" s="430"/>
      <c r="I63" s="674"/>
    </row>
    <row r="64" spans="2:9" ht="12.75" customHeight="1" x14ac:dyDescent="0.2">
      <c r="B64" s="836" t="s">
        <v>404</v>
      </c>
      <c r="C64" s="837"/>
      <c r="D64" s="430"/>
      <c r="E64" s="431">
        <v>150000</v>
      </c>
      <c r="F64" s="430"/>
      <c r="G64" s="430"/>
      <c r="H64" s="430"/>
      <c r="I64" s="674"/>
    </row>
    <row r="65" spans="2:9" ht="12.75" customHeight="1" x14ac:dyDescent="0.2">
      <c r="B65" s="836" t="s">
        <v>1375</v>
      </c>
      <c r="C65" s="837"/>
      <c r="D65" s="430">
        <v>1151312</v>
      </c>
      <c r="E65" s="431">
        <v>700000</v>
      </c>
      <c r="F65" s="430"/>
      <c r="G65" s="430"/>
      <c r="H65" s="430"/>
      <c r="I65" s="674"/>
    </row>
    <row r="66" spans="2:9" ht="12.75" customHeight="1" x14ac:dyDescent="0.2">
      <c r="B66" s="836" t="s">
        <v>421</v>
      </c>
      <c r="C66" s="837"/>
      <c r="D66" s="430">
        <v>2119</v>
      </c>
      <c r="E66" s="431">
        <v>530</v>
      </c>
      <c r="F66" s="430"/>
      <c r="G66" s="430"/>
      <c r="H66" s="430"/>
      <c r="I66" s="674"/>
    </row>
    <row r="67" spans="2:9" ht="12.75" customHeight="1" x14ac:dyDescent="0.2">
      <c r="B67" s="1198" t="s">
        <v>495</v>
      </c>
      <c r="C67" s="1199"/>
      <c r="D67" s="430">
        <v>30000</v>
      </c>
      <c r="E67" s="431">
        <v>15000</v>
      </c>
      <c r="F67" s="430"/>
      <c r="G67" s="430"/>
      <c r="H67" s="430"/>
      <c r="I67" s="674"/>
    </row>
    <row r="68" spans="2:9" ht="12.75" customHeight="1" x14ac:dyDescent="0.2">
      <c r="B68" s="1198" t="s">
        <v>1198</v>
      </c>
      <c r="C68" s="1199"/>
      <c r="D68" s="430">
        <v>46990</v>
      </c>
      <c r="E68" s="431">
        <v>112776</v>
      </c>
      <c r="F68" s="430">
        <v>46990</v>
      </c>
      <c r="G68" s="430"/>
      <c r="H68" s="430"/>
      <c r="I68" s="674"/>
    </row>
    <row r="69" spans="2:9" x14ac:dyDescent="0.2">
      <c r="B69" s="1198" t="s">
        <v>496</v>
      </c>
      <c r="C69" s="1199"/>
      <c r="D69" s="430">
        <v>450000</v>
      </c>
      <c r="E69" s="431">
        <v>450000</v>
      </c>
      <c r="F69" s="430">
        <v>380000</v>
      </c>
      <c r="G69" s="430"/>
      <c r="H69" s="430"/>
      <c r="I69" s="674"/>
    </row>
  </sheetData>
  <mergeCells count="36">
    <mergeCell ref="B69:C69"/>
    <mergeCell ref="B11:B12"/>
    <mergeCell ref="B16:C16"/>
    <mergeCell ref="B21:C21"/>
    <mergeCell ref="B30:C30"/>
    <mergeCell ref="B31:C31"/>
    <mergeCell ref="B36:C36"/>
    <mergeCell ref="B32:C32"/>
    <mergeCell ref="B33:C33"/>
    <mergeCell ref="B34:C34"/>
    <mergeCell ref="B35:C35"/>
    <mergeCell ref="B38:C38"/>
    <mergeCell ref="B46:C46"/>
    <mergeCell ref="B47:C47"/>
    <mergeCell ref="B48:C48"/>
    <mergeCell ref="B49:C49"/>
    <mergeCell ref="B2:I2"/>
    <mergeCell ref="B4:I4"/>
    <mergeCell ref="B6:F6"/>
    <mergeCell ref="B8:B10"/>
    <mergeCell ref="C8:C10"/>
    <mergeCell ref="D8:D10"/>
    <mergeCell ref="E8:E10"/>
    <mergeCell ref="F8:F10"/>
    <mergeCell ref="G8:G10"/>
    <mergeCell ref="H8:H10"/>
    <mergeCell ref="I8:I10"/>
    <mergeCell ref="B40:C40"/>
    <mergeCell ref="B62:C62"/>
    <mergeCell ref="B67:C67"/>
    <mergeCell ref="B68:C68"/>
    <mergeCell ref="B50:C50"/>
    <mergeCell ref="B60:C60"/>
    <mergeCell ref="B61:C61"/>
    <mergeCell ref="B59:C59"/>
    <mergeCell ref="B43:C43"/>
  </mergeCells>
  <pageMargins left="0.19685039370078741" right="0.19685039370078741" top="0.59055118110236227" bottom="0" header="0" footer="0"/>
  <pageSetup paperSize="9" scale="97" firstPageNumber="44" orientation="landscape" useFirstPageNumber="1" horizontalDpi="200" verticalDpi="200" r:id="rId1"/>
  <headerFooter alignWithMargins="0">
    <oddFooter>&amp;C&amp;P.oldal</oddFooter>
  </headerFooter>
  <rowBreaks count="1" manualBreakCount="1">
    <brk id="41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9"/>
  <sheetViews>
    <sheetView topLeftCell="A22" zoomScaleNormal="100" workbookViewId="0">
      <selection activeCell="P39" sqref="P39"/>
    </sheetView>
  </sheetViews>
  <sheetFormatPr defaultColWidth="9.140625" defaultRowHeight="12.75" x14ac:dyDescent="0.2"/>
  <cols>
    <col min="1" max="1" width="6.85546875" style="432" customWidth="1"/>
    <col min="2" max="2" width="10.140625" style="432" customWidth="1"/>
    <col min="3" max="3" width="24.85546875" style="432" customWidth="1"/>
    <col min="4" max="4" width="10.5703125" style="432" customWidth="1"/>
    <col min="5" max="7" width="9.140625" style="432"/>
    <col min="8" max="8" width="18.85546875" style="432" customWidth="1"/>
    <col min="9" max="9" width="14.7109375" style="432" customWidth="1"/>
    <col min="10" max="12" width="16.42578125" style="432" customWidth="1"/>
    <col min="13" max="16384" width="9.140625" style="432"/>
  </cols>
  <sheetData>
    <row r="1" spans="1:12" x14ac:dyDescent="0.2">
      <c r="A1" s="1241" t="s">
        <v>497</v>
      </c>
      <c r="B1" s="1241"/>
      <c r="C1" s="1241"/>
      <c r="D1" s="1241"/>
      <c r="E1" s="1241"/>
      <c r="F1" s="1241"/>
      <c r="G1" s="1241"/>
      <c r="H1" s="1241"/>
    </row>
    <row r="2" spans="1:12" ht="16.5" customHeight="1" x14ac:dyDescent="0.2"/>
    <row r="3" spans="1:12" ht="14.25" customHeight="1" x14ac:dyDescent="0.2">
      <c r="A3" s="1242" t="s">
        <v>1209</v>
      </c>
      <c r="B3" s="1242"/>
      <c r="C3" s="1242"/>
      <c r="D3" s="1242"/>
      <c r="E3" s="1242"/>
      <c r="F3" s="1242"/>
      <c r="G3" s="1242"/>
      <c r="H3" s="1242"/>
    </row>
    <row r="4" spans="1:12" ht="14.25" x14ac:dyDescent="0.2">
      <c r="A4" s="433"/>
      <c r="B4" s="433"/>
      <c r="C4" s="433"/>
      <c r="D4" s="433"/>
      <c r="E4" s="433"/>
      <c r="F4" s="433"/>
      <c r="G4" s="433"/>
      <c r="H4" s="433"/>
    </row>
    <row r="5" spans="1:12" ht="9.75" customHeight="1" x14ac:dyDescent="0.2">
      <c r="A5" s="433"/>
      <c r="B5" s="433"/>
      <c r="C5" s="433"/>
      <c r="D5" s="433"/>
      <c r="E5" s="433"/>
      <c r="F5" s="433"/>
      <c r="G5" s="433"/>
      <c r="H5" s="433"/>
    </row>
    <row r="6" spans="1:12" ht="13.15" customHeight="1" x14ac:dyDescent="0.2">
      <c r="D6" s="434"/>
      <c r="E6" s="434"/>
      <c r="F6" s="434"/>
      <c r="G6" s="434"/>
      <c r="H6" s="434"/>
      <c r="I6" s="435"/>
      <c r="J6" s="435"/>
      <c r="K6" s="435"/>
      <c r="L6" s="435"/>
    </row>
    <row r="7" spans="1:12" ht="24.75" customHeight="1" x14ac:dyDescent="0.2">
      <c r="A7" s="1243" t="s">
        <v>234</v>
      </c>
      <c r="B7" s="1245" t="s">
        <v>130</v>
      </c>
      <c r="C7" s="1246"/>
      <c r="D7" s="1245" t="s">
        <v>498</v>
      </c>
      <c r="E7" s="1249"/>
      <c r="F7" s="1249"/>
      <c r="G7" s="1249"/>
      <c r="H7" s="1246"/>
      <c r="I7" s="1228" t="s">
        <v>1253</v>
      </c>
      <c r="J7" s="1213" t="s">
        <v>1338</v>
      </c>
      <c r="K7" s="1213" t="s">
        <v>1355</v>
      </c>
      <c r="L7" s="1213" t="s">
        <v>1357</v>
      </c>
    </row>
    <row r="8" spans="1:12" ht="25.5" customHeight="1" thickBot="1" x14ac:dyDescent="0.25">
      <c r="A8" s="1244"/>
      <c r="B8" s="1247"/>
      <c r="C8" s="1248"/>
      <c r="D8" s="1250"/>
      <c r="E8" s="1251"/>
      <c r="F8" s="1251"/>
      <c r="G8" s="1251"/>
      <c r="H8" s="1252"/>
      <c r="I8" s="1229"/>
      <c r="J8" s="1214"/>
      <c r="K8" s="1214"/>
      <c r="L8" s="1214"/>
    </row>
    <row r="9" spans="1:12" ht="25.5" customHeight="1" x14ac:dyDescent="0.25">
      <c r="A9" s="1215" t="s">
        <v>131</v>
      </c>
      <c r="B9" s="1218" t="s">
        <v>1015</v>
      </c>
      <c r="C9" s="1219"/>
      <c r="D9" s="1226" t="s">
        <v>251</v>
      </c>
      <c r="E9" s="436" t="s">
        <v>499</v>
      </c>
      <c r="F9" s="437"/>
      <c r="G9" s="437"/>
      <c r="H9" s="438"/>
      <c r="I9" s="874"/>
      <c r="J9" s="868"/>
      <c r="K9" s="868">
        <v>750</v>
      </c>
      <c r="L9" s="868">
        <v>750</v>
      </c>
    </row>
    <row r="10" spans="1:12" ht="25.5" customHeight="1" x14ac:dyDescent="0.25">
      <c r="A10" s="1216"/>
      <c r="B10" s="1220"/>
      <c r="C10" s="1221"/>
      <c r="D10" s="1226"/>
      <c r="E10" s="436" t="s">
        <v>500</v>
      </c>
      <c r="F10" s="437"/>
      <c r="G10" s="437"/>
      <c r="H10" s="438"/>
      <c r="I10" s="875"/>
      <c r="J10" s="869"/>
      <c r="K10" s="869"/>
      <c r="L10" s="869"/>
    </row>
    <row r="11" spans="1:12" ht="25.5" customHeight="1" x14ac:dyDescent="0.25">
      <c r="A11" s="1216"/>
      <c r="B11" s="1222"/>
      <c r="C11" s="1223"/>
      <c r="D11" s="1227" t="s">
        <v>252</v>
      </c>
      <c r="E11" s="439" t="s">
        <v>253</v>
      </c>
      <c r="F11" s="440"/>
      <c r="G11" s="440"/>
      <c r="H11" s="441"/>
      <c r="I11" s="876"/>
      <c r="J11" s="870">
        <f>'3c.m.'!D399</f>
        <v>76</v>
      </c>
      <c r="K11" s="870">
        <f>'3c.m.'!E399</f>
        <v>76</v>
      </c>
      <c r="L11" s="870">
        <f>'3c.m.'!F399</f>
        <v>76</v>
      </c>
    </row>
    <row r="12" spans="1:12" ht="25.5" customHeight="1" x14ac:dyDescent="0.25">
      <c r="A12" s="1216"/>
      <c r="B12" s="1222"/>
      <c r="C12" s="1223"/>
      <c r="D12" s="1226"/>
      <c r="E12" s="436" t="s">
        <v>501</v>
      </c>
      <c r="F12" s="437"/>
      <c r="G12" s="437"/>
      <c r="H12" s="438"/>
      <c r="I12" s="875"/>
      <c r="J12" s="869">
        <f>'3c.m.'!D400</f>
        <v>11</v>
      </c>
      <c r="K12" s="869">
        <f>'3c.m.'!E400</f>
        <v>11</v>
      </c>
      <c r="L12" s="869">
        <f>'3c.m.'!F400</f>
        <v>11</v>
      </c>
    </row>
    <row r="13" spans="1:12" ht="25.5" customHeight="1" x14ac:dyDescent="0.25">
      <c r="A13" s="1216"/>
      <c r="B13" s="1222"/>
      <c r="C13" s="1223"/>
      <c r="D13" s="1226"/>
      <c r="E13" s="436" t="s">
        <v>254</v>
      </c>
      <c r="F13" s="437"/>
      <c r="G13" s="437"/>
      <c r="H13" s="438"/>
      <c r="I13" s="875"/>
      <c r="J13" s="869">
        <f>'3c.m.'!D401</f>
        <v>100</v>
      </c>
      <c r="K13" s="869">
        <f>'3c.m.'!E401</f>
        <v>100</v>
      </c>
      <c r="L13" s="869">
        <f>'3c.m.'!F401</f>
        <v>100</v>
      </c>
    </row>
    <row r="14" spans="1:12" ht="25.5" customHeight="1" x14ac:dyDescent="0.25">
      <c r="A14" s="1216"/>
      <c r="B14" s="1222"/>
      <c r="C14" s="1223"/>
      <c r="D14" s="1226"/>
      <c r="E14" s="436" t="s">
        <v>78</v>
      </c>
      <c r="F14" s="437"/>
      <c r="G14" s="437"/>
      <c r="H14" s="438"/>
      <c r="I14" s="875"/>
      <c r="J14" s="869"/>
      <c r="K14" s="869"/>
      <c r="L14" s="869"/>
    </row>
    <row r="15" spans="1:12" ht="25.5" customHeight="1" x14ac:dyDescent="0.25">
      <c r="A15" s="1216"/>
      <c r="B15" s="1222"/>
      <c r="C15" s="1223"/>
      <c r="D15" s="1226"/>
      <c r="E15" s="436" t="s">
        <v>408</v>
      </c>
      <c r="F15" s="437"/>
      <c r="G15" s="437"/>
      <c r="H15" s="438"/>
      <c r="I15" s="875"/>
      <c r="J15" s="869"/>
      <c r="K15" s="869"/>
      <c r="L15" s="869"/>
    </row>
    <row r="16" spans="1:12" ht="25.5" customHeight="1" x14ac:dyDescent="0.25">
      <c r="A16" s="1216"/>
      <c r="B16" s="1222"/>
      <c r="C16" s="1223"/>
      <c r="D16" s="1226"/>
      <c r="E16" s="436" t="s">
        <v>409</v>
      </c>
      <c r="F16" s="437"/>
      <c r="G16" s="437"/>
      <c r="H16" s="438"/>
      <c r="I16" s="875"/>
      <c r="J16" s="869"/>
      <c r="K16" s="869"/>
      <c r="L16" s="869"/>
    </row>
    <row r="17" spans="1:12" ht="25.5" customHeight="1" thickBot="1" x14ac:dyDescent="0.3">
      <c r="A17" s="1217"/>
      <c r="B17" s="1224"/>
      <c r="C17" s="1225"/>
      <c r="D17" s="1194"/>
      <c r="E17" s="442" t="s">
        <v>502</v>
      </c>
      <c r="F17" s="443"/>
      <c r="G17" s="443"/>
      <c r="H17" s="444"/>
      <c r="I17" s="877"/>
      <c r="J17" s="871"/>
      <c r="K17" s="871"/>
      <c r="L17" s="871"/>
    </row>
    <row r="18" spans="1:12" ht="15.75" customHeight="1" x14ac:dyDescent="0.25">
      <c r="A18" s="1215" t="s">
        <v>132</v>
      </c>
      <c r="B18" s="1218" t="s">
        <v>1277</v>
      </c>
      <c r="C18" s="1219"/>
      <c r="D18" s="1226" t="s">
        <v>251</v>
      </c>
      <c r="E18" s="436" t="s">
        <v>1352</v>
      </c>
      <c r="F18" s="437"/>
      <c r="G18" s="437"/>
      <c r="H18" s="438"/>
      <c r="I18" s="874">
        <f>'1b.mell '!C76</f>
        <v>0</v>
      </c>
      <c r="J18" s="868">
        <f>'1b.mell '!D76</f>
        <v>0</v>
      </c>
      <c r="K18" s="868">
        <v>22306</v>
      </c>
      <c r="L18" s="868">
        <v>22306</v>
      </c>
    </row>
    <row r="19" spans="1:12" ht="15.75" customHeight="1" x14ac:dyDescent="0.25">
      <c r="A19" s="1216"/>
      <c r="B19" s="1220"/>
      <c r="C19" s="1221"/>
      <c r="D19" s="1226"/>
      <c r="E19" s="436" t="s">
        <v>1353</v>
      </c>
      <c r="F19" s="437"/>
      <c r="G19" s="437"/>
      <c r="H19" s="438"/>
      <c r="I19" s="875"/>
      <c r="J19" s="869"/>
      <c r="K19" s="869"/>
      <c r="L19" s="869"/>
    </row>
    <row r="20" spans="1:12" ht="15.75" customHeight="1" x14ac:dyDescent="0.25">
      <c r="A20" s="1216"/>
      <c r="B20" s="1222"/>
      <c r="C20" s="1223"/>
      <c r="D20" s="1227" t="s">
        <v>252</v>
      </c>
      <c r="E20" s="439" t="s">
        <v>253</v>
      </c>
      <c r="F20" s="440"/>
      <c r="G20" s="440"/>
      <c r="H20" s="441"/>
      <c r="I20" s="876"/>
      <c r="J20" s="870"/>
      <c r="K20" s="870"/>
      <c r="L20" s="870"/>
    </row>
    <row r="21" spans="1:12" ht="15.75" customHeight="1" x14ac:dyDescent="0.25">
      <c r="A21" s="1216"/>
      <c r="B21" s="1222"/>
      <c r="C21" s="1223"/>
      <c r="D21" s="1226"/>
      <c r="E21" s="436" t="s">
        <v>501</v>
      </c>
      <c r="F21" s="437"/>
      <c r="G21" s="437"/>
      <c r="H21" s="438"/>
      <c r="I21" s="875"/>
      <c r="J21" s="869"/>
      <c r="K21" s="869"/>
      <c r="L21" s="869"/>
    </row>
    <row r="22" spans="1:12" ht="15.75" customHeight="1" x14ac:dyDescent="0.25">
      <c r="A22" s="1216"/>
      <c r="B22" s="1222"/>
      <c r="C22" s="1223"/>
      <c r="D22" s="1226"/>
      <c r="E22" s="436" t="s">
        <v>254</v>
      </c>
      <c r="F22" s="437"/>
      <c r="G22" s="437"/>
      <c r="H22" s="438"/>
      <c r="I22" s="875"/>
      <c r="J22" s="869">
        <f>'3c.m.'!D419</f>
        <v>18605</v>
      </c>
      <c r="K22" s="869">
        <f>'3c.m.'!E419</f>
        <v>18605</v>
      </c>
      <c r="L22" s="869">
        <f>'3c.m.'!F419</f>
        <v>18605</v>
      </c>
    </row>
    <row r="23" spans="1:12" ht="15.75" customHeight="1" x14ac:dyDescent="0.25">
      <c r="A23" s="1216"/>
      <c r="B23" s="1222"/>
      <c r="C23" s="1223"/>
      <c r="D23" s="1226"/>
      <c r="E23" s="436" t="s">
        <v>78</v>
      </c>
      <c r="F23" s="437"/>
      <c r="G23" s="437"/>
      <c r="H23" s="438"/>
      <c r="I23" s="875"/>
      <c r="J23" s="869"/>
      <c r="K23" s="869"/>
      <c r="L23" s="869"/>
    </row>
    <row r="24" spans="1:12" ht="15.75" customHeight="1" x14ac:dyDescent="0.25">
      <c r="A24" s="1216"/>
      <c r="B24" s="1222"/>
      <c r="C24" s="1223"/>
      <c r="D24" s="1226"/>
      <c r="E24" s="436" t="s">
        <v>408</v>
      </c>
      <c r="F24" s="437"/>
      <c r="G24" s="437"/>
      <c r="H24" s="438"/>
      <c r="I24" s="875"/>
      <c r="J24" s="869"/>
      <c r="K24" s="869"/>
      <c r="L24" s="869"/>
    </row>
    <row r="25" spans="1:12" ht="15.75" customHeight="1" x14ac:dyDescent="0.25">
      <c r="A25" s="1216"/>
      <c r="B25" s="1222"/>
      <c r="C25" s="1223"/>
      <c r="D25" s="1226"/>
      <c r="E25" s="436" t="s">
        <v>409</v>
      </c>
      <c r="F25" s="437"/>
      <c r="G25" s="437"/>
      <c r="H25" s="438"/>
      <c r="I25" s="875"/>
      <c r="J25" s="869"/>
      <c r="K25" s="869"/>
      <c r="L25" s="869"/>
    </row>
    <row r="26" spans="1:12" ht="15.75" customHeight="1" thickBot="1" x14ac:dyDescent="0.3">
      <c r="A26" s="1217"/>
      <c r="B26" s="1224"/>
      <c r="C26" s="1225"/>
      <c r="D26" s="1194"/>
      <c r="E26" s="442" t="s">
        <v>502</v>
      </c>
      <c r="F26" s="443"/>
      <c r="G26" s="443"/>
      <c r="H26" s="444"/>
      <c r="I26" s="877"/>
      <c r="J26" s="871"/>
      <c r="K26" s="871"/>
      <c r="L26" s="871"/>
    </row>
    <row r="27" spans="1:12" ht="15.75" customHeight="1" x14ac:dyDescent="0.25">
      <c r="A27" s="1215" t="s">
        <v>133</v>
      </c>
      <c r="B27" s="1218" t="s">
        <v>1278</v>
      </c>
      <c r="C27" s="1219"/>
      <c r="D27" s="1226" t="s">
        <v>251</v>
      </c>
      <c r="E27" s="436" t="s">
        <v>1352</v>
      </c>
      <c r="F27" s="437"/>
      <c r="G27" s="437"/>
      <c r="H27" s="438"/>
      <c r="I27" s="874"/>
      <c r="J27" s="868"/>
      <c r="K27" s="868">
        <v>17820</v>
      </c>
      <c r="L27" s="868">
        <v>17820</v>
      </c>
    </row>
    <row r="28" spans="1:12" ht="15.75" customHeight="1" x14ac:dyDescent="0.25">
      <c r="A28" s="1216"/>
      <c r="B28" s="1220"/>
      <c r="C28" s="1221"/>
      <c r="D28" s="1226"/>
      <c r="E28" s="436" t="s">
        <v>1353</v>
      </c>
      <c r="F28" s="437"/>
      <c r="G28" s="437"/>
      <c r="H28" s="438"/>
      <c r="I28" s="875"/>
      <c r="J28" s="869"/>
      <c r="K28" s="869"/>
      <c r="L28" s="869"/>
    </row>
    <row r="29" spans="1:12" ht="15.75" customHeight="1" x14ac:dyDescent="0.25">
      <c r="A29" s="1216"/>
      <c r="B29" s="1222"/>
      <c r="C29" s="1223"/>
      <c r="D29" s="1227" t="s">
        <v>252</v>
      </c>
      <c r="E29" s="439" t="s">
        <v>253</v>
      </c>
      <c r="F29" s="440"/>
      <c r="G29" s="440"/>
      <c r="H29" s="441"/>
      <c r="I29" s="876"/>
      <c r="J29" s="870"/>
      <c r="K29" s="870">
        <v>15700</v>
      </c>
      <c r="L29" s="870">
        <f>'3c.m.'!F426</f>
        <v>13045</v>
      </c>
    </row>
    <row r="30" spans="1:12" ht="15.75" customHeight="1" x14ac:dyDescent="0.25">
      <c r="A30" s="1216"/>
      <c r="B30" s="1222"/>
      <c r="C30" s="1223"/>
      <c r="D30" s="1226"/>
      <c r="E30" s="436" t="s">
        <v>501</v>
      </c>
      <c r="F30" s="437"/>
      <c r="G30" s="437"/>
      <c r="H30" s="438"/>
      <c r="I30" s="875"/>
      <c r="J30" s="869">
        <f>'3c.m.'!D427</f>
        <v>12</v>
      </c>
      <c r="K30" s="869">
        <f>'3c.m.'!E427</f>
        <v>2052</v>
      </c>
      <c r="L30" s="869">
        <f>'3c.m.'!F427</f>
        <v>1707</v>
      </c>
    </row>
    <row r="31" spans="1:12" ht="15.75" customHeight="1" x14ac:dyDescent="0.25">
      <c r="A31" s="1216"/>
      <c r="B31" s="1222"/>
      <c r="C31" s="1223"/>
      <c r="D31" s="1226"/>
      <c r="E31" s="436" t="s">
        <v>254</v>
      </c>
      <c r="F31" s="437"/>
      <c r="G31" s="437"/>
      <c r="H31" s="438"/>
      <c r="I31" s="875"/>
      <c r="J31" s="869">
        <f>'3c.m.'!D428</f>
        <v>280</v>
      </c>
      <c r="K31" s="869">
        <f>'3c.m.'!E428</f>
        <v>360</v>
      </c>
      <c r="L31" s="869">
        <f>'3c.m.'!F428</f>
        <v>3360</v>
      </c>
    </row>
    <row r="32" spans="1:12" ht="15.75" customHeight="1" x14ac:dyDescent="0.25">
      <c r="A32" s="1216"/>
      <c r="B32" s="1222"/>
      <c r="C32" s="1223"/>
      <c r="D32" s="1226"/>
      <c r="E32" s="436" t="s">
        <v>78</v>
      </c>
      <c r="F32" s="437"/>
      <c r="G32" s="437"/>
      <c r="H32" s="438"/>
      <c r="I32" s="875"/>
      <c r="J32" s="869"/>
      <c r="K32" s="869"/>
      <c r="L32" s="869"/>
    </row>
    <row r="33" spans="1:12" ht="15.75" customHeight="1" x14ac:dyDescent="0.25">
      <c r="A33" s="1216"/>
      <c r="B33" s="1222"/>
      <c r="C33" s="1223"/>
      <c r="D33" s="1226"/>
      <c r="E33" s="436" t="s">
        <v>408</v>
      </c>
      <c r="F33" s="437"/>
      <c r="G33" s="437"/>
      <c r="H33" s="438"/>
      <c r="I33" s="875"/>
      <c r="J33" s="869"/>
      <c r="K33" s="869"/>
      <c r="L33" s="869"/>
    </row>
    <row r="34" spans="1:12" ht="15.75" customHeight="1" x14ac:dyDescent="0.25">
      <c r="A34" s="1216"/>
      <c r="B34" s="1222"/>
      <c r="C34" s="1223"/>
      <c r="D34" s="1226"/>
      <c r="E34" s="436" t="s">
        <v>409</v>
      </c>
      <c r="F34" s="437"/>
      <c r="G34" s="437"/>
      <c r="H34" s="438"/>
      <c r="I34" s="875"/>
      <c r="J34" s="869"/>
      <c r="K34" s="869"/>
      <c r="L34" s="869"/>
    </row>
    <row r="35" spans="1:12" ht="15.75" customHeight="1" thickBot="1" x14ac:dyDescent="0.3">
      <c r="A35" s="1217"/>
      <c r="B35" s="1224"/>
      <c r="C35" s="1225"/>
      <c r="D35" s="1194"/>
      <c r="E35" s="442" t="s">
        <v>502</v>
      </c>
      <c r="F35" s="443"/>
      <c r="G35" s="443"/>
      <c r="H35" s="444"/>
      <c r="I35" s="877"/>
      <c r="J35" s="871"/>
      <c r="K35" s="871"/>
      <c r="L35" s="871"/>
    </row>
    <row r="36" spans="1:12" ht="15.75" customHeight="1" x14ac:dyDescent="0.25">
      <c r="A36" s="1232" t="s">
        <v>142</v>
      </c>
      <c r="B36" s="1233"/>
      <c r="C36" s="1234"/>
      <c r="D36" s="1231" t="s">
        <v>251</v>
      </c>
      <c r="E36" s="445" t="s">
        <v>499</v>
      </c>
      <c r="F36" s="446"/>
      <c r="G36" s="446"/>
      <c r="H36" s="447"/>
      <c r="I36" s="1131">
        <v>0</v>
      </c>
      <c r="J36" s="1130">
        <v>0</v>
      </c>
      <c r="K36" s="1130">
        <f>K9</f>
        <v>750</v>
      </c>
      <c r="L36" s="1130">
        <f>L9</f>
        <v>750</v>
      </c>
    </row>
    <row r="37" spans="1:12" ht="15.75" customHeight="1" x14ac:dyDescent="0.25">
      <c r="A37" s="1235"/>
      <c r="B37" s="1236"/>
      <c r="C37" s="1237"/>
      <c r="D37" s="1226"/>
      <c r="E37" s="436" t="s">
        <v>500</v>
      </c>
      <c r="F37" s="437"/>
      <c r="G37" s="437"/>
      <c r="H37" s="438"/>
      <c r="I37" s="1128"/>
      <c r="J37" s="1129"/>
      <c r="K37" s="1129"/>
      <c r="L37" s="1129"/>
    </row>
    <row r="38" spans="1:12" ht="13.7" customHeight="1" x14ac:dyDescent="0.25">
      <c r="A38" s="1235"/>
      <c r="B38" s="1236"/>
      <c r="C38" s="1237"/>
      <c r="D38" s="1226"/>
      <c r="E38" s="436" t="s">
        <v>1352</v>
      </c>
      <c r="F38" s="437"/>
      <c r="G38" s="437"/>
      <c r="H38" s="438"/>
      <c r="I38" s="879"/>
      <c r="J38" s="873"/>
      <c r="K38" s="873">
        <f>K18+K27</f>
        <v>40126</v>
      </c>
      <c r="L38" s="873">
        <f>L18+L27</f>
        <v>40126</v>
      </c>
    </row>
    <row r="39" spans="1:12" ht="13.7" customHeight="1" thickBot="1" x14ac:dyDescent="0.3">
      <c r="A39" s="1235"/>
      <c r="B39" s="1236"/>
      <c r="C39" s="1237"/>
      <c r="D39" s="1230"/>
      <c r="E39" s="448" t="s">
        <v>1353</v>
      </c>
      <c r="F39" s="443"/>
      <c r="G39" s="443"/>
      <c r="H39" s="444"/>
      <c r="I39" s="878"/>
      <c r="J39" s="872"/>
      <c r="K39" s="872"/>
      <c r="L39" s="872"/>
    </row>
    <row r="40" spans="1:12" ht="13.7" customHeight="1" x14ac:dyDescent="0.25">
      <c r="A40" s="1235"/>
      <c r="B40" s="1236"/>
      <c r="C40" s="1237"/>
      <c r="D40" s="1226" t="s">
        <v>252</v>
      </c>
      <c r="E40" s="436" t="s">
        <v>253</v>
      </c>
      <c r="F40" s="437"/>
      <c r="G40" s="437"/>
      <c r="H40" s="438"/>
      <c r="I40" s="879">
        <f t="shared" ref="I40:I47" si="0">I20</f>
        <v>0</v>
      </c>
      <c r="J40" s="873">
        <f>J11+J20+J29</f>
        <v>76</v>
      </c>
      <c r="K40" s="873">
        <f>K11+K20+K29</f>
        <v>15776</v>
      </c>
      <c r="L40" s="873">
        <f>L11+L20+L29</f>
        <v>13121</v>
      </c>
    </row>
    <row r="41" spans="1:12" ht="13.7" customHeight="1" x14ac:dyDescent="0.25">
      <c r="A41" s="1235"/>
      <c r="B41" s="1236"/>
      <c r="C41" s="1237"/>
      <c r="D41" s="1226"/>
      <c r="E41" s="436" t="s">
        <v>501</v>
      </c>
      <c r="F41" s="437"/>
      <c r="G41" s="437"/>
      <c r="H41" s="438"/>
      <c r="I41" s="879">
        <f t="shared" si="0"/>
        <v>0</v>
      </c>
      <c r="J41" s="873">
        <f t="shared" ref="J41:J46" si="1">J12+J21+J30</f>
        <v>23</v>
      </c>
      <c r="K41" s="873">
        <f t="shared" ref="K41:L41" si="2">K12+K21+K30</f>
        <v>2063</v>
      </c>
      <c r="L41" s="873">
        <f t="shared" si="2"/>
        <v>1718</v>
      </c>
    </row>
    <row r="42" spans="1:12" ht="13.7" customHeight="1" x14ac:dyDescent="0.25">
      <c r="A42" s="1235"/>
      <c r="B42" s="1236"/>
      <c r="C42" s="1237"/>
      <c r="D42" s="1226"/>
      <c r="E42" s="436" t="s">
        <v>254</v>
      </c>
      <c r="F42" s="437"/>
      <c r="G42" s="437"/>
      <c r="H42" s="438"/>
      <c r="I42" s="879">
        <f t="shared" si="0"/>
        <v>0</v>
      </c>
      <c r="J42" s="873">
        <f t="shared" si="1"/>
        <v>18985</v>
      </c>
      <c r="K42" s="873">
        <f>K13+K22+K31</f>
        <v>19065</v>
      </c>
      <c r="L42" s="873">
        <f>L13+L22+L31</f>
        <v>22065</v>
      </c>
    </row>
    <row r="43" spans="1:12" ht="13.7" customHeight="1" x14ac:dyDescent="0.25">
      <c r="A43" s="1235"/>
      <c r="B43" s="1236"/>
      <c r="C43" s="1237"/>
      <c r="D43" s="1226"/>
      <c r="E43" s="436" t="s">
        <v>78</v>
      </c>
      <c r="F43" s="437"/>
      <c r="G43" s="437"/>
      <c r="H43" s="438"/>
      <c r="I43" s="879">
        <f t="shared" si="0"/>
        <v>0</v>
      </c>
      <c r="J43" s="873">
        <f t="shared" si="1"/>
        <v>0</v>
      </c>
      <c r="K43" s="873">
        <f t="shared" ref="K43:L43" si="3">K14+K23+K32</f>
        <v>0</v>
      </c>
      <c r="L43" s="873">
        <f t="shared" si="3"/>
        <v>0</v>
      </c>
    </row>
    <row r="44" spans="1:12" ht="13.7" customHeight="1" x14ac:dyDescent="0.25">
      <c r="A44" s="1235"/>
      <c r="B44" s="1236"/>
      <c r="C44" s="1237"/>
      <c r="D44" s="1226"/>
      <c r="E44" s="436" t="s">
        <v>79</v>
      </c>
      <c r="F44" s="437"/>
      <c r="G44" s="437"/>
      <c r="H44" s="438"/>
      <c r="I44" s="879">
        <f t="shared" si="0"/>
        <v>0</v>
      </c>
      <c r="J44" s="873">
        <f t="shared" si="1"/>
        <v>0</v>
      </c>
      <c r="K44" s="873">
        <f t="shared" ref="K44:L44" si="4">K15+K24+K33</f>
        <v>0</v>
      </c>
      <c r="L44" s="873">
        <f t="shared" si="4"/>
        <v>0</v>
      </c>
    </row>
    <row r="45" spans="1:12" ht="13.7" customHeight="1" x14ac:dyDescent="0.25">
      <c r="A45" s="1235"/>
      <c r="B45" s="1236"/>
      <c r="C45" s="1237"/>
      <c r="D45" s="1226"/>
      <c r="E45" s="436" t="s">
        <v>409</v>
      </c>
      <c r="F45" s="437"/>
      <c r="G45" s="437"/>
      <c r="H45" s="438"/>
      <c r="I45" s="879">
        <f t="shared" si="0"/>
        <v>0</v>
      </c>
      <c r="J45" s="873">
        <f t="shared" si="1"/>
        <v>0</v>
      </c>
      <c r="K45" s="873">
        <f t="shared" ref="K45:L45" si="5">K16+K25+K34</f>
        <v>0</v>
      </c>
      <c r="L45" s="873">
        <f t="shared" si="5"/>
        <v>0</v>
      </c>
    </row>
    <row r="46" spans="1:12" ht="13.7" customHeight="1" x14ac:dyDescent="0.25">
      <c r="A46" s="1235"/>
      <c r="B46" s="1236"/>
      <c r="C46" s="1237"/>
      <c r="D46" s="1226"/>
      <c r="E46" s="449" t="s">
        <v>502</v>
      </c>
      <c r="F46" s="437"/>
      <c r="G46" s="437"/>
      <c r="H46" s="438"/>
      <c r="I46" s="879">
        <f t="shared" si="0"/>
        <v>0</v>
      </c>
      <c r="J46" s="873">
        <f t="shared" si="1"/>
        <v>0</v>
      </c>
      <c r="K46" s="873">
        <f t="shared" ref="K46:L46" si="6">K17+K26+K35</f>
        <v>0</v>
      </c>
      <c r="L46" s="873">
        <f t="shared" si="6"/>
        <v>0</v>
      </c>
    </row>
    <row r="47" spans="1:12" ht="13.7" customHeight="1" x14ac:dyDescent="0.25">
      <c r="A47" s="1235"/>
      <c r="B47" s="1236"/>
      <c r="C47" s="1237"/>
      <c r="D47" s="1226"/>
      <c r="E47" s="436" t="s">
        <v>408</v>
      </c>
      <c r="F47" s="437"/>
      <c r="G47" s="437"/>
      <c r="H47" s="438"/>
      <c r="I47" s="879">
        <f t="shared" si="0"/>
        <v>0</v>
      </c>
      <c r="J47" s="873">
        <f>J18+J27+J38</f>
        <v>0</v>
      </c>
      <c r="K47" s="873">
        <f t="shared" ref="K47:L47" si="7">K18+K27+K38</f>
        <v>80252</v>
      </c>
      <c r="L47" s="873">
        <f t="shared" si="7"/>
        <v>80252</v>
      </c>
    </row>
    <row r="48" spans="1:12" ht="13.7" customHeight="1" thickBot="1" x14ac:dyDescent="0.3">
      <c r="A48" s="1238"/>
      <c r="B48" s="1239"/>
      <c r="C48" s="1240"/>
      <c r="D48" s="1230"/>
      <c r="E48" s="442" t="s">
        <v>502</v>
      </c>
      <c r="F48" s="443"/>
      <c r="G48" s="443"/>
      <c r="H48" s="444"/>
      <c r="I48" s="877"/>
      <c r="J48" s="871"/>
      <c r="K48" s="871"/>
      <c r="L48" s="871"/>
    </row>
    <row r="49" spans="1:8" ht="13.7" customHeight="1" x14ac:dyDescent="0.25">
      <c r="A49" s="450"/>
      <c r="B49" s="451"/>
      <c r="C49" s="451"/>
      <c r="D49" s="452"/>
      <c r="E49" s="437"/>
      <c r="F49" s="437"/>
      <c r="G49" s="437"/>
      <c r="H49" s="437"/>
    </row>
  </sheetData>
  <mergeCells count="24">
    <mergeCell ref="A1:H1"/>
    <mergeCell ref="A3:H3"/>
    <mergeCell ref="A7:A8"/>
    <mergeCell ref="B7:C8"/>
    <mergeCell ref="D7:H8"/>
    <mergeCell ref="D40:D48"/>
    <mergeCell ref="A27:A35"/>
    <mergeCell ref="B27:C35"/>
    <mergeCell ref="D27:D28"/>
    <mergeCell ref="D29:D35"/>
    <mergeCell ref="D36:D39"/>
    <mergeCell ref="A36:C48"/>
    <mergeCell ref="L7:L8"/>
    <mergeCell ref="A18:A26"/>
    <mergeCell ref="B18:C26"/>
    <mergeCell ref="D18:D19"/>
    <mergeCell ref="D20:D26"/>
    <mergeCell ref="A9:A17"/>
    <mergeCell ref="B9:C17"/>
    <mergeCell ref="K7:K8"/>
    <mergeCell ref="D9:D10"/>
    <mergeCell ref="D11:D17"/>
    <mergeCell ref="J7:J8"/>
    <mergeCell ref="I7:I8"/>
  </mergeCells>
  <printOptions horizontalCentered="1"/>
  <pageMargins left="1.3779527559055118" right="1.3779527559055118" top="0.31496062992125984" bottom="0" header="0.51181102362204722" footer="0.11811023622047245"/>
  <pageSetup paperSize="9" scale="60" firstPageNumber="46" orientation="landscape" useFirstPageNumber="1" r:id="rId1"/>
  <headerFooter alignWithMargins="0">
    <oddFooter>&amp;C&amp;P. oldal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J82"/>
  <sheetViews>
    <sheetView workbookViewId="0">
      <selection activeCell="E12" sqref="E12:E13"/>
    </sheetView>
  </sheetViews>
  <sheetFormatPr defaultColWidth="9.140625" defaultRowHeight="12.75" x14ac:dyDescent="0.2"/>
  <cols>
    <col min="1" max="1" width="4.85546875" style="453" customWidth="1"/>
    <col min="2" max="2" width="14.140625" style="453" customWidth="1"/>
    <col min="3" max="3" width="13.85546875" style="453" customWidth="1"/>
    <col min="4" max="4" width="14.140625" style="453" customWidth="1"/>
    <col min="5" max="5" width="13.140625" style="453" customWidth="1"/>
    <col min="6" max="10" width="12.140625" style="453" customWidth="1"/>
    <col min="11" max="16384" width="9.140625" style="453"/>
  </cols>
  <sheetData>
    <row r="2" spans="1:10" x14ac:dyDescent="0.2">
      <c r="B2" s="1290" t="s">
        <v>503</v>
      </c>
      <c r="C2" s="1290"/>
      <c r="D2" s="1290"/>
      <c r="E2" s="1290"/>
      <c r="F2" s="1290"/>
      <c r="G2" s="1290"/>
      <c r="H2" s="1290"/>
      <c r="I2" s="1290"/>
      <c r="J2" s="1290"/>
    </row>
    <row r="4" spans="1:10" x14ac:dyDescent="0.2">
      <c r="B4" s="1291" t="s">
        <v>1210</v>
      </c>
      <c r="C4" s="1292"/>
      <c r="D4" s="1292"/>
      <c r="E4" s="1292"/>
      <c r="F4" s="1292"/>
      <c r="G4" s="1292"/>
      <c r="H4" s="1292"/>
      <c r="I4" s="1292"/>
      <c r="J4" s="1292"/>
    </row>
    <row r="5" spans="1:10" x14ac:dyDescent="0.2">
      <c r="B5" s="454"/>
    </row>
    <row r="6" spans="1:10" x14ac:dyDescent="0.2">
      <c r="B6" s="454"/>
    </row>
    <row r="7" spans="1:10" x14ac:dyDescent="0.2">
      <c r="A7" s="455"/>
      <c r="J7" s="456"/>
    </row>
    <row r="8" spans="1:10" ht="12.75" customHeight="1" x14ac:dyDescent="0.2">
      <c r="A8" s="1293" t="s">
        <v>504</v>
      </c>
      <c r="B8" s="1296" t="s">
        <v>505</v>
      </c>
      <c r="C8" s="1297"/>
      <c r="D8" s="1298"/>
      <c r="E8" s="1302" t="s">
        <v>1374</v>
      </c>
      <c r="F8" s="1305" t="s">
        <v>506</v>
      </c>
      <c r="G8" s="1306"/>
      <c r="H8" s="1307"/>
      <c r="I8" s="1307"/>
      <c r="J8" s="457"/>
    </row>
    <row r="9" spans="1:10" ht="12.75" customHeight="1" x14ac:dyDescent="0.2">
      <c r="A9" s="1294"/>
      <c r="B9" s="1299"/>
      <c r="C9" s="1300"/>
      <c r="D9" s="1301"/>
      <c r="E9" s="1303"/>
      <c r="F9" s="1305" t="s">
        <v>507</v>
      </c>
      <c r="G9" s="1306"/>
      <c r="H9" s="1305" t="s">
        <v>508</v>
      </c>
      <c r="I9" s="1308"/>
      <c r="J9" s="1309" t="s">
        <v>509</v>
      </c>
    </row>
    <row r="10" spans="1:10" ht="12.75" customHeight="1" x14ac:dyDescent="0.2">
      <c r="A10" s="1294"/>
      <c r="B10" s="1299"/>
      <c r="C10" s="1300"/>
      <c r="D10" s="1301"/>
      <c r="E10" s="1303"/>
      <c r="F10" s="1309" t="s">
        <v>510</v>
      </c>
      <c r="G10" s="1312" t="s">
        <v>511</v>
      </c>
      <c r="H10" s="1309" t="s">
        <v>512</v>
      </c>
      <c r="I10" s="1309" t="s">
        <v>513</v>
      </c>
      <c r="J10" s="1310"/>
    </row>
    <row r="11" spans="1:10" ht="37.5" customHeight="1" x14ac:dyDescent="0.2">
      <c r="A11" s="1295"/>
      <c r="B11" s="1287"/>
      <c r="C11" s="1288"/>
      <c r="D11" s="1289"/>
      <c r="E11" s="1304"/>
      <c r="F11" s="1311"/>
      <c r="G11" s="1313"/>
      <c r="H11" s="1311"/>
      <c r="I11" s="1311"/>
      <c r="J11" s="1311"/>
    </row>
    <row r="12" spans="1:10" x14ac:dyDescent="0.2">
      <c r="A12" s="1255"/>
      <c r="B12" s="1278" t="s">
        <v>514</v>
      </c>
      <c r="C12" s="1279"/>
      <c r="D12" s="1280"/>
      <c r="E12" s="1270"/>
      <c r="F12" s="1270"/>
      <c r="G12" s="1270"/>
      <c r="H12" s="1270"/>
      <c r="I12" s="1270"/>
      <c r="J12" s="1270"/>
    </row>
    <row r="13" spans="1:10" x14ac:dyDescent="0.2">
      <c r="A13" s="1256"/>
      <c r="B13" s="1281"/>
      <c r="C13" s="1282"/>
      <c r="D13" s="1283"/>
      <c r="E13" s="1271"/>
      <c r="F13" s="1271"/>
      <c r="G13" s="1271"/>
      <c r="H13" s="1271"/>
      <c r="I13" s="1271"/>
      <c r="J13" s="1271"/>
    </row>
    <row r="14" spans="1:10" x14ac:dyDescent="0.2">
      <c r="A14" s="1263" t="s">
        <v>131</v>
      </c>
      <c r="B14" s="1264" t="s">
        <v>515</v>
      </c>
      <c r="C14" s="1265"/>
      <c r="D14" s="1266"/>
      <c r="E14" s="1270">
        <f>SUM(F14+G14+H14+I14)</f>
        <v>17</v>
      </c>
      <c r="F14" s="1270">
        <v>12</v>
      </c>
      <c r="G14" s="1270">
        <v>3</v>
      </c>
      <c r="H14" s="1270">
        <v>1</v>
      </c>
      <c r="I14" s="1270">
        <v>1</v>
      </c>
      <c r="J14" s="1270"/>
    </row>
    <row r="15" spans="1:10" x14ac:dyDescent="0.2">
      <c r="A15" s="1256"/>
      <c r="B15" s="1267"/>
      <c r="C15" s="1268"/>
      <c r="D15" s="1269"/>
      <c r="E15" s="1271"/>
      <c r="F15" s="1271"/>
      <c r="G15" s="1271"/>
      <c r="H15" s="1271"/>
      <c r="I15" s="1271"/>
      <c r="J15" s="1271"/>
    </row>
    <row r="16" spans="1:10" x14ac:dyDescent="0.2">
      <c r="A16" s="1255" t="s">
        <v>132</v>
      </c>
      <c r="B16" s="1264" t="s">
        <v>516</v>
      </c>
      <c r="C16" s="1265"/>
      <c r="D16" s="1266"/>
      <c r="E16" s="1270">
        <f>SUM(F16+G16+H16+I16)</f>
        <v>3</v>
      </c>
      <c r="F16" s="1270">
        <v>3</v>
      </c>
      <c r="G16" s="1270"/>
      <c r="H16" s="1270"/>
      <c r="I16" s="1270"/>
      <c r="J16" s="1270"/>
    </row>
    <row r="17" spans="1:10" x14ac:dyDescent="0.2">
      <c r="A17" s="1256"/>
      <c r="B17" s="1267"/>
      <c r="C17" s="1268"/>
      <c r="D17" s="1269"/>
      <c r="E17" s="1271"/>
      <c r="F17" s="1271"/>
      <c r="G17" s="1271"/>
      <c r="H17" s="1271"/>
      <c r="I17" s="1271"/>
      <c r="J17" s="1271"/>
    </row>
    <row r="18" spans="1:10" x14ac:dyDescent="0.2">
      <c r="A18" s="1255" t="s">
        <v>133</v>
      </c>
      <c r="B18" s="1264" t="s">
        <v>1005</v>
      </c>
      <c r="C18" s="1265"/>
      <c r="D18" s="1266"/>
      <c r="E18" s="1270">
        <f>SUM(F18+G18+H18+I18)</f>
        <v>4</v>
      </c>
      <c r="F18" s="1270">
        <v>4</v>
      </c>
      <c r="G18" s="1270"/>
      <c r="H18" s="1270"/>
      <c r="I18" s="1270"/>
      <c r="J18" s="1270"/>
    </row>
    <row r="19" spans="1:10" x14ac:dyDescent="0.2">
      <c r="A19" s="1256"/>
      <c r="B19" s="1267"/>
      <c r="C19" s="1268"/>
      <c r="D19" s="1269"/>
      <c r="E19" s="1271"/>
      <c r="F19" s="1271"/>
      <c r="G19" s="1271"/>
      <c r="H19" s="1271"/>
      <c r="I19" s="1271"/>
      <c r="J19" s="1271"/>
    </row>
    <row r="20" spans="1:10" x14ac:dyDescent="0.2">
      <c r="A20" s="1255" t="s">
        <v>454</v>
      </c>
      <c r="B20" s="1264" t="s">
        <v>517</v>
      </c>
      <c r="C20" s="1265"/>
      <c r="D20" s="1266"/>
      <c r="E20" s="1270">
        <f>SUM(F20+G20+H20+I20)</f>
        <v>17</v>
      </c>
      <c r="F20" s="1270">
        <v>16</v>
      </c>
      <c r="G20" s="1270">
        <v>1</v>
      </c>
      <c r="H20" s="1270"/>
      <c r="I20" s="1270"/>
      <c r="J20" s="1270"/>
    </row>
    <row r="21" spans="1:10" x14ac:dyDescent="0.2">
      <c r="A21" s="1256"/>
      <c r="B21" s="1267"/>
      <c r="C21" s="1268"/>
      <c r="D21" s="1269"/>
      <c r="E21" s="1271"/>
      <c r="F21" s="1271"/>
      <c r="G21" s="1271"/>
      <c r="H21" s="1271"/>
      <c r="I21" s="1271"/>
      <c r="J21" s="1271"/>
    </row>
    <row r="22" spans="1:10" x14ac:dyDescent="0.2">
      <c r="A22" s="1263" t="s">
        <v>455</v>
      </c>
      <c r="B22" s="1264" t="s">
        <v>518</v>
      </c>
      <c r="C22" s="1265"/>
      <c r="D22" s="1266"/>
      <c r="E22" s="1270">
        <f>SUM(F22+G22+H22+I22)</f>
        <v>31</v>
      </c>
      <c r="F22" s="1270">
        <v>29</v>
      </c>
      <c r="G22" s="1270"/>
      <c r="H22" s="1270">
        <v>2</v>
      </c>
      <c r="I22" s="1270"/>
      <c r="J22" s="1270"/>
    </row>
    <row r="23" spans="1:10" x14ac:dyDescent="0.2">
      <c r="A23" s="1256"/>
      <c r="B23" s="1267"/>
      <c r="C23" s="1268"/>
      <c r="D23" s="1269"/>
      <c r="E23" s="1271"/>
      <c r="F23" s="1271"/>
      <c r="G23" s="1271"/>
      <c r="H23" s="1271"/>
      <c r="I23" s="1271"/>
      <c r="J23" s="1271"/>
    </row>
    <row r="24" spans="1:10" x14ac:dyDescent="0.2">
      <c r="A24" s="1255" t="s">
        <v>469</v>
      </c>
      <c r="B24" s="1264" t="s">
        <v>519</v>
      </c>
      <c r="C24" s="1265"/>
      <c r="D24" s="1266"/>
      <c r="E24" s="1270">
        <f>SUM(F24+G24+H24+I24)</f>
        <v>23</v>
      </c>
      <c r="F24" s="1270">
        <v>18</v>
      </c>
      <c r="G24" s="1270"/>
      <c r="H24" s="1270">
        <v>5</v>
      </c>
      <c r="I24" s="1270"/>
      <c r="J24" s="1270"/>
    </row>
    <row r="25" spans="1:10" x14ac:dyDescent="0.2">
      <c r="A25" s="1256"/>
      <c r="B25" s="1267"/>
      <c r="C25" s="1268"/>
      <c r="D25" s="1269"/>
      <c r="E25" s="1271"/>
      <c r="F25" s="1271"/>
      <c r="G25" s="1271"/>
      <c r="H25" s="1271"/>
      <c r="I25" s="1271"/>
      <c r="J25" s="1271"/>
    </row>
    <row r="26" spans="1:10" x14ac:dyDescent="0.2">
      <c r="A26" s="1263" t="s">
        <v>520</v>
      </c>
      <c r="B26" s="1264" t="s">
        <v>1002</v>
      </c>
      <c r="C26" s="1265"/>
      <c r="D26" s="1266"/>
      <c r="E26" s="1270">
        <f>SUM(F26+G26+H26+I26)</f>
        <v>35</v>
      </c>
      <c r="F26" s="1270">
        <v>35</v>
      </c>
      <c r="G26" s="1270"/>
      <c r="H26" s="1270"/>
      <c r="I26" s="1270"/>
      <c r="J26" s="1270"/>
    </row>
    <row r="27" spans="1:10" x14ac:dyDescent="0.2">
      <c r="A27" s="1256"/>
      <c r="B27" s="1267"/>
      <c r="C27" s="1268"/>
      <c r="D27" s="1269"/>
      <c r="E27" s="1271"/>
      <c r="F27" s="1271"/>
      <c r="G27" s="1271"/>
      <c r="H27" s="1271"/>
      <c r="I27" s="1271"/>
      <c r="J27" s="1271"/>
    </row>
    <row r="28" spans="1:10" x14ac:dyDescent="0.2">
      <c r="A28" s="1255" t="s">
        <v>410</v>
      </c>
      <c r="B28" s="1264" t="s">
        <v>521</v>
      </c>
      <c r="C28" s="1265"/>
      <c r="D28" s="1266"/>
      <c r="E28" s="1270">
        <f>SUM(F28+G28+H28+I28)</f>
        <v>25</v>
      </c>
      <c r="F28" s="1270">
        <v>25</v>
      </c>
      <c r="G28" s="1270"/>
      <c r="H28" s="1270"/>
      <c r="I28" s="1270"/>
      <c r="J28" s="1270"/>
    </row>
    <row r="29" spans="1:10" x14ac:dyDescent="0.2">
      <c r="A29" s="1256"/>
      <c r="B29" s="1267"/>
      <c r="C29" s="1268"/>
      <c r="D29" s="1269"/>
      <c r="E29" s="1271"/>
      <c r="F29" s="1271"/>
      <c r="G29" s="1271"/>
      <c r="H29" s="1271"/>
      <c r="I29" s="1271"/>
      <c r="J29" s="1271"/>
    </row>
    <row r="30" spans="1:10" x14ac:dyDescent="0.2">
      <c r="A30" s="1255" t="s">
        <v>411</v>
      </c>
      <c r="B30" s="1284" t="s">
        <v>1003</v>
      </c>
      <c r="C30" s="1285"/>
      <c r="D30" s="1286"/>
      <c r="E30" s="1270">
        <f>SUM(F30+G30+H30+I30)</f>
        <v>15</v>
      </c>
      <c r="F30" s="1270">
        <v>15</v>
      </c>
      <c r="G30" s="1270"/>
      <c r="H30" s="1270"/>
      <c r="I30" s="1270"/>
      <c r="J30" s="1270"/>
    </row>
    <row r="31" spans="1:10" ht="24" customHeight="1" x14ac:dyDescent="0.2">
      <c r="A31" s="1256"/>
      <c r="B31" s="1287"/>
      <c r="C31" s="1288"/>
      <c r="D31" s="1289"/>
      <c r="E31" s="1271"/>
      <c r="F31" s="1271"/>
      <c r="G31" s="1271"/>
      <c r="H31" s="1271"/>
      <c r="I31" s="1271"/>
      <c r="J31" s="1271"/>
    </row>
    <row r="32" spans="1:10" x14ac:dyDescent="0.2">
      <c r="A32" s="1263" t="s">
        <v>524</v>
      </c>
      <c r="B32" s="1264" t="s">
        <v>523</v>
      </c>
      <c r="C32" s="1265"/>
      <c r="D32" s="1266"/>
      <c r="E32" s="1270">
        <f>SUM(F32+G32+H32+I32)</f>
        <v>36</v>
      </c>
      <c r="F32" s="1270">
        <v>24</v>
      </c>
      <c r="G32" s="1270"/>
      <c r="H32" s="1270">
        <v>12</v>
      </c>
      <c r="I32" s="1270"/>
      <c r="J32" s="1270"/>
    </row>
    <row r="33" spans="1:10" x14ac:dyDescent="0.2">
      <c r="A33" s="1256"/>
      <c r="B33" s="1267"/>
      <c r="C33" s="1268"/>
      <c r="D33" s="1269"/>
      <c r="E33" s="1271"/>
      <c r="F33" s="1271"/>
      <c r="G33" s="1271"/>
      <c r="H33" s="1271"/>
      <c r="I33" s="1271"/>
      <c r="J33" s="1271"/>
    </row>
    <row r="34" spans="1:10" x14ac:dyDescent="0.2">
      <c r="A34" s="1263" t="s">
        <v>526</v>
      </c>
      <c r="B34" s="1264" t="s">
        <v>525</v>
      </c>
      <c r="C34" s="1265"/>
      <c r="D34" s="1266"/>
      <c r="E34" s="1270">
        <f>SUM(F34+G34+H34+I34)</f>
        <v>20</v>
      </c>
      <c r="F34" s="1270">
        <v>19</v>
      </c>
      <c r="G34" s="1270"/>
      <c r="H34" s="1270">
        <v>1</v>
      </c>
      <c r="I34" s="1270"/>
      <c r="J34" s="1270"/>
    </row>
    <row r="35" spans="1:10" x14ac:dyDescent="0.2">
      <c r="A35" s="1256"/>
      <c r="B35" s="1267"/>
      <c r="C35" s="1268"/>
      <c r="D35" s="1269"/>
      <c r="E35" s="1271"/>
      <c r="F35" s="1271"/>
      <c r="G35" s="1271"/>
      <c r="H35" s="1271"/>
      <c r="I35" s="1271"/>
      <c r="J35" s="1271"/>
    </row>
    <row r="36" spans="1:10" x14ac:dyDescent="0.2">
      <c r="A36" s="1263" t="s">
        <v>527</v>
      </c>
      <c r="B36" s="1264" t="s">
        <v>1004</v>
      </c>
      <c r="C36" s="1265"/>
      <c r="D36" s="1266"/>
      <c r="E36" s="1270">
        <f>SUM(F36+G36+H36+I36)</f>
        <v>18</v>
      </c>
      <c r="F36" s="1270">
        <v>17</v>
      </c>
      <c r="G36" s="1270"/>
      <c r="H36" s="1270">
        <v>1</v>
      </c>
      <c r="I36" s="1270"/>
      <c r="J36" s="1270"/>
    </row>
    <row r="37" spans="1:10" x14ac:dyDescent="0.2">
      <c r="A37" s="1256"/>
      <c r="B37" s="1267"/>
      <c r="C37" s="1268"/>
      <c r="D37" s="1269"/>
      <c r="E37" s="1271"/>
      <c r="F37" s="1271"/>
      <c r="G37" s="1271"/>
      <c r="H37" s="1271"/>
      <c r="I37" s="1271"/>
      <c r="J37" s="1271"/>
    </row>
    <row r="38" spans="1:10" x14ac:dyDescent="0.2">
      <c r="A38" s="1263" t="s">
        <v>646</v>
      </c>
      <c r="B38" s="1264" t="s">
        <v>999</v>
      </c>
      <c r="C38" s="1265"/>
      <c r="D38" s="1266"/>
      <c r="E38" s="1270">
        <f>SUM(F38+G38+H38+I38)</f>
        <v>55</v>
      </c>
      <c r="F38" s="1270">
        <v>41</v>
      </c>
      <c r="G38" s="463"/>
      <c r="H38" s="1270">
        <v>14</v>
      </c>
      <c r="I38" s="463"/>
      <c r="J38" s="463"/>
    </row>
    <row r="39" spans="1:10" x14ac:dyDescent="0.2">
      <c r="A39" s="1256"/>
      <c r="B39" s="1267"/>
      <c r="C39" s="1268"/>
      <c r="D39" s="1269"/>
      <c r="E39" s="1271"/>
      <c r="F39" s="1271"/>
      <c r="G39" s="463"/>
      <c r="H39" s="1271"/>
      <c r="I39" s="463"/>
      <c r="J39" s="463"/>
    </row>
    <row r="40" spans="1:10" ht="12.6" customHeight="1" x14ac:dyDescent="0.2">
      <c r="A40" s="1263"/>
      <c r="B40" s="1278" t="s">
        <v>121</v>
      </c>
      <c r="C40" s="1279"/>
      <c r="D40" s="1280"/>
      <c r="E40" s="1253">
        <f>SUM(E14:E39)</f>
        <v>299</v>
      </c>
      <c r="F40" s="1253">
        <f>SUM(F14:F39)</f>
        <v>258</v>
      </c>
      <c r="G40" s="1253">
        <f>SUM(G14:G39)</f>
        <v>4</v>
      </c>
      <c r="H40" s="1253">
        <f>SUM(H14:H39)</f>
        <v>36</v>
      </c>
      <c r="I40" s="1253">
        <f>SUM(I14:I39)</f>
        <v>1</v>
      </c>
      <c r="J40" s="1253"/>
    </row>
    <row r="41" spans="1:10" ht="12.6" customHeight="1" x14ac:dyDescent="0.2">
      <c r="A41" s="1256"/>
      <c r="B41" s="1281"/>
      <c r="C41" s="1282"/>
      <c r="D41" s="1283"/>
      <c r="E41" s="1254"/>
      <c r="F41" s="1254"/>
      <c r="G41" s="1254"/>
      <c r="H41" s="1254"/>
      <c r="I41" s="1254"/>
      <c r="J41" s="1254"/>
    </row>
    <row r="42" spans="1:10" x14ac:dyDescent="0.2">
      <c r="A42" s="458"/>
      <c r="B42" s="459"/>
      <c r="C42" s="459"/>
      <c r="D42" s="459"/>
      <c r="E42" s="460"/>
      <c r="F42" s="460"/>
      <c r="G42" s="460"/>
      <c r="H42" s="460"/>
      <c r="I42" s="460"/>
      <c r="J42" s="460"/>
    </row>
    <row r="43" spans="1:10" x14ac:dyDescent="0.2">
      <c r="B43" s="461"/>
      <c r="C43" s="461"/>
      <c r="D43" s="461"/>
      <c r="E43" s="462"/>
      <c r="F43" s="462"/>
      <c r="G43" s="462"/>
      <c r="H43" s="462"/>
      <c r="I43" s="462"/>
      <c r="J43" s="462"/>
    </row>
    <row r="44" spans="1:10" x14ac:dyDescent="0.2">
      <c r="B44" s="461"/>
      <c r="C44" s="461"/>
      <c r="D44" s="461"/>
      <c r="E44" s="462"/>
      <c r="F44" s="462"/>
      <c r="G44" s="462"/>
      <c r="H44" s="462"/>
      <c r="I44" s="462"/>
      <c r="J44" s="462"/>
    </row>
    <row r="45" spans="1:10" x14ac:dyDescent="0.2">
      <c r="B45" s="461"/>
      <c r="C45" s="461"/>
      <c r="D45" s="461"/>
      <c r="E45" s="462"/>
      <c r="F45" s="462"/>
      <c r="G45" s="462"/>
      <c r="H45" s="462"/>
      <c r="I45" s="462"/>
      <c r="J45" s="462"/>
    </row>
    <row r="46" spans="1:10" x14ac:dyDescent="0.2">
      <c r="B46" s="461"/>
      <c r="C46" s="461"/>
      <c r="D46" s="461"/>
      <c r="E46" s="462"/>
      <c r="F46" s="462"/>
      <c r="G46" s="462"/>
      <c r="H46" s="462"/>
      <c r="I46" s="462"/>
      <c r="J46" s="462"/>
    </row>
    <row r="47" spans="1:10" x14ac:dyDescent="0.2">
      <c r="B47" s="461"/>
      <c r="C47" s="461"/>
      <c r="D47" s="461"/>
      <c r="E47" s="462"/>
      <c r="F47" s="462"/>
      <c r="G47" s="462"/>
      <c r="H47" s="462"/>
      <c r="I47" s="462"/>
      <c r="J47" s="462"/>
    </row>
    <row r="48" spans="1:10" x14ac:dyDescent="0.2">
      <c r="B48" s="461"/>
      <c r="C48" s="461"/>
      <c r="D48" s="461"/>
      <c r="E48" s="462"/>
      <c r="F48" s="462"/>
      <c r="G48" s="462"/>
      <c r="H48" s="462"/>
      <c r="I48" s="462"/>
      <c r="J48" s="462"/>
    </row>
    <row r="49" spans="1:10" x14ac:dyDescent="0.2">
      <c r="A49" s="1255" t="s">
        <v>528</v>
      </c>
      <c r="B49" s="1264" t="s">
        <v>529</v>
      </c>
      <c r="C49" s="1265"/>
      <c r="D49" s="1266"/>
      <c r="E49" s="1270">
        <f>SUM(F49+G49+H49+I49)</f>
        <v>32</v>
      </c>
      <c r="F49" s="1270">
        <v>32</v>
      </c>
      <c r="G49" s="1270"/>
      <c r="H49" s="1270"/>
      <c r="I49" s="1270"/>
      <c r="J49" s="1270"/>
    </row>
    <row r="50" spans="1:10" x14ac:dyDescent="0.2">
      <c r="A50" s="1256"/>
      <c r="B50" s="1267"/>
      <c r="C50" s="1268"/>
      <c r="D50" s="1269"/>
      <c r="E50" s="1271"/>
      <c r="F50" s="1271"/>
      <c r="G50" s="1271"/>
      <c r="H50" s="1271"/>
      <c r="I50" s="1271"/>
      <c r="J50" s="1271"/>
    </row>
    <row r="51" spans="1:10" x14ac:dyDescent="0.2">
      <c r="A51" s="1263" t="s">
        <v>530</v>
      </c>
      <c r="B51" s="1264" t="s">
        <v>531</v>
      </c>
      <c r="C51" s="1265"/>
      <c r="D51" s="1266"/>
      <c r="E51" s="1270">
        <f>SUM(F51+G51+H51+I51)</f>
        <v>31</v>
      </c>
      <c r="F51" s="1270">
        <v>31</v>
      </c>
      <c r="G51" s="1270"/>
      <c r="H51" s="1270"/>
      <c r="I51" s="1270"/>
      <c r="J51" s="1270"/>
    </row>
    <row r="52" spans="1:10" x14ac:dyDescent="0.2">
      <c r="A52" s="1256"/>
      <c r="B52" s="1267"/>
      <c r="C52" s="1268"/>
      <c r="D52" s="1269"/>
      <c r="E52" s="1271"/>
      <c r="F52" s="1271"/>
      <c r="G52" s="1271"/>
      <c r="H52" s="1271"/>
      <c r="I52" s="1271"/>
      <c r="J52" s="1271"/>
    </row>
    <row r="53" spans="1:10" x14ac:dyDescent="0.2">
      <c r="A53" s="1263" t="s">
        <v>532</v>
      </c>
      <c r="B53" s="1264" t="s">
        <v>533</v>
      </c>
      <c r="C53" s="1265"/>
      <c r="D53" s="1266"/>
      <c r="E53" s="1270">
        <f>SUM(F53+G53+H53+I53)</f>
        <v>16</v>
      </c>
      <c r="F53" s="1270">
        <v>16</v>
      </c>
      <c r="G53" s="1270"/>
      <c r="H53" s="1270"/>
      <c r="I53" s="1270"/>
      <c r="J53" s="1270"/>
    </row>
    <row r="54" spans="1:10" x14ac:dyDescent="0.2">
      <c r="A54" s="1256"/>
      <c r="B54" s="1267"/>
      <c r="C54" s="1268"/>
      <c r="D54" s="1269"/>
      <c r="E54" s="1271"/>
      <c r="F54" s="1271"/>
      <c r="G54" s="1271"/>
      <c r="H54" s="1271"/>
      <c r="I54" s="1271"/>
      <c r="J54" s="1271"/>
    </row>
    <row r="55" spans="1:10" x14ac:dyDescent="0.2">
      <c r="A55" s="1255" t="s">
        <v>534</v>
      </c>
      <c r="B55" s="1264" t="s">
        <v>535</v>
      </c>
      <c r="C55" s="1265"/>
      <c r="D55" s="1266"/>
      <c r="E55" s="1270">
        <f>SUM(F55+G55+H55+I55)</f>
        <v>61</v>
      </c>
      <c r="F55" s="1270">
        <v>61</v>
      </c>
      <c r="G55" s="1270"/>
      <c r="H55" s="1270"/>
      <c r="I55" s="1270"/>
      <c r="J55" s="1270"/>
    </row>
    <row r="56" spans="1:10" x14ac:dyDescent="0.2">
      <c r="A56" s="1256"/>
      <c r="B56" s="1267"/>
      <c r="C56" s="1268"/>
      <c r="D56" s="1269"/>
      <c r="E56" s="1271"/>
      <c r="F56" s="1271"/>
      <c r="G56" s="1271"/>
      <c r="H56" s="1271"/>
      <c r="I56" s="1271"/>
      <c r="J56" s="1271"/>
    </row>
    <row r="57" spans="1:10" x14ac:dyDescent="0.2">
      <c r="A57" s="1263" t="s">
        <v>536</v>
      </c>
      <c r="B57" s="1264" t="s">
        <v>537</v>
      </c>
      <c r="C57" s="1265"/>
      <c r="D57" s="1266"/>
      <c r="E57" s="1270">
        <f>SUM(F57+G57+H57+I57)</f>
        <v>32</v>
      </c>
      <c r="F57" s="1270">
        <v>32</v>
      </c>
      <c r="G57" s="1270"/>
      <c r="H57" s="1270"/>
      <c r="I57" s="1270"/>
      <c r="J57" s="1270"/>
    </row>
    <row r="58" spans="1:10" x14ac:dyDescent="0.2">
      <c r="A58" s="1256"/>
      <c r="B58" s="1267"/>
      <c r="C58" s="1268"/>
      <c r="D58" s="1269"/>
      <c r="E58" s="1271"/>
      <c r="F58" s="1271"/>
      <c r="G58" s="1271"/>
      <c r="H58" s="1271"/>
      <c r="I58" s="1271"/>
      <c r="J58" s="1271"/>
    </row>
    <row r="59" spans="1:10" x14ac:dyDescent="0.2">
      <c r="A59" s="1263" t="s">
        <v>538</v>
      </c>
      <c r="B59" s="1264" t="s">
        <v>539</v>
      </c>
      <c r="C59" s="1265"/>
      <c r="D59" s="1266"/>
      <c r="E59" s="1270">
        <f>SUM(F59+G59+H59+I59)</f>
        <v>25</v>
      </c>
      <c r="F59" s="1270">
        <v>25</v>
      </c>
      <c r="G59" s="1270"/>
      <c r="H59" s="1270"/>
      <c r="I59" s="1270"/>
      <c r="J59" s="1270"/>
    </row>
    <row r="60" spans="1:10" x14ac:dyDescent="0.2">
      <c r="A60" s="1256"/>
      <c r="B60" s="1267"/>
      <c r="C60" s="1268"/>
      <c r="D60" s="1269"/>
      <c r="E60" s="1271"/>
      <c r="F60" s="1271"/>
      <c r="G60" s="1271"/>
      <c r="H60" s="1271"/>
      <c r="I60" s="1271"/>
      <c r="J60" s="1271"/>
    </row>
    <row r="61" spans="1:10" x14ac:dyDescent="0.2">
      <c r="A61" s="1263" t="s">
        <v>540</v>
      </c>
      <c r="B61" s="1264" t="s">
        <v>541</v>
      </c>
      <c r="C61" s="1265"/>
      <c r="D61" s="1266"/>
      <c r="E61" s="1270">
        <f>SUM(F61+G61+H61+I61)</f>
        <v>16</v>
      </c>
      <c r="F61" s="1270">
        <v>16</v>
      </c>
      <c r="G61" s="1270"/>
      <c r="H61" s="1270"/>
      <c r="I61" s="1270"/>
      <c r="J61" s="1270"/>
    </row>
    <row r="62" spans="1:10" x14ac:dyDescent="0.2">
      <c r="A62" s="1256"/>
      <c r="B62" s="1267"/>
      <c r="C62" s="1268"/>
      <c r="D62" s="1269"/>
      <c r="E62" s="1271"/>
      <c r="F62" s="1271"/>
      <c r="G62" s="1271"/>
      <c r="H62" s="1271"/>
      <c r="I62" s="1271"/>
      <c r="J62" s="1271"/>
    </row>
    <row r="63" spans="1:10" x14ac:dyDescent="0.2">
      <c r="A63" s="1263" t="s">
        <v>542</v>
      </c>
      <c r="B63" s="1264" t="s">
        <v>543</v>
      </c>
      <c r="C63" s="1265"/>
      <c r="D63" s="1266"/>
      <c r="E63" s="1270">
        <f>SUM(F63+G63+H63+I63)</f>
        <v>16</v>
      </c>
      <c r="F63" s="1270">
        <v>16</v>
      </c>
      <c r="G63" s="1270"/>
      <c r="H63" s="1270"/>
      <c r="I63" s="1270"/>
      <c r="J63" s="1270"/>
    </row>
    <row r="64" spans="1:10" x14ac:dyDescent="0.2">
      <c r="A64" s="1256"/>
      <c r="B64" s="1267"/>
      <c r="C64" s="1268"/>
      <c r="D64" s="1269"/>
      <c r="E64" s="1271"/>
      <c r="F64" s="1271"/>
      <c r="G64" s="1271"/>
      <c r="H64" s="1271"/>
      <c r="I64" s="1271"/>
      <c r="J64" s="1271"/>
    </row>
    <row r="65" spans="1:10" x14ac:dyDescent="0.2">
      <c r="A65" s="1263" t="s">
        <v>544</v>
      </c>
      <c r="B65" s="1264" t="s">
        <v>545</v>
      </c>
      <c r="C65" s="1265"/>
      <c r="D65" s="1266"/>
      <c r="E65" s="1270">
        <f>SUM(F65+G65+H65+I65)</f>
        <v>16</v>
      </c>
      <c r="F65" s="1270">
        <v>16</v>
      </c>
      <c r="G65" s="1270"/>
      <c r="H65" s="1270"/>
      <c r="I65" s="1270"/>
      <c r="J65" s="1270"/>
    </row>
    <row r="66" spans="1:10" x14ac:dyDescent="0.2">
      <c r="A66" s="1256"/>
      <c r="B66" s="1267"/>
      <c r="C66" s="1268"/>
      <c r="D66" s="1269"/>
      <c r="E66" s="1271"/>
      <c r="F66" s="1271"/>
      <c r="G66" s="1271"/>
      <c r="H66" s="1271"/>
      <c r="I66" s="1271"/>
      <c r="J66" s="1271"/>
    </row>
    <row r="67" spans="1:10" x14ac:dyDescent="0.2">
      <c r="A67" s="1263" t="s">
        <v>546</v>
      </c>
      <c r="B67" s="1264" t="s">
        <v>547</v>
      </c>
      <c r="C67" s="1265"/>
      <c r="D67" s="1266"/>
      <c r="E67" s="1270">
        <f>SUM(F67+G67+H67+I67)</f>
        <v>164</v>
      </c>
      <c r="F67" s="1270">
        <v>164</v>
      </c>
      <c r="G67" s="1270"/>
      <c r="H67" s="1270"/>
      <c r="I67" s="1270"/>
      <c r="J67" s="1270"/>
    </row>
    <row r="68" spans="1:10" x14ac:dyDescent="0.2">
      <c r="A68" s="1256"/>
      <c r="B68" s="1267"/>
      <c r="C68" s="1268"/>
      <c r="D68" s="1269"/>
      <c r="E68" s="1271"/>
      <c r="F68" s="1271"/>
      <c r="G68" s="1271"/>
      <c r="H68" s="1271"/>
      <c r="I68" s="1271"/>
      <c r="J68" s="1271"/>
    </row>
    <row r="69" spans="1:10" x14ac:dyDescent="0.2">
      <c r="A69" s="1263" t="s">
        <v>548</v>
      </c>
      <c r="B69" s="1264" t="s">
        <v>549</v>
      </c>
      <c r="C69" s="1265"/>
      <c r="D69" s="1266"/>
      <c r="E69" s="1270">
        <f>SUM(F69+G69+H69+I69)</f>
        <v>115</v>
      </c>
      <c r="F69" s="1270">
        <v>69</v>
      </c>
      <c r="G69" s="1270">
        <v>1</v>
      </c>
      <c r="H69" s="1270">
        <v>45</v>
      </c>
      <c r="I69" s="1270"/>
      <c r="J69" s="1270"/>
    </row>
    <row r="70" spans="1:10" x14ac:dyDescent="0.2">
      <c r="A70" s="1256"/>
      <c r="B70" s="1267"/>
      <c r="C70" s="1268"/>
      <c r="D70" s="1269"/>
      <c r="E70" s="1271"/>
      <c r="F70" s="1271"/>
      <c r="G70" s="1271"/>
      <c r="H70" s="1271"/>
      <c r="I70" s="1271"/>
      <c r="J70" s="1271"/>
    </row>
    <row r="71" spans="1:10" x14ac:dyDescent="0.2">
      <c r="A71" s="1263" t="s">
        <v>550</v>
      </c>
      <c r="B71" s="1264" t="s">
        <v>260</v>
      </c>
      <c r="C71" s="1265"/>
      <c r="D71" s="1266"/>
      <c r="E71" s="1270">
        <f>SUM(F71+G71+H71+I71)</f>
        <v>158</v>
      </c>
      <c r="F71" s="1270">
        <v>123</v>
      </c>
      <c r="G71" s="1270">
        <f>9+2</f>
        <v>11</v>
      </c>
      <c r="H71" s="1270">
        <v>22</v>
      </c>
      <c r="I71" s="1270">
        <v>2</v>
      </c>
      <c r="J71" s="1270"/>
    </row>
    <row r="72" spans="1:10" ht="12" customHeight="1" x14ac:dyDescent="0.2">
      <c r="A72" s="1256"/>
      <c r="B72" s="1267"/>
      <c r="C72" s="1268"/>
      <c r="D72" s="1269"/>
      <c r="E72" s="1271"/>
      <c r="F72" s="1271"/>
      <c r="G72" s="1271"/>
      <c r="H72" s="1271"/>
      <c r="I72" s="1271"/>
      <c r="J72" s="1271"/>
    </row>
    <row r="73" spans="1:10" x14ac:dyDescent="0.2">
      <c r="A73" s="1263" t="s">
        <v>551</v>
      </c>
      <c r="B73" s="1264" t="s">
        <v>552</v>
      </c>
      <c r="C73" s="1265"/>
      <c r="D73" s="1266"/>
      <c r="E73" s="1270">
        <f>SUM(F73+G73+H73+I73)</f>
        <v>25</v>
      </c>
      <c r="F73" s="1270">
        <v>25</v>
      </c>
      <c r="G73" s="1270"/>
      <c r="H73" s="1270"/>
      <c r="I73" s="1270"/>
      <c r="J73" s="1270"/>
    </row>
    <row r="74" spans="1:10" ht="11.25" customHeight="1" x14ac:dyDescent="0.2">
      <c r="A74" s="1256"/>
      <c r="B74" s="1267"/>
      <c r="C74" s="1268"/>
      <c r="D74" s="1269"/>
      <c r="E74" s="1271"/>
      <c r="F74" s="1271"/>
      <c r="G74" s="1271"/>
      <c r="H74" s="1271"/>
      <c r="I74" s="1271"/>
      <c r="J74" s="1271"/>
    </row>
    <row r="75" spans="1:10" ht="11.25" customHeight="1" x14ac:dyDescent="0.2">
      <c r="A75" s="1263" t="s">
        <v>553</v>
      </c>
      <c r="B75" s="1264" t="s">
        <v>554</v>
      </c>
      <c r="C75" s="1265"/>
      <c r="D75" s="1266"/>
      <c r="E75" s="1270">
        <f>SUM(F75+G75+H75+I75)</f>
        <v>15</v>
      </c>
      <c r="F75" s="1270">
        <v>15</v>
      </c>
      <c r="G75" s="463"/>
      <c r="H75" s="463"/>
      <c r="I75" s="463"/>
      <c r="J75" s="463"/>
    </row>
    <row r="76" spans="1:10" ht="11.25" customHeight="1" x14ac:dyDescent="0.2">
      <c r="A76" s="1256"/>
      <c r="B76" s="1267"/>
      <c r="C76" s="1268"/>
      <c r="D76" s="1269"/>
      <c r="E76" s="1271"/>
      <c r="F76" s="1271"/>
      <c r="G76" s="463"/>
      <c r="H76" s="463"/>
      <c r="I76" s="463"/>
      <c r="J76" s="463"/>
    </row>
    <row r="77" spans="1:10" ht="11.25" customHeight="1" x14ac:dyDescent="0.2">
      <c r="A77" s="1263" t="s">
        <v>1255</v>
      </c>
      <c r="B77" s="1264" t="s">
        <v>1254</v>
      </c>
      <c r="C77" s="1265"/>
      <c r="D77" s="1266"/>
      <c r="E77" s="463"/>
      <c r="F77" s="463"/>
      <c r="G77" s="463"/>
      <c r="H77" s="463"/>
      <c r="I77" s="463"/>
      <c r="J77" s="463"/>
    </row>
    <row r="78" spans="1:10" ht="11.25" customHeight="1" x14ac:dyDescent="0.2">
      <c r="A78" s="1256"/>
      <c r="B78" s="1267"/>
      <c r="C78" s="1268"/>
      <c r="D78" s="1269"/>
      <c r="E78" s="463"/>
      <c r="F78" s="463"/>
      <c r="G78" s="463"/>
      <c r="H78" s="463"/>
      <c r="I78" s="463"/>
      <c r="J78" s="463"/>
    </row>
    <row r="79" spans="1:10" ht="11.25" customHeight="1" x14ac:dyDescent="0.2">
      <c r="A79" s="1255"/>
      <c r="B79" s="1272" t="s">
        <v>555</v>
      </c>
      <c r="C79" s="1273"/>
      <c r="D79" s="1274"/>
      <c r="E79" s="1253">
        <f>SUM(E49:E76)</f>
        <v>722</v>
      </c>
      <c r="F79" s="1253">
        <f>SUM(F49:F76)</f>
        <v>641</v>
      </c>
      <c r="G79" s="1253">
        <f>SUM(G49:G74)</f>
        <v>12</v>
      </c>
      <c r="H79" s="1253">
        <f>SUM(H49:H74)</f>
        <v>67</v>
      </c>
      <c r="I79" s="1253">
        <f>SUM(I49:I74)</f>
        <v>2</v>
      </c>
      <c r="J79" s="1253">
        <f>SUM(J49:J74)</f>
        <v>0</v>
      </c>
    </row>
    <row r="80" spans="1:10" ht="12.6" customHeight="1" x14ac:dyDescent="0.2">
      <c r="A80" s="1256"/>
      <c r="B80" s="1275"/>
      <c r="C80" s="1276"/>
      <c r="D80" s="1277"/>
      <c r="E80" s="1254"/>
      <c r="F80" s="1254"/>
      <c r="G80" s="1254"/>
      <c r="H80" s="1254"/>
      <c r="I80" s="1254"/>
      <c r="J80" s="1254"/>
    </row>
    <row r="81" spans="1:10" ht="12.6" customHeight="1" x14ac:dyDescent="0.2">
      <c r="A81" s="1255"/>
      <c r="B81" s="1257" t="s">
        <v>556</v>
      </c>
      <c r="C81" s="1258"/>
      <c r="D81" s="1259"/>
      <c r="E81" s="1253">
        <f>SUM(E79+E40)</f>
        <v>1021</v>
      </c>
      <c r="F81" s="1253">
        <f t="shared" ref="F81:J81" si="0">SUM(F79+F40)</f>
        <v>899</v>
      </c>
      <c r="G81" s="1253">
        <f t="shared" si="0"/>
        <v>16</v>
      </c>
      <c r="H81" s="1253">
        <f t="shared" si="0"/>
        <v>103</v>
      </c>
      <c r="I81" s="1253">
        <f t="shared" si="0"/>
        <v>3</v>
      </c>
      <c r="J81" s="1253">
        <f t="shared" si="0"/>
        <v>0</v>
      </c>
    </row>
    <row r="82" spans="1:10" ht="12.6" customHeight="1" x14ac:dyDescent="0.2">
      <c r="A82" s="1256"/>
      <c r="B82" s="1260"/>
      <c r="C82" s="1261"/>
      <c r="D82" s="1262"/>
      <c r="E82" s="1254"/>
      <c r="F82" s="1254"/>
      <c r="G82" s="1254"/>
      <c r="H82" s="1254"/>
      <c r="I82" s="1254"/>
      <c r="J82" s="1254"/>
    </row>
  </sheetData>
  <mergeCells count="256">
    <mergeCell ref="B2:J2"/>
    <mergeCell ref="B4:J4"/>
    <mergeCell ref="A8:A11"/>
    <mergeCell ref="B8:D11"/>
    <mergeCell ref="E8:E11"/>
    <mergeCell ref="F8:I8"/>
    <mergeCell ref="F9:G9"/>
    <mergeCell ref="H9:I9"/>
    <mergeCell ref="J9:J11"/>
    <mergeCell ref="F10:F11"/>
    <mergeCell ref="G10:G11"/>
    <mergeCell ref="H10:H11"/>
    <mergeCell ref="I10:I11"/>
    <mergeCell ref="A12:A13"/>
    <mergeCell ref="B12:D13"/>
    <mergeCell ref="E12:E13"/>
    <mergeCell ref="F12:F13"/>
    <mergeCell ref="G12:G13"/>
    <mergeCell ref="H12:H13"/>
    <mergeCell ref="I12:I13"/>
    <mergeCell ref="J12:J13"/>
    <mergeCell ref="A14:A15"/>
    <mergeCell ref="B14:D15"/>
    <mergeCell ref="E14:E15"/>
    <mergeCell ref="F14:F15"/>
    <mergeCell ref="G14:G15"/>
    <mergeCell ref="H14:H15"/>
    <mergeCell ref="I14:I15"/>
    <mergeCell ref="J14:J15"/>
    <mergeCell ref="I16:I17"/>
    <mergeCell ref="J16:J17"/>
    <mergeCell ref="A20:A21"/>
    <mergeCell ref="B20:D21"/>
    <mergeCell ref="E20:E21"/>
    <mergeCell ref="F20:F21"/>
    <mergeCell ref="G20:G21"/>
    <mergeCell ref="H20:H21"/>
    <mergeCell ref="I20:I21"/>
    <mergeCell ref="J20:J21"/>
    <mergeCell ref="A16:A17"/>
    <mergeCell ref="B16:D17"/>
    <mergeCell ref="E16:E17"/>
    <mergeCell ref="F16:F17"/>
    <mergeCell ref="G16:G17"/>
    <mergeCell ref="H16:H17"/>
    <mergeCell ref="A18:A19"/>
    <mergeCell ref="B18:D19"/>
    <mergeCell ref="E18:E19"/>
    <mergeCell ref="F18:F19"/>
    <mergeCell ref="G18:G19"/>
    <mergeCell ref="H18:H19"/>
    <mergeCell ref="I18:I19"/>
    <mergeCell ref="J18:J19"/>
    <mergeCell ref="I22:I23"/>
    <mergeCell ref="J22:J23"/>
    <mergeCell ref="A24:A25"/>
    <mergeCell ref="B24:D25"/>
    <mergeCell ref="E24:E25"/>
    <mergeCell ref="F24:F25"/>
    <mergeCell ref="G24:G25"/>
    <mergeCell ref="H24:H25"/>
    <mergeCell ref="I24:I25"/>
    <mergeCell ref="J24:J25"/>
    <mergeCell ref="A22:A23"/>
    <mergeCell ref="B22:D23"/>
    <mergeCell ref="E22:E23"/>
    <mergeCell ref="F22:F23"/>
    <mergeCell ref="G22:G23"/>
    <mergeCell ref="H22:H23"/>
    <mergeCell ref="I30:I31"/>
    <mergeCell ref="J30:J31"/>
    <mergeCell ref="A30:A31"/>
    <mergeCell ref="B30:D31"/>
    <mergeCell ref="E30:E31"/>
    <mergeCell ref="F30:F31"/>
    <mergeCell ref="G30:G31"/>
    <mergeCell ref="H30:H31"/>
    <mergeCell ref="I26:I27"/>
    <mergeCell ref="J26:J27"/>
    <mergeCell ref="A28:A29"/>
    <mergeCell ref="B28:D29"/>
    <mergeCell ref="E28:E29"/>
    <mergeCell ref="F28:F29"/>
    <mergeCell ref="G28:G29"/>
    <mergeCell ref="H28:H29"/>
    <mergeCell ref="I28:I29"/>
    <mergeCell ref="J28:J29"/>
    <mergeCell ref="A26:A27"/>
    <mergeCell ref="B26:D27"/>
    <mergeCell ref="E26:E27"/>
    <mergeCell ref="F26:F27"/>
    <mergeCell ref="G26:G27"/>
    <mergeCell ref="H26:H27"/>
    <mergeCell ref="I32:I33"/>
    <mergeCell ref="J32:J33"/>
    <mergeCell ref="A34:A35"/>
    <mergeCell ref="B34:D35"/>
    <mergeCell ref="E34:E35"/>
    <mergeCell ref="F34:F35"/>
    <mergeCell ref="G34:G35"/>
    <mergeCell ref="H34:H35"/>
    <mergeCell ref="I34:I35"/>
    <mergeCell ref="J34:J35"/>
    <mergeCell ref="A32:A33"/>
    <mergeCell ref="B32:D33"/>
    <mergeCell ref="E32:E33"/>
    <mergeCell ref="F32:F33"/>
    <mergeCell ref="G32:G33"/>
    <mergeCell ref="H32:H33"/>
    <mergeCell ref="I36:I37"/>
    <mergeCell ref="J36:J37"/>
    <mergeCell ref="A40:A41"/>
    <mergeCell ref="B40:D41"/>
    <mergeCell ref="E40:E41"/>
    <mergeCell ref="F40:F41"/>
    <mergeCell ref="G40:G41"/>
    <mergeCell ref="H40:H41"/>
    <mergeCell ref="I40:I41"/>
    <mergeCell ref="J40:J41"/>
    <mergeCell ref="A36:A37"/>
    <mergeCell ref="B36:D37"/>
    <mergeCell ref="E36:E37"/>
    <mergeCell ref="F36:F37"/>
    <mergeCell ref="G36:G37"/>
    <mergeCell ref="H36:H37"/>
    <mergeCell ref="B38:D39"/>
    <mergeCell ref="A38:A39"/>
    <mergeCell ref="H38:H39"/>
    <mergeCell ref="F38:F39"/>
    <mergeCell ref="E38:E39"/>
    <mergeCell ref="A49:A50"/>
    <mergeCell ref="B49:D50"/>
    <mergeCell ref="E49:E50"/>
    <mergeCell ref="F49:F50"/>
    <mergeCell ref="G49:G50"/>
    <mergeCell ref="H49:H50"/>
    <mergeCell ref="I49:I50"/>
    <mergeCell ref="J49:J50"/>
    <mergeCell ref="I51:I52"/>
    <mergeCell ref="J51:J52"/>
    <mergeCell ref="A53:A54"/>
    <mergeCell ref="B53:D54"/>
    <mergeCell ref="E53:E54"/>
    <mergeCell ref="F53:F54"/>
    <mergeCell ref="G53:G54"/>
    <mergeCell ref="H53:H54"/>
    <mergeCell ref="I53:I54"/>
    <mergeCell ref="J53:J54"/>
    <mergeCell ref="A51:A52"/>
    <mergeCell ref="B51:D52"/>
    <mergeCell ref="E51:E52"/>
    <mergeCell ref="F51:F52"/>
    <mergeCell ref="G51:G52"/>
    <mergeCell ref="H51:H52"/>
    <mergeCell ref="I55:I56"/>
    <mergeCell ref="J55:J56"/>
    <mergeCell ref="A57:A58"/>
    <mergeCell ref="B57:D58"/>
    <mergeCell ref="E57:E58"/>
    <mergeCell ref="F57:F58"/>
    <mergeCell ref="G57:G58"/>
    <mergeCell ref="H57:H58"/>
    <mergeCell ref="I57:I58"/>
    <mergeCell ref="J57:J58"/>
    <mergeCell ref="A55:A56"/>
    <mergeCell ref="B55:D56"/>
    <mergeCell ref="E55:E56"/>
    <mergeCell ref="F55:F56"/>
    <mergeCell ref="G55:G56"/>
    <mergeCell ref="H55:H56"/>
    <mergeCell ref="I59:I60"/>
    <mergeCell ref="J59:J60"/>
    <mergeCell ref="A61:A62"/>
    <mergeCell ref="B61:D62"/>
    <mergeCell ref="E61:E62"/>
    <mergeCell ref="F61:F62"/>
    <mergeCell ref="G61:G62"/>
    <mergeCell ref="H61:H62"/>
    <mergeCell ref="I61:I62"/>
    <mergeCell ref="J61:J62"/>
    <mergeCell ref="A59:A60"/>
    <mergeCell ref="B59:D60"/>
    <mergeCell ref="E59:E60"/>
    <mergeCell ref="F59:F60"/>
    <mergeCell ref="G59:G60"/>
    <mergeCell ref="H59:H60"/>
    <mergeCell ref="I63:I64"/>
    <mergeCell ref="J63:J64"/>
    <mergeCell ref="A65:A66"/>
    <mergeCell ref="B65:D66"/>
    <mergeCell ref="E65:E66"/>
    <mergeCell ref="F65:F66"/>
    <mergeCell ref="G65:G66"/>
    <mergeCell ref="H65:H66"/>
    <mergeCell ref="I65:I66"/>
    <mergeCell ref="J65:J66"/>
    <mergeCell ref="A63:A64"/>
    <mergeCell ref="B63:D64"/>
    <mergeCell ref="E63:E64"/>
    <mergeCell ref="F63:F64"/>
    <mergeCell ref="G63:G64"/>
    <mergeCell ref="H63:H64"/>
    <mergeCell ref="I67:I68"/>
    <mergeCell ref="J67:J68"/>
    <mergeCell ref="A69:A70"/>
    <mergeCell ref="B69:D70"/>
    <mergeCell ref="E69:E70"/>
    <mergeCell ref="F69:F70"/>
    <mergeCell ref="G69:G70"/>
    <mergeCell ref="H69:H70"/>
    <mergeCell ref="I69:I70"/>
    <mergeCell ref="J69:J70"/>
    <mergeCell ref="A67:A68"/>
    <mergeCell ref="B67:D68"/>
    <mergeCell ref="E67:E68"/>
    <mergeCell ref="F67:F68"/>
    <mergeCell ref="G67:G68"/>
    <mergeCell ref="H67:H68"/>
    <mergeCell ref="J71:J72"/>
    <mergeCell ref="A73:A74"/>
    <mergeCell ref="B73:D74"/>
    <mergeCell ref="E73:E74"/>
    <mergeCell ref="F73:F74"/>
    <mergeCell ref="G73:G74"/>
    <mergeCell ref="H73:H74"/>
    <mergeCell ref="I73:I74"/>
    <mergeCell ref="J73:J74"/>
    <mergeCell ref="A71:A72"/>
    <mergeCell ref="B71:D72"/>
    <mergeCell ref="E71:E72"/>
    <mergeCell ref="F71:F72"/>
    <mergeCell ref="G71:G72"/>
    <mergeCell ref="H71:H72"/>
    <mergeCell ref="A75:A76"/>
    <mergeCell ref="B75:D76"/>
    <mergeCell ref="E75:E76"/>
    <mergeCell ref="F75:F76"/>
    <mergeCell ref="A79:A80"/>
    <mergeCell ref="B79:D80"/>
    <mergeCell ref="E79:E80"/>
    <mergeCell ref="F79:F80"/>
    <mergeCell ref="I71:I72"/>
    <mergeCell ref="B77:D78"/>
    <mergeCell ref="A77:A78"/>
    <mergeCell ref="I81:I82"/>
    <mergeCell ref="J81:J82"/>
    <mergeCell ref="G79:G80"/>
    <mergeCell ref="H79:H80"/>
    <mergeCell ref="I79:I80"/>
    <mergeCell ref="J79:J80"/>
    <mergeCell ref="A81:A82"/>
    <mergeCell ref="B81:D82"/>
    <mergeCell ref="E81:E82"/>
    <mergeCell ref="F81:F82"/>
    <mergeCell ref="G81:G82"/>
    <mergeCell ref="H81:H82"/>
  </mergeCells>
  <pageMargins left="0.78740157480314965" right="0.78740157480314965" top="0.59055118110236227" bottom="0.19685039370078741" header="0.11811023622047245" footer="0.11811023622047245"/>
  <pageSetup paperSize="9" scale="71" firstPageNumber="47" orientation="landscape" useFirstPageNumber="1" r:id="rId1"/>
  <headerFooter alignWithMargins="0">
    <oddFooter>&amp;C&amp;P. oldal</oddFooter>
  </headerFooter>
  <rowBreaks count="1" manualBreakCount="1">
    <brk id="48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I14"/>
  <sheetViews>
    <sheetView workbookViewId="0">
      <selection activeCell="I12" sqref="I12"/>
    </sheetView>
  </sheetViews>
  <sheetFormatPr defaultColWidth="9.140625" defaultRowHeight="12.75" x14ac:dyDescent="0.2"/>
  <cols>
    <col min="1" max="1" width="6.85546875" style="464" customWidth="1"/>
    <col min="2" max="4" width="9.140625" style="464"/>
    <col min="5" max="5" width="23.5703125" style="464" customWidth="1"/>
    <col min="6" max="6" width="20.85546875" style="464" customWidth="1"/>
    <col min="7" max="7" width="18.42578125" style="464" customWidth="1"/>
    <col min="8" max="8" width="21.140625" style="464" customWidth="1"/>
    <col min="9" max="9" width="18.42578125" style="464" customWidth="1"/>
    <col min="10" max="16384" width="9.140625" style="464"/>
  </cols>
  <sheetData>
    <row r="2" spans="1:9" ht="15.75" x14ac:dyDescent="0.2">
      <c r="A2" s="1314" t="s">
        <v>557</v>
      </c>
      <c r="B2" s="1314"/>
      <c r="C2" s="1314"/>
      <c r="D2" s="1314"/>
      <c r="E2" s="1314"/>
      <c r="F2" s="1315"/>
      <c r="G2" s="1315"/>
      <c r="H2" s="1315"/>
      <c r="I2" s="1315"/>
    </row>
    <row r="3" spans="1:9" ht="18" customHeight="1" x14ac:dyDescent="0.2">
      <c r="A3" s="1314" t="s">
        <v>1172</v>
      </c>
      <c r="B3" s="1314"/>
      <c r="C3" s="1314"/>
      <c r="D3" s="1314"/>
      <c r="E3" s="1314"/>
      <c r="F3" s="1315"/>
      <c r="G3" s="1315"/>
      <c r="H3" s="1315"/>
      <c r="I3" s="1315"/>
    </row>
    <row r="7" spans="1:9" ht="16.5" customHeight="1" x14ac:dyDescent="0.2">
      <c r="A7" s="465"/>
      <c r="B7" s="465"/>
      <c r="C7" s="465"/>
      <c r="D7" s="465"/>
      <c r="E7" s="465"/>
      <c r="F7" s="465"/>
      <c r="G7" s="465"/>
      <c r="H7" s="465"/>
      <c r="I7" s="466" t="s">
        <v>146</v>
      </c>
    </row>
    <row r="8" spans="1:9" ht="21.75" customHeight="1" x14ac:dyDescent="0.2">
      <c r="A8" s="1316" t="s">
        <v>234</v>
      </c>
      <c r="B8" s="1318" t="s">
        <v>558</v>
      </c>
      <c r="C8" s="1318"/>
      <c r="D8" s="1318"/>
      <c r="E8" s="1318"/>
      <c r="F8" s="1320" t="s">
        <v>559</v>
      </c>
      <c r="G8" s="1321"/>
      <c r="H8" s="1320" t="s">
        <v>560</v>
      </c>
      <c r="I8" s="1321"/>
    </row>
    <row r="9" spans="1:9" ht="27" customHeight="1" x14ac:dyDescent="0.25">
      <c r="A9" s="1317"/>
      <c r="B9" s="1319"/>
      <c r="C9" s="1319"/>
      <c r="D9" s="1319"/>
      <c r="E9" s="1319"/>
      <c r="F9" s="467" t="s">
        <v>561</v>
      </c>
      <c r="G9" s="467" t="s">
        <v>562</v>
      </c>
      <c r="H9" s="467" t="s">
        <v>561</v>
      </c>
      <c r="I9" s="467" t="s">
        <v>562</v>
      </c>
    </row>
    <row r="10" spans="1:9" ht="21.95" customHeight="1" x14ac:dyDescent="0.2">
      <c r="A10" s="468" t="s">
        <v>131</v>
      </c>
      <c r="B10" s="469" t="s">
        <v>563</v>
      </c>
      <c r="C10" s="470"/>
      <c r="D10" s="470"/>
      <c r="E10" s="470"/>
      <c r="F10" s="469" t="s">
        <v>564</v>
      </c>
      <c r="G10" s="471">
        <v>260</v>
      </c>
      <c r="H10" s="472" t="s">
        <v>565</v>
      </c>
      <c r="I10" s="471">
        <v>156480</v>
      </c>
    </row>
    <row r="11" spans="1:9" ht="21.95" customHeight="1" x14ac:dyDescent="0.2">
      <c r="A11" s="468" t="s">
        <v>132</v>
      </c>
      <c r="B11" s="469" t="s">
        <v>566</v>
      </c>
      <c r="C11" s="470"/>
      <c r="D11" s="470"/>
      <c r="E11" s="470"/>
      <c r="F11" s="469" t="s">
        <v>564</v>
      </c>
      <c r="G11" s="471"/>
      <c r="H11" s="472" t="s">
        <v>565</v>
      </c>
      <c r="I11" s="471">
        <v>21435</v>
      </c>
    </row>
    <row r="12" spans="1:9" ht="21.95" customHeight="1" x14ac:dyDescent="0.2">
      <c r="A12" s="468" t="s">
        <v>133</v>
      </c>
      <c r="B12" s="470" t="s">
        <v>567</v>
      </c>
      <c r="C12" s="470"/>
      <c r="D12" s="470"/>
      <c r="E12" s="470"/>
      <c r="F12" s="469"/>
      <c r="G12" s="471"/>
      <c r="H12" s="472" t="s">
        <v>568</v>
      </c>
      <c r="I12" s="471">
        <v>112</v>
      </c>
    </row>
    <row r="13" spans="1:9" ht="21.95" customHeight="1" x14ac:dyDescent="0.2">
      <c r="A13" s="468" t="s">
        <v>454</v>
      </c>
      <c r="B13" s="470" t="s">
        <v>569</v>
      </c>
      <c r="C13" s="470"/>
      <c r="D13" s="470"/>
      <c r="E13" s="470"/>
      <c r="F13" s="469"/>
      <c r="G13" s="471"/>
      <c r="H13" s="472" t="s">
        <v>568</v>
      </c>
      <c r="I13" s="471">
        <v>13000</v>
      </c>
    </row>
    <row r="14" spans="1:9" ht="21.95" customHeight="1" x14ac:dyDescent="0.2">
      <c r="A14" s="473" t="s">
        <v>455</v>
      </c>
      <c r="B14" s="474" t="s">
        <v>974</v>
      </c>
      <c r="C14" s="474"/>
      <c r="D14" s="474"/>
      <c r="E14" s="474"/>
      <c r="F14" s="475"/>
      <c r="G14" s="476"/>
      <c r="H14" s="477" t="s">
        <v>571</v>
      </c>
      <c r="I14" s="476">
        <v>101102</v>
      </c>
    </row>
  </sheetData>
  <mergeCells count="6">
    <mergeCell ref="A2:I2"/>
    <mergeCell ref="A3:I3"/>
    <mergeCell ref="A8:A9"/>
    <mergeCell ref="B8:E9"/>
    <mergeCell ref="F8:G8"/>
    <mergeCell ref="H8:I8"/>
  </mergeCells>
  <pageMargins left="0.78740157480314965" right="0.39370078740157483" top="0.98425196850393704" bottom="0.98425196850393704" header="0.51181102362204722" footer="0.51181102362204722"/>
  <pageSetup paperSize="9" scale="99" firstPageNumber="49" orientation="landscape" useFirstPageNumber="1" r:id="rId1"/>
  <headerFooter alignWithMargins="0">
    <oddFooter>&amp;C&amp;P. oldal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3:N162"/>
  <sheetViews>
    <sheetView zoomScaleNormal="100" workbookViewId="0">
      <selection activeCell="E148" sqref="E148"/>
    </sheetView>
  </sheetViews>
  <sheetFormatPr defaultColWidth="9.140625" defaultRowHeight="12.75" x14ac:dyDescent="0.2"/>
  <cols>
    <col min="1" max="1" width="4.5703125" style="478" customWidth="1"/>
    <col min="2" max="2" width="61.5703125" style="478" bestFit="1" customWidth="1"/>
    <col min="3" max="3" width="15" style="478" customWidth="1"/>
    <col min="4" max="4" width="12.85546875" style="478" bestFit="1" customWidth="1"/>
    <col min="5" max="5" width="16.7109375" style="478" customWidth="1"/>
    <col min="6" max="6" width="12.42578125" style="478" customWidth="1"/>
    <col min="7" max="7" width="12.42578125" style="478" bestFit="1" customWidth="1"/>
    <col min="8" max="8" width="10.42578125" style="478" bestFit="1" customWidth="1"/>
    <col min="9" max="9" width="12.140625" style="478" bestFit="1" customWidth="1"/>
    <col min="10" max="10" width="10.42578125" style="478" bestFit="1" customWidth="1"/>
    <col min="11" max="12" width="13.85546875" style="478" bestFit="1" customWidth="1"/>
    <col min="13" max="13" width="13.5703125" style="478" bestFit="1" customWidth="1"/>
    <col min="14" max="14" width="14.7109375" style="478" bestFit="1" customWidth="1"/>
    <col min="15" max="16384" width="9.140625" style="478"/>
  </cols>
  <sheetData>
    <row r="3" spans="1:14" ht="18.75" customHeight="1" x14ac:dyDescent="0.2">
      <c r="A3" s="1327" t="s">
        <v>572</v>
      </c>
      <c r="B3" s="1327"/>
      <c r="C3" s="1327"/>
      <c r="D3" s="1327"/>
      <c r="E3" s="1327"/>
      <c r="F3" s="1327"/>
      <c r="G3" s="1327"/>
      <c r="H3" s="1327"/>
      <c r="I3" s="1327"/>
      <c r="J3" s="1327"/>
      <c r="K3" s="1327"/>
      <c r="L3" s="1327"/>
      <c r="M3" s="1327"/>
      <c r="N3" s="1327"/>
    </row>
    <row r="4" spans="1:14" ht="15.75" x14ac:dyDescent="0.2">
      <c r="A4" s="647"/>
      <c r="B4" s="1328" t="s">
        <v>573</v>
      </c>
      <c r="C4" s="1328"/>
      <c r="D4" s="1328"/>
      <c r="E4" s="1328"/>
      <c r="F4" s="1328"/>
      <c r="G4" s="1328"/>
      <c r="H4" s="1328"/>
      <c r="I4" s="1328"/>
      <c r="J4" s="1328"/>
      <c r="K4" s="1328"/>
      <c r="L4" s="1328"/>
      <c r="M4" s="1328"/>
      <c r="N4" s="647"/>
    </row>
    <row r="5" spans="1:14" ht="15.75" x14ac:dyDescent="0.2">
      <c r="A5" s="647"/>
      <c r="B5" s="1328" t="s">
        <v>1176</v>
      </c>
      <c r="C5" s="1328"/>
      <c r="D5" s="1328"/>
      <c r="E5" s="1328"/>
      <c r="F5" s="1328"/>
      <c r="G5" s="1328"/>
      <c r="H5" s="1328"/>
      <c r="I5" s="1328"/>
      <c r="J5" s="1328"/>
      <c r="K5" s="1328"/>
      <c r="L5" s="1328"/>
      <c r="M5" s="1328"/>
      <c r="N5" s="647"/>
    </row>
    <row r="6" spans="1:14" ht="18.75" x14ac:dyDescent="0.2">
      <c r="B6" s="648"/>
      <c r="C6" s="648"/>
      <c r="D6" s="648"/>
      <c r="E6" s="648"/>
      <c r="F6" s="648"/>
      <c r="G6" s="648"/>
      <c r="H6" s="648"/>
      <c r="I6" s="648"/>
      <c r="J6" s="648"/>
      <c r="K6" s="648"/>
      <c r="L6" s="648"/>
      <c r="M6" s="648"/>
    </row>
    <row r="7" spans="1:14" x14ac:dyDescent="0.2">
      <c r="N7" s="767" t="s">
        <v>456</v>
      </c>
    </row>
    <row r="8" spans="1:14" ht="32.25" customHeight="1" x14ac:dyDescent="0.2">
      <c r="A8" s="649"/>
      <c r="B8" s="1324" t="s">
        <v>574</v>
      </c>
      <c r="C8" s="1330" t="s">
        <v>1372</v>
      </c>
      <c r="D8" s="1332" t="s">
        <v>575</v>
      </c>
      <c r="E8" s="1324" t="s">
        <v>576</v>
      </c>
      <c r="F8" s="1334" t="s">
        <v>577</v>
      </c>
      <c r="G8" s="650" t="s">
        <v>578</v>
      </c>
      <c r="H8" s="1336" t="s">
        <v>579</v>
      </c>
      <c r="I8" s="1337"/>
      <c r="J8" s="1338" t="s">
        <v>580</v>
      </c>
      <c r="K8" s="1338"/>
      <c r="L8" s="1322" t="s">
        <v>581</v>
      </c>
      <c r="M8" s="1324" t="s">
        <v>582</v>
      </c>
      <c r="N8" s="1325" t="s">
        <v>583</v>
      </c>
    </row>
    <row r="9" spans="1:14" ht="52.5" customHeight="1" x14ac:dyDescent="0.2">
      <c r="A9" s="651"/>
      <c r="B9" s="1329"/>
      <c r="C9" s="1331"/>
      <c r="D9" s="1333"/>
      <c r="E9" s="1329"/>
      <c r="F9" s="1335"/>
      <c r="G9" s="650" t="s">
        <v>584</v>
      </c>
      <c r="H9" s="482" t="s">
        <v>585</v>
      </c>
      <c r="I9" s="482" t="s">
        <v>586</v>
      </c>
      <c r="J9" s="482" t="s">
        <v>585</v>
      </c>
      <c r="K9" s="482" t="s">
        <v>587</v>
      </c>
      <c r="L9" s="1323"/>
      <c r="M9" s="1154"/>
      <c r="N9" s="1326"/>
    </row>
    <row r="10" spans="1:14" ht="21" customHeight="1" x14ac:dyDescent="0.2">
      <c r="A10" s="652" t="s">
        <v>131</v>
      </c>
      <c r="B10" s="819" t="s">
        <v>588</v>
      </c>
      <c r="C10" s="616">
        <f>SUM(C11:C35)</f>
        <v>1977675</v>
      </c>
      <c r="D10" s="616">
        <f>SUM(E10:M10)</f>
        <v>1977675</v>
      </c>
      <c r="E10" s="622"/>
      <c r="F10" s="622">
        <v>160683</v>
      </c>
      <c r="G10" s="622">
        <v>211539</v>
      </c>
      <c r="H10" s="622"/>
      <c r="I10" s="622"/>
      <c r="J10" s="622"/>
      <c r="K10" s="622"/>
      <c r="L10" s="1055">
        <f>L11+L12+L13+L14+L15+L16+L17+L18+L19+L21+L22+L23+L24+L25+L26+L27+L28+L29+L30+L31+L32+L33+L34+L35+744846</f>
        <v>1605453</v>
      </c>
      <c r="M10" s="622"/>
      <c r="N10" s="645"/>
    </row>
    <row r="11" spans="1:14" ht="21" customHeight="1" x14ac:dyDescent="0.2">
      <c r="A11" s="652"/>
      <c r="B11" s="653" t="s">
        <v>589</v>
      </c>
      <c r="C11" s="857">
        <f>SUM('3c.m.'!F25)</f>
        <v>16722</v>
      </c>
      <c r="D11" s="623"/>
      <c r="E11" s="622"/>
      <c r="F11" s="623"/>
      <c r="G11" s="622"/>
      <c r="H11" s="622"/>
      <c r="I11" s="622"/>
      <c r="J11" s="622"/>
      <c r="K11" s="622"/>
      <c r="L11" s="623">
        <v>1722</v>
      </c>
      <c r="M11" s="622"/>
      <c r="N11" s="645"/>
    </row>
    <row r="12" spans="1:14" ht="21" customHeight="1" x14ac:dyDescent="0.2">
      <c r="A12" s="652"/>
      <c r="B12" s="653" t="s">
        <v>590</v>
      </c>
      <c r="C12" s="857">
        <f>SUM('3c.m.'!F34)</f>
        <v>10698</v>
      </c>
      <c r="D12" s="623"/>
      <c r="E12" s="622"/>
      <c r="F12" s="623"/>
      <c r="G12" s="622"/>
      <c r="H12" s="622"/>
      <c r="I12" s="622"/>
      <c r="J12" s="622"/>
      <c r="K12" s="622"/>
      <c r="L12" s="623">
        <v>698</v>
      </c>
      <c r="M12" s="622"/>
      <c r="N12" s="645"/>
    </row>
    <row r="13" spans="1:14" ht="21" customHeight="1" x14ac:dyDescent="0.2">
      <c r="A13" s="652"/>
      <c r="B13" s="653" t="s">
        <v>977</v>
      </c>
      <c r="C13" s="857">
        <f>SUM('3c.m.'!F43)</f>
        <v>216800</v>
      </c>
      <c r="D13" s="623"/>
      <c r="E13" s="622"/>
      <c r="F13" s="623"/>
      <c r="G13" s="622"/>
      <c r="H13" s="622"/>
      <c r="I13" s="622"/>
      <c r="J13" s="622"/>
      <c r="K13" s="622"/>
      <c r="L13" s="623">
        <v>100800</v>
      </c>
      <c r="M13" s="622"/>
      <c r="N13" s="645"/>
    </row>
    <row r="14" spans="1:14" ht="21" customHeight="1" x14ac:dyDescent="0.2">
      <c r="A14" s="652"/>
      <c r="B14" s="653" t="s">
        <v>978</v>
      </c>
      <c r="C14" s="857">
        <f>SUM('3c.m.'!F52)</f>
        <v>23997</v>
      </c>
      <c r="D14" s="853"/>
      <c r="E14" s="854"/>
      <c r="F14" s="853"/>
      <c r="G14" s="854"/>
      <c r="H14" s="854"/>
      <c r="I14" s="854"/>
      <c r="J14" s="854"/>
      <c r="K14" s="854"/>
      <c r="L14" s="623">
        <v>11997</v>
      </c>
      <c r="M14" s="622"/>
      <c r="N14" s="645"/>
    </row>
    <row r="15" spans="1:14" ht="21" customHeight="1" x14ac:dyDescent="0.2">
      <c r="A15" s="652"/>
      <c r="B15" s="653" t="s">
        <v>591</v>
      </c>
      <c r="C15" s="863">
        <f>SUM('3c.m.'!F70)</f>
        <v>2110</v>
      </c>
      <c r="D15" s="853"/>
      <c r="E15" s="855"/>
      <c r="F15" s="855"/>
      <c r="G15" s="855"/>
      <c r="H15" s="855"/>
      <c r="I15" s="855"/>
      <c r="J15" s="855"/>
      <c r="K15" s="855"/>
      <c r="L15" s="479">
        <v>110</v>
      </c>
      <c r="M15" s="479"/>
      <c r="N15" s="645"/>
    </row>
    <row r="16" spans="1:14" ht="20.45" customHeight="1" x14ac:dyDescent="0.2">
      <c r="A16" s="652"/>
      <c r="B16" s="653" t="s">
        <v>592</v>
      </c>
      <c r="C16" s="863">
        <f>SUM('3c.m.'!F78)</f>
        <v>25017</v>
      </c>
      <c r="D16" s="853"/>
      <c r="E16" s="855"/>
      <c r="F16" s="855"/>
      <c r="G16" s="855"/>
      <c r="H16" s="855"/>
      <c r="I16" s="855"/>
      <c r="J16" s="855"/>
      <c r="K16" s="855"/>
      <c r="L16" s="479">
        <v>17</v>
      </c>
      <c r="M16" s="479"/>
      <c r="N16" s="645"/>
    </row>
    <row r="17" spans="1:14" ht="21" customHeight="1" x14ac:dyDescent="0.2">
      <c r="A17" s="652"/>
      <c r="B17" s="653" t="s">
        <v>593</v>
      </c>
      <c r="C17" s="863">
        <f>SUM('3c.m.'!F105)</f>
        <v>60614</v>
      </c>
      <c r="D17" s="853"/>
      <c r="E17" s="855"/>
      <c r="F17" s="855"/>
      <c r="G17" s="855"/>
      <c r="H17" s="855"/>
      <c r="I17" s="855"/>
      <c r="J17" s="855"/>
      <c r="K17" s="855"/>
      <c r="L17" s="479">
        <v>20614</v>
      </c>
      <c r="M17" s="479"/>
      <c r="N17" s="645"/>
    </row>
    <row r="18" spans="1:14" ht="21" customHeight="1" x14ac:dyDescent="0.2">
      <c r="A18" s="652"/>
      <c r="B18" s="653" t="s">
        <v>594</v>
      </c>
      <c r="C18" s="863">
        <f>SUM('3c.m.'!F279)</f>
        <v>92923</v>
      </c>
      <c r="D18" s="853"/>
      <c r="E18" s="855"/>
      <c r="F18" s="855"/>
      <c r="G18" s="855"/>
      <c r="H18" s="855"/>
      <c r="I18" s="855"/>
      <c r="J18" s="855"/>
      <c r="K18" s="855"/>
      <c r="L18" s="479">
        <v>28423</v>
      </c>
      <c r="M18" s="479"/>
      <c r="N18" s="645"/>
    </row>
    <row r="19" spans="1:14" ht="21" customHeight="1" x14ac:dyDescent="0.2">
      <c r="A19" s="652"/>
      <c r="B19" s="653" t="s">
        <v>595</v>
      </c>
      <c r="C19" s="863">
        <f>SUM('3c.m.'!F362)</f>
        <v>369910</v>
      </c>
      <c r="D19" s="853"/>
      <c r="E19" s="855"/>
      <c r="F19" s="855"/>
      <c r="G19" s="855"/>
      <c r="H19" s="855"/>
      <c r="I19" s="855"/>
      <c r="J19" s="855"/>
      <c r="K19" s="855"/>
      <c r="L19" s="479">
        <v>51910</v>
      </c>
      <c r="M19" s="479"/>
      <c r="N19" s="645"/>
    </row>
    <row r="20" spans="1:14" ht="21" customHeight="1" x14ac:dyDescent="0.2">
      <c r="A20" s="652"/>
      <c r="B20" s="653" t="s">
        <v>1281</v>
      </c>
      <c r="C20" s="863">
        <f>'4.mell.'!F10</f>
        <v>0</v>
      </c>
      <c r="D20" s="853"/>
      <c r="E20" s="855"/>
      <c r="F20" s="855"/>
      <c r="G20" s="855"/>
      <c r="H20" s="855"/>
      <c r="I20" s="855"/>
      <c r="J20" s="855"/>
      <c r="K20" s="855"/>
      <c r="L20" s="479"/>
      <c r="M20" s="479"/>
      <c r="N20" s="645"/>
    </row>
    <row r="21" spans="1:14" ht="20.45" customHeight="1" x14ac:dyDescent="0.2">
      <c r="A21" s="652"/>
      <c r="B21" s="653" t="s">
        <v>596</v>
      </c>
      <c r="C21" s="863">
        <f>SUM('4.mell.'!F11)</f>
        <v>56947</v>
      </c>
      <c r="D21" s="853"/>
      <c r="E21" s="855"/>
      <c r="F21" s="855"/>
      <c r="G21" s="855"/>
      <c r="H21" s="855"/>
      <c r="I21" s="855"/>
      <c r="J21" s="855"/>
      <c r="K21" s="855"/>
      <c r="L21" s="479">
        <v>6947</v>
      </c>
      <c r="M21" s="479"/>
      <c r="N21" s="645"/>
    </row>
    <row r="22" spans="1:14" ht="21" customHeight="1" x14ac:dyDescent="0.2">
      <c r="A22" s="652"/>
      <c r="B22" s="653" t="s">
        <v>1049</v>
      </c>
      <c r="C22" s="863">
        <f>'4.mell.'!F14</f>
        <v>283</v>
      </c>
      <c r="D22" s="853"/>
      <c r="E22" s="855"/>
      <c r="F22" s="855"/>
      <c r="G22" s="855"/>
      <c r="H22" s="855"/>
      <c r="I22" s="855"/>
      <c r="J22" s="855"/>
      <c r="K22" s="855"/>
      <c r="L22" s="479">
        <v>283</v>
      </c>
      <c r="M22" s="479"/>
      <c r="N22" s="645"/>
    </row>
    <row r="23" spans="1:14" ht="25.5" customHeight="1" x14ac:dyDescent="0.2">
      <c r="A23" s="652"/>
      <c r="B23" s="654" t="s">
        <v>597</v>
      </c>
      <c r="C23" s="863">
        <f>SUM('4.mell.'!F16)</f>
        <v>220806</v>
      </c>
      <c r="D23" s="853"/>
      <c r="E23" s="855"/>
      <c r="F23" s="855"/>
      <c r="G23" s="855"/>
      <c r="H23" s="855"/>
      <c r="I23" s="855"/>
      <c r="J23" s="855"/>
      <c r="K23" s="855"/>
      <c r="L23" s="479">
        <v>124267</v>
      </c>
      <c r="M23" s="479"/>
      <c r="N23" s="645"/>
    </row>
    <row r="24" spans="1:14" ht="25.5" customHeight="1" x14ac:dyDescent="0.2">
      <c r="A24" s="652"/>
      <c r="B24" s="654" t="s">
        <v>1050</v>
      </c>
      <c r="C24" s="863">
        <f>'4.mell.'!F17</f>
        <v>139501</v>
      </c>
      <c r="D24" s="853"/>
      <c r="E24" s="855"/>
      <c r="F24" s="855"/>
      <c r="G24" s="855"/>
      <c r="H24" s="855"/>
      <c r="I24" s="855"/>
      <c r="J24" s="855"/>
      <c r="K24" s="855"/>
      <c r="L24" s="479">
        <v>139501</v>
      </c>
      <c r="M24" s="479"/>
      <c r="N24" s="645"/>
    </row>
    <row r="25" spans="1:14" ht="25.5" customHeight="1" x14ac:dyDescent="0.2">
      <c r="A25" s="652"/>
      <c r="B25" s="654" t="s">
        <v>1243</v>
      </c>
      <c r="C25" s="863">
        <f>'4.mell.'!F18</f>
        <v>10000</v>
      </c>
      <c r="D25" s="853"/>
      <c r="E25" s="855"/>
      <c r="F25" s="855"/>
      <c r="G25" s="855"/>
      <c r="H25" s="855"/>
      <c r="I25" s="855"/>
      <c r="J25" s="855"/>
      <c r="K25" s="855"/>
      <c r="L25" s="479"/>
      <c r="M25" s="479"/>
      <c r="N25" s="645"/>
    </row>
    <row r="26" spans="1:14" ht="20.25" customHeight="1" x14ac:dyDescent="0.2">
      <c r="A26" s="652"/>
      <c r="B26" s="654" t="s">
        <v>975</v>
      </c>
      <c r="C26" s="863">
        <f>SUM('4.mell.'!F19)</f>
        <v>267169</v>
      </c>
      <c r="D26" s="853"/>
      <c r="E26" s="855"/>
      <c r="F26" s="855"/>
      <c r="G26" s="855"/>
      <c r="H26" s="855"/>
      <c r="I26" s="855"/>
      <c r="J26" s="855"/>
      <c r="K26" s="855"/>
      <c r="L26" s="479">
        <v>117169</v>
      </c>
      <c r="M26" s="479"/>
      <c r="N26" s="645"/>
    </row>
    <row r="27" spans="1:14" ht="20.25" customHeight="1" x14ac:dyDescent="0.2">
      <c r="A27" s="652"/>
      <c r="B27" s="654" t="s">
        <v>1134</v>
      </c>
      <c r="C27" s="863">
        <f>'4.mell.'!F20</f>
        <v>120000</v>
      </c>
      <c r="D27" s="853"/>
      <c r="E27" s="855"/>
      <c r="F27" s="855"/>
      <c r="G27" s="855"/>
      <c r="H27" s="855"/>
      <c r="I27" s="855"/>
      <c r="J27" s="855"/>
      <c r="K27" s="855"/>
      <c r="L27" s="479">
        <v>60000</v>
      </c>
      <c r="M27" s="479"/>
      <c r="N27" s="645"/>
    </row>
    <row r="28" spans="1:14" ht="20.25" customHeight="1" x14ac:dyDescent="0.2">
      <c r="A28" s="652"/>
      <c r="B28" s="654" t="s">
        <v>1011</v>
      </c>
      <c r="C28" s="863">
        <f>SUM('4.mell.'!F25)</f>
        <v>110842</v>
      </c>
      <c r="D28" s="853"/>
      <c r="E28" s="855"/>
      <c r="F28" s="855"/>
      <c r="G28" s="855"/>
      <c r="H28" s="855"/>
      <c r="I28" s="855"/>
      <c r="J28" s="855"/>
      <c r="K28" s="855"/>
      <c r="L28" s="479">
        <v>30842</v>
      </c>
      <c r="M28" s="479"/>
      <c r="N28" s="645"/>
    </row>
    <row r="29" spans="1:14" ht="20.25" customHeight="1" x14ac:dyDescent="0.2">
      <c r="A29" s="652"/>
      <c r="B29" s="654" t="s">
        <v>1224</v>
      </c>
      <c r="C29" s="863">
        <f>SUM('4.mell.'!F29)</f>
        <v>60000</v>
      </c>
      <c r="D29" s="853"/>
      <c r="E29" s="855"/>
      <c r="F29" s="855"/>
      <c r="G29" s="855"/>
      <c r="H29" s="855"/>
      <c r="I29" s="855"/>
      <c r="J29" s="855"/>
      <c r="K29" s="479"/>
      <c r="L29" s="479">
        <v>30000</v>
      </c>
      <c r="M29" s="479"/>
      <c r="N29" s="645"/>
    </row>
    <row r="30" spans="1:14" ht="20.25" customHeight="1" x14ac:dyDescent="0.2">
      <c r="A30" s="652"/>
      <c r="B30" s="654" t="s">
        <v>1233</v>
      </c>
      <c r="C30" s="863">
        <f>'5.mell. '!F14</f>
        <v>60000</v>
      </c>
      <c r="D30" s="853"/>
      <c r="E30" s="855"/>
      <c r="F30" s="855"/>
      <c r="G30" s="855"/>
      <c r="H30" s="855"/>
      <c r="I30" s="855"/>
      <c r="J30" s="855"/>
      <c r="K30" s="479"/>
      <c r="L30" s="479">
        <v>30000</v>
      </c>
      <c r="M30" s="479"/>
      <c r="N30" s="645"/>
    </row>
    <row r="31" spans="1:14" ht="20.25" customHeight="1" x14ac:dyDescent="0.2">
      <c r="A31" s="652"/>
      <c r="B31" s="654" t="s">
        <v>1232</v>
      </c>
      <c r="C31" s="863">
        <f>'5.mell. '!F15</f>
        <v>10000</v>
      </c>
      <c r="D31" s="853"/>
      <c r="E31" s="855"/>
      <c r="F31" s="855"/>
      <c r="G31" s="855"/>
      <c r="H31" s="855"/>
      <c r="I31" s="855"/>
      <c r="J31" s="855"/>
      <c r="K31" s="479"/>
      <c r="L31" s="479">
        <v>10000</v>
      </c>
      <c r="M31" s="479"/>
      <c r="N31" s="645"/>
    </row>
    <row r="32" spans="1:14" ht="20.25" customHeight="1" x14ac:dyDescent="0.2">
      <c r="A32" s="652"/>
      <c r="B32" s="654" t="s">
        <v>1231</v>
      </c>
      <c r="C32" s="863">
        <f>'5.mell. '!F18</f>
        <v>35560</v>
      </c>
      <c r="D32" s="853"/>
      <c r="E32" s="855"/>
      <c r="F32" s="855"/>
      <c r="G32" s="855"/>
      <c r="H32" s="855"/>
      <c r="I32" s="855"/>
      <c r="J32" s="855"/>
      <c r="K32" s="479"/>
      <c r="L32" s="479">
        <v>35560</v>
      </c>
      <c r="M32" s="479"/>
      <c r="N32" s="645"/>
    </row>
    <row r="33" spans="1:14" ht="20.25" customHeight="1" x14ac:dyDescent="0.2">
      <c r="A33" s="652"/>
      <c r="B33" s="654" t="s">
        <v>1230</v>
      </c>
      <c r="C33" s="863">
        <f>'5.mell. '!F21</f>
        <v>67776</v>
      </c>
      <c r="D33" s="853"/>
      <c r="E33" s="855"/>
      <c r="F33" s="855"/>
      <c r="G33" s="855"/>
      <c r="H33" s="855"/>
      <c r="I33" s="855"/>
      <c r="J33" s="855"/>
      <c r="K33" s="479"/>
      <c r="L33" s="479">
        <v>59747</v>
      </c>
      <c r="M33" s="479"/>
      <c r="N33" s="645"/>
    </row>
    <row r="34" spans="1:14" ht="21" customHeight="1" x14ac:dyDescent="0.2">
      <c r="A34" s="652"/>
      <c r="B34" s="655" t="s">
        <v>1234</v>
      </c>
      <c r="C34" s="857">
        <v>0</v>
      </c>
      <c r="D34" s="853">
        <v>0</v>
      </c>
      <c r="E34" s="855"/>
      <c r="F34" s="855"/>
      <c r="G34" s="855"/>
      <c r="H34" s="855"/>
      <c r="I34" s="855"/>
      <c r="J34" s="855"/>
      <c r="K34" s="479"/>
      <c r="L34" s="479"/>
      <c r="M34" s="479"/>
      <c r="N34" s="645"/>
    </row>
    <row r="35" spans="1:14" ht="21" customHeight="1" x14ac:dyDescent="0.2">
      <c r="A35" s="652"/>
      <c r="B35" s="655" t="s">
        <v>1135</v>
      </c>
      <c r="C35" s="857">
        <f>'5.mell. '!F43</f>
        <v>0</v>
      </c>
      <c r="D35" s="853"/>
      <c r="E35" s="855"/>
      <c r="F35" s="855"/>
      <c r="G35" s="855"/>
      <c r="H35" s="855"/>
      <c r="I35" s="855"/>
      <c r="J35" s="855"/>
      <c r="K35" s="479"/>
      <c r="L35" s="479"/>
      <c r="M35" s="479"/>
      <c r="N35" s="645"/>
    </row>
    <row r="36" spans="1:14" ht="21" customHeight="1" x14ac:dyDescent="0.2">
      <c r="A36" s="652" t="s">
        <v>132</v>
      </c>
      <c r="B36" s="656" t="s">
        <v>598</v>
      </c>
      <c r="C36" s="856">
        <f>SUM(C37:C37)</f>
        <v>20135</v>
      </c>
      <c r="D36" s="856">
        <f>SUM(E36:N36)</f>
        <v>20135</v>
      </c>
      <c r="E36" s="856"/>
      <c r="F36" s="856">
        <v>19520</v>
      </c>
      <c r="G36" s="856"/>
      <c r="H36" s="856"/>
      <c r="I36" s="856"/>
      <c r="J36" s="856"/>
      <c r="K36" s="856"/>
      <c r="L36" s="616">
        <f>L37</f>
        <v>615</v>
      </c>
      <c r="M36" s="616"/>
      <c r="N36" s="645"/>
    </row>
    <row r="37" spans="1:14" ht="21" customHeight="1" x14ac:dyDescent="0.2">
      <c r="A37" s="652"/>
      <c r="B37" s="655" t="s">
        <v>599</v>
      </c>
      <c r="C37" s="857">
        <f>SUM('3d.m.'!F10)</f>
        <v>20135</v>
      </c>
      <c r="D37" s="857"/>
      <c r="E37" s="770"/>
      <c r="F37" s="770"/>
      <c r="G37" s="770"/>
      <c r="H37" s="770"/>
      <c r="I37" s="770"/>
      <c r="J37" s="770"/>
      <c r="K37" s="770"/>
      <c r="L37" s="480">
        <v>615</v>
      </c>
      <c r="M37" s="480"/>
      <c r="N37" s="645"/>
    </row>
    <row r="38" spans="1:14" ht="21" customHeight="1" x14ac:dyDescent="0.2">
      <c r="A38" s="652" t="s">
        <v>133</v>
      </c>
      <c r="B38" s="656" t="s">
        <v>600</v>
      </c>
      <c r="C38" s="856">
        <f>SUM(C39:C39)</f>
        <v>1408539</v>
      </c>
      <c r="D38" s="856">
        <f>SUM(E38:M38)</f>
        <v>1408539</v>
      </c>
      <c r="E38" s="771"/>
      <c r="F38" s="771">
        <v>1157439</v>
      </c>
      <c r="G38" s="771">
        <v>114104</v>
      </c>
      <c r="H38" s="770"/>
      <c r="I38" s="770"/>
      <c r="J38" s="770"/>
      <c r="K38" s="770"/>
      <c r="L38" s="481">
        <f>SUM(L39)</f>
        <v>136996</v>
      </c>
      <c r="M38" s="480"/>
      <c r="N38" s="645"/>
    </row>
    <row r="39" spans="1:14" ht="29.1" customHeight="1" x14ac:dyDescent="0.2">
      <c r="A39" s="652"/>
      <c r="B39" s="657" t="s">
        <v>601</v>
      </c>
      <c r="C39" s="857">
        <f>SUM('3c.m.'!F345)</f>
        <v>1408539</v>
      </c>
      <c r="D39" s="857"/>
      <c r="E39" s="770"/>
      <c r="F39" s="770"/>
      <c r="G39" s="770"/>
      <c r="H39" s="770"/>
      <c r="I39" s="770"/>
      <c r="J39" s="770"/>
      <c r="K39" s="770"/>
      <c r="L39" s="480">
        <v>136996</v>
      </c>
      <c r="M39" s="480"/>
      <c r="N39" s="645"/>
    </row>
    <row r="40" spans="1:14" ht="21" customHeight="1" x14ac:dyDescent="0.2">
      <c r="A40" s="652" t="s">
        <v>455</v>
      </c>
      <c r="B40" s="656" t="s">
        <v>602</v>
      </c>
      <c r="C40" s="856">
        <f>SUM(C41:C44)</f>
        <v>1398376</v>
      </c>
      <c r="D40" s="856">
        <f>SUM(E40:N40)</f>
        <v>1398376</v>
      </c>
      <c r="E40" s="770"/>
      <c r="F40" s="771">
        <v>1054701</v>
      </c>
      <c r="G40" s="771">
        <v>167348</v>
      </c>
      <c r="H40" s="770"/>
      <c r="I40" s="771"/>
      <c r="J40" s="770"/>
      <c r="K40" s="771"/>
      <c r="L40" s="616">
        <f>SUM(L41:L44)</f>
        <v>176327</v>
      </c>
      <c r="M40" s="481"/>
      <c r="N40" s="616"/>
    </row>
    <row r="41" spans="1:14" ht="21" customHeight="1" x14ac:dyDescent="0.2">
      <c r="A41" s="652"/>
      <c r="B41" s="655" t="s">
        <v>603</v>
      </c>
      <c r="C41" s="857">
        <f>SUM('3c.m.'!F337)</f>
        <v>1193423</v>
      </c>
      <c r="D41" s="857"/>
      <c r="E41" s="770"/>
      <c r="F41" s="770"/>
      <c r="G41" s="770"/>
      <c r="H41" s="770"/>
      <c r="I41" s="770"/>
      <c r="J41" s="770"/>
      <c r="K41" s="770"/>
      <c r="L41" s="480">
        <v>77775</v>
      </c>
      <c r="M41" s="480"/>
      <c r="N41" s="645"/>
    </row>
    <row r="42" spans="1:14" ht="21" customHeight="1" x14ac:dyDescent="0.2">
      <c r="A42" s="652"/>
      <c r="B42" s="655" t="s">
        <v>604</v>
      </c>
      <c r="C42" s="857">
        <f>SUM('3c.m.'!F131)</f>
        <v>8099</v>
      </c>
      <c r="D42" s="857"/>
      <c r="E42" s="770"/>
      <c r="F42" s="770"/>
      <c r="G42" s="770"/>
      <c r="H42" s="770"/>
      <c r="I42" s="770"/>
      <c r="J42" s="770"/>
      <c r="K42" s="770"/>
      <c r="L42" s="480">
        <v>1698</v>
      </c>
      <c r="M42" s="480"/>
      <c r="N42" s="645"/>
    </row>
    <row r="43" spans="1:14" ht="21" customHeight="1" x14ac:dyDescent="0.2">
      <c r="A43" s="824"/>
      <c r="B43" s="655" t="s">
        <v>605</v>
      </c>
      <c r="C43" s="857">
        <f>SUM('4.mell.'!F34)</f>
        <v>152279</v>
      </c>
      <c r="D43" s="857"/>
      <c r="E43" s="770"/>
      <c r="F43" s="770"/>
      <c r="G43" s="770"/>
      <c r="H43" s="770"/>
      <c r="I43" s="770"/>
      <c r="J43" s="770"/>
      <c r="K43" s="770"/>
      <c r="L43" s="480">
        <v>72279</v>
      </c>
      <c r="M43" s="480"/>
      <c r="N43" s="645"/>
    </row>
    <row r="44" spans="1:14" ht="21" customHeight="1" x14ac:dyDescent="0.2">
      <c r="A44" s="652"/>
      <c r="B44" s="655" t="s">
        <v>606</v>
      </c>
      <c r="C44" s="857">
        <f>SUM('4.mell.'!F71)</f>
        <v>44575</v>
      </c>
      <c r="D44" s="857"/>
      <c r="E44" s="770"/>
      <c r="F44" s="770"/>
      <c r="G44" s="770"/>
      <c r="H44" s="770"/>
      <c r="I44" s="770"/>
      <c r="J44" s="770"/>
      <c r="K44" s="770"/>
      <c r="L44" s="480">
        <v>24575</v>
      </c>
      <c r="M44" s="480"/>
      <c r="N44" s="645"/>
    </row>
    <row r="45" spans="1:14" ht="21" customHeight="1" x14ac:dyDescent="0.2">
      <c r="A45" s="652" t="s">
        <v>469</v>
      </c>
      <c r="B45" s="656" t="s">
        <v>607</v>
      </c>
      <c r="C45" s="856">
        <v>0</v>
      </c>
      <c r="D45" s="856">
        <f>SUM(E45:M45)</f>
        <v>0</v>
      </c>
      <c r="E45" s="770"/>
      <c r="F45" s="770"/>
      <c r="G45" s="770"/>
      <c r="H45" s="770"/>
      <c r="I45" s="770"/>
      <c r="J45" s="770"/>
      <c r="K45" s="770"/>
      <c r="L45" s="480"/>
      <c r="M45" s="480"/>
      <c r="N45" s="645"/>
    </row>
    <row r="46" spans="1:14" ht="21" customHeight="1" x14ac:dyDescent="0.2">
      <c r="A46" s="652" t="s">
        <v>520</v>
      </c>
      <c r="B46" s="656" t="s">
        <v>608</v>
      </c>
      <c r="C46" s="856">
        <v>0</v>
      </c>
      <c r="D46" s="856">
        <f>SUM(E46:M46)</f>
        <v>0</v>
      </c>
      <c r="E46" s="770"/>
      <c r="F46" s="770"/>
      <c r="G46" s="770"/>
      <c r="H46" s="770"/>
      <c r="I46" s="770"/>
      <c r="J46" s="770"/>
      <c r="K46" s="770"/>
      <c r="L46" s="480"/>
      <c r="M46" s="480"/>
      <c r="N46" s="645"/>
    </row>
    <row r="47" spans="1:14" ht="21" customHeight="1" x14ac:dyDescent="0.2">
      <c r="A47" s="652" t="s">
        <v>410</v>
      </c>
      <c r="B47" s="656" t="s">
        <v>609</v>
      </c>
      <c r="C47" s="856">
        <v>0</v>
      </c>
      <c r="D47" s="856">
        <f>SUM(E47:M47)</f>
        <v>0</v>
      </c>
      <c r="E47" s="770"/>
      <c r="F47" s="770"/>
      <c r="G47" s="770"/>
      <c r="H47" s="770"/>
      <c r="I47" s="770"/>
      <c r="J47" s="770"/>
      <c r="K47" s="770"/>
      <c r="L47" s="480"/>
      <c r="M47" s="480"/>
      <c r="N47" s="645"/>
    </row>
    <row r="48" spans="1:14" ht="21" customHeight="1" x14ac:dyDescent="0.2">
      <c r="A48" s="652" t="s">
        <v>411</v>
      </c>
      <c r="B48" s="656" t="s">
        <v>610</v>
      </c>
      <c r="C48" s="856">
        <f>SUM(C49:C51)</f>
        <v>39716</v>
      </c>
      <c r="D48" s="856">
        <f>SUM(E48:M48)</f>
        <v>39716</v>
      </c>
      <c r="E48" s="771"/>
      <c r="F48" s="771">
        <v>37037</v>
      </c>
      <c r="G48" s="771"/>
      <c r="H48" s="770"/>
      <c r="I48" s="770"/>
      <c r="J48" s="770"/>
      <c r="K48" s="770"/>
      <c r="L48" s="616">
        <f>SUM(L49:L51)</f>
        <v>2679</v>
      </c>
      <c r="M48" s="480"/>
      <c r="N48" s="645"/>
    </row>
    <row r="49" spans="1:14" ht="21" customHeight="1" x14ac:dyDescent="0.2">
      <c r="A49" s="652"/>
      <c r="B49" s="655" t="s">
        <v>611</v>
      </c>
      <c r="C49" s="857">
        <f>SUM('3c.m.'!F451)</f>
        <v>18679</v>
      </c>
      <c r="D49" s="857"/>
      <c r="E49" s="770"/>
      <c r="F49" s="770"/>
      <c r="G49" s="770"/>
      <c r="H49" s="770"/>
      <c r="I49" s="770"/>
      <c r="J49" s="770"/>
      <c r="K49" s="770"/>
      <c r="L49" s="480">
        <v>2679</v>
      </c>
      <c r="M49" s="480"/>
      <c r="N49" s="645"/>
    </row>
    <row r="50" spans="1:14" ht="21" customHeight="1" x14ac:dyDescent="0.2">
      <c r="A50" s="652"/>
      <c r="B50" s="655" t="s">
        <v>612</v>
      </c>
      <c r="C50" s="857">
        <f>SUM('3c.m.'!F643)</f>
        <v>800</v>
      </c>
      <c r="D50" s="857"/>
      <c r="E50" s="770"/>
      <c r="F50" s="770"/>
      <c r="G50" s="770"/>
      <c r="H50" s="770"/>
      <c r="I50" s="770"/>
      <c r="J50" s="770"/>
      <c r="K50" s="770"/>
      <c r="L50" s="480"/>
      <c r="M50" s="480"/>
      <c r="N50" s="645"/>
    </row>
    <row r="51" spans="1:14" ht="21" customHeight="1" x14ac:dyDescent="0.2">
      <c r="A51" s="652"/>
      <c r="B51" s="655" t="s">
        <v>613</v>
      </c>
      <c r="C51" s="857">
        <f>SUM('3c.m.'!F459)-'12.mell'!E24</f>
        <v>20237</v>
      </c>
      <c r="D51" s="857"/>
      <c r="E51" s="770"/>
      <c r="F51" s="770"/>
      <c r="G51" s="770"/>
      <c r="H51" s="770"/>
      <c r="I51" s="770"/>
      <c r="J51" s="770"/>
      <c r="K51" s="770"/>
      <c r="L51" s="480"/>
      <c r="M51" s="480"/>
      <c r="N51" s="645"/>
    </row>
    <row r="52" spans="1:14" ht="21" customHeight="1" x14ac:dyDescent="0.2">
      <c r="A52" s="652" t="s">
        <v>522</v>
      </c>
      <c r="B52" s="656" t="s">
        <v>614</v>
      </c>
      <c r="C52" s="856">
        <f>SUM(C53:C62)</f>
        <v>2087916</v>
      </c>
      <c r="D52" s="856">
        <f>SUM(E52:N52)</f>
        <v>2087916</v>
      </c>
      <c r="E52" s="771">
        <v>1545198</v>
      </c>
      <c r="F52" s="771">
        <v>510776</v>
      </c>
      <c r="G52" s="856">
        <v>10247</v>
      </c>
      <c r="H52" s="771"/>
      <c r="I52" s="771">
        <v>0</v>
      </c>
      <c r="J52" s="771"/>
      <c r="K52" s="770"/>
      <c r="L52" s="616">
        <f>SUM(L53:L62)</f>
        <v>21695</v>
      </c>
      <c r="M52" s="480"/>
      <c r="N52" s="645"/>
    </row>
    <row r="53" spans="1:14" ht="21" customHeight="1" x14ac:dyDescent="0.2">
      <c r="A53" s="652"/>
      <c r="B53" s="655" t="s">
        <v>615</v>
      </c>
      <c r="C53" s="857">
        <f>SUM('2.mell'!F42)</f>
        <v>269254</v>
      </c>
      <c r="D53" s="857"/>
      <c r="E53" s="771"/>
      <c r="F53" s="770"/>
      <c r="G53" s="770"/>
      <c r="H53" s="770"/>
      <c r="I53" s="770"/>
      <c r="J53" s="770"/>
      <c r="K53" s="770"/>
      <c r="L53" s="480">
        <v>1310</v>
      </c>
      <c r="M53" s="480"/>
      <c r="N53" s="645"/>
    </row>
    <row r="54" spans="1:14" ht="21" customHeight="1" x14ac:dyDescent="0.2">
      <c r="A54" s="652"/>
      <c r="B54" s="655" t="s">
        <v>616</v>
      </c>
      <c r="C54" s="857">
        <f>SUM('2.mell'!F77)</f>
        <v>265211</v>
      </c>
      <c r="D54" s="857"/>
      <c r="E54" s="771"/>
      <c r="F54" s="770"/>
      <c r="G54" s="770"/>
      <c r="H54" s="770"/>
      <c r="I54" s="770"/>
      <c r="J54" s="770"/>
      <c r="K54" s="770"/>
      <c r="L54" s="480">
        <v>830</v>
      </c>
      <c r="M54" s="480"/>
      <c r="N54" s="645"/>
    </row>
    <row r="55" spans="1:14" ht="21" customHeight="1" x14ac:dyDescent="0.2">
      <c r="A55" s="652"/>
      <c r="B55" s="655" t="s">
        <v>617</v>
      </c>
      <c r="C55" s="857">
        <f>SUM('2.mell'!F111)</f>
        <v>127525</v>
      </c>
      <c r="D55" s="857"/>
      <c r="E55" s="771"/>
      <c r="F55" s="770"/>
      <c r="G55" s="770"/>
      <c r="H55" s="770"/>
      <c r="I55" s="770"/>
      <c r="J55" s="770"/>
      <c r="K55" s="770"/>
      <c r="L55" s="480">
        <v>1280</v>
      </c>
      <c r="M55" s="480"/>
      <c r="N55" s="645"/>
    </row>
    <row r="56" spans="1:14" ht="21" customHeight="1" x14ac:dyDescent="0.2">
      <c r="A56" s="652"/>
      <c r="B56" s="655" t="s">
        <v>618</v>
      </c>
      <c r="C56" s="857">
        <f>SUM('2.mell'!F180)</f>
        <v>274495</v>
      </c>
      <c r="D56" s="857"/>
      <c r="E56" s="770"/>
      <c r="F56" s="857"/>
      <c r="G56" s="770"/>
      <c r="H56" s="770"/>
      <c r="I56" s="770"/>
      <c r="J56" s="770"/>
      <c r="K56" s="770"/>
      <c r="L56" s="480">
        <v>2012</v>
      </c>
      <c r="M56" s="480"/>
      <c r="N56" s="645"/>
    </row>
    <row r="57" spans="1:14" ht="21" customHeight="1" x14ac:dyDescent="0.2">
      <c r="A57" s="652"/>
      <c r="B57" s="655" t="s">
        <v>619</v>
      </c>
      <c r="C57" s="857">
        <f>SUM('2.mell'!F146)</f>
        <v>451129</v>
      </c>
      <c r="D57" s="857"/>
      <c r="E57" s="770"/>
      <c r="F57" s="858"/>
      <c r="G57" s="770"/>
      <c r="H57" s="770"/>
      <c r="I57" s="770"/>
      <c r="J57" s="770"/>
      <c r="K57" s="770"/>
      <c r="L57" s="480">
        <v>3345</v>
      </c>
      <c r="M57" s="480"/>
      <c r="N57" s="645"/>
    </row>
    <row r="58" spans="1:14" ht="21" customHeight="1" x14ac:dyDescent="0.2">
      <c r="A58" s="652"/>
      <c r="B58" s="655" t="s">
        <v>620</v>
      </c>
      <c r="C58" s="857">
        <f>SUM('2.mell'!F214)</f>
        <v>216190</v>
      </c>
      <c r="D58" s="857"/>
      <c r="E58" s="770"/>
      <c r="F58" s="858"/>
      <c r="G58" s="770"/>
      <c r="H58" s="770"/>
      <c r="I58" s="770"/>
      <c r="J58" s="770"/>
      <c r="K58" s="770"/>
      <c r="L58" s="480">
        <v>1415</v>
      </c>
      <c r="M58" s="480"/>
      <c r="N58" s="645"/>
    </row>
    <row r="59" spans="1:14" ht="21" customHeight="1" x14ac:dyDescent="0.2">
      <c r="A59" s="652"/>
      <c r="B59" s="655" t="s">
        <v>621</v>
      </c>
      <c r="C59" s="857">
        <f>SUM('2.mell'!F248)</f>
        <v>144937</v>
      </c>
      <c r="D59" s="857"/>
      <c r="E59" s="770"/>
      <c r="F59" s="858"/>
      <c r="G59" s="770"/>
      <c r="H59" s="770"/>
      <c r="I59" s="770"/>
      <c r="J59" s="770"/>
      <c r="K59" s="770"/>
      <c r="L59" s="480">
        <v>1130</v>
      </c>
      <c r="M59" s="480"/>
      <c r="N59" s="645"/>
    </row>
    <row r="60" spans="1:14" ht="21" customHeight="1" x14ac:dyDescent="0.2">
      <c r="A60" s="652"/>
      <c r="B60" s="655" t="s">
        <v>622</v>
      </c>
      <c r="C60" s="857">
        <f>SUM('2.mell'!F282)</f>
        <v>146494</v>
      </c>
      <c r="D60" s="857"/>
      <c r="E60" s="770"/>
      <c r="F60" s="858"/>
      <c r="G60" s="770"/>
      <c r="H60" s="770"/>
      <c r="I60" s="770"/>
      <c r="J60" s="770"/>
      <c r="K60" s="770"/>
      <c r="L60" s="480">
        <v>2692</v>
      </c>
      <c r="M60" s="480"/>
      <c r="N60" s="645"/>
    </row>
    <row r="61" spans="1:14" ht="21" customHeight="1" x14ac:dyDescent="0.2">
      <c r="A61" s="652"/>
      <c r="B61" s="655" t="s">
        <v>623</v>
      </c>
      <c r="C61" s="857">
        <f>SUM('2.mell'!F316)</f>
        <v>136730</v>
      </c>
      <c r="D61" s="857"/>
      <c r="E61" s="770"/>
      <c r="F61" s="858"/>
      <c r="G61" s="770"/>
      <c r="H61" s="770"/>
      <c r="I61" s="770"/>
      <c r="J61" s="770"/>
      <c r="K61" s="770"/>
      <c r="L61" s="480">
        <v>1730</v>
      </c>
      <c r="M61" s="480"/>
      <c r="N61" s="645"/>
    </row>
    <row r="62" spans="1:14" ht="21" customHeight="1" x14ac:dyDescent="0.2">
      <c r="A62" s="652"/>
      <c r="B62" s="655" t="s">
        <v>1136</v>
      </c>
      <c r="C62" s="857">
        <f>SUM('3c.m.'!F224)</f>
        <v>55951</v>
      </c>
      <c r="D62" s="857"/>
      <c r="E62" s="770"/>
      <c r="F62" s="858"/>
      <c r="G62" s="770"/>
      <c r="H62" s="770"/>
      <c r="I62" s="770"/>
      <c r="J62" s="770"/>
      <c r="K62" s="770"/>
      <c r="L62" s="480">
        <v>5951</v>
      </c>
      <c r="M62" s="480"/>
      <c r="N62" s="645"/>
    </row>
    <row r="63" spans="1:14" ht="21" customHeight="1" x14ac:dyDescent="0.2">
      <c r="A63" s="652" t="s">
        <v>524</v>
      </c>
      <c r="B63" s="656" t="s">
        <v>624</v>
      </c>
      <c r="C63" s="856">
        <f>SUM(C64:C74)</f>
        <v>86356</v>
      </c>
      <c r="D63" s="856">
        <f>SUM(E63:N63)</f>
        <v>86356</v>
      </c>
      <c r="E63" s="771"/>
      <c r="F63" s="771">
        <v>73429</v>
      </c>
      <c r="G63" s="771"/>
      <c r="H63" s="771"/>
      <c r="I63" s="770"/>
      <c r="J63" s="770"/>
      <c r="K63" s="771"/>
      <c r="L63" s="616">
        <f>SUM(L64:L74)</f>
        <v>12927</v>
      </c>
      <c r="M63" s="480"/>
      <c r="N63" s="645"/>
    </row>
    <row r="64" spans="1:14" ht="21" customHeight="1" x14ac:dyDescent="0.2">
      <c r="A64" s="658"/>
      <c r="B64" s="655" t="s">
        <v>625</v>
      </c>
      <c r="C64" s="857">
        <f>SUM('3c.m.'!F87)</f>
        <v>31418</v>
      </c>
      <c r="D64" s="857"/>
      <c r="E64" s="770"/>
      <c r="F64" s="770"/>
      <c r="G64" s="770"/>
      <c r="H64" s="770"/>
      <c r="I64" s="770"/>
      <c r="J64" s="770"/>
      <c r="K64" s="770"/>
      <c r="L64" s="480">
        <v>8418</v>
      </c>
      <c r="M64" s="480"/>
      <c r="N64" s="645"/>
    </row>
    <row r="65" spans="1:14" ht="21" customHeight="1" x14ac:dyDescent="0.2">
      <c r="A65" s="658"/>
      <c r="B65" s="655" t="s">
        <v>626</v>
      </c>
      <c r="C65" s="857">
        <f>SUM('3c.m.'!F513)</f>
        <v>8500</v>
      </c>
      <c r="D65" s="857"/>
      <c r="E65" s="770"/>
      <c r="F65" s="770"/>
      <c r="G65" s="770"/>
      <c r="H65" s="770"/>
      <c r="I65" s="770"/>
      <c r="J65" s="770"/>
      <c r="K65" s="770"/>
      <c r="L65" s="480"/>
      <c r="M65" s="480"/>
      <c r="N65" s="645"/>
    </row>
    <row r="66" spans="1:14" ht="21" customHeight="1" x14ac:dyDescent="0.2">
      <c r="A66" s="658"/>
      <c r="B66" s="655" t="s">
        <v>627</v>
      </c>
      <c r="C66" s="857">
        <f>SUM('3c.m.'!F553)</f>
        <v>5000</v>
      </c>
      <c r="D66" s="857"/>
      <c r="E66" s="770"/>
      <c r="F66" s="770"/>
      <c r="G66" s="770"/>
      <c r="H66" s="770"/>
      <c r="I66" s="770"/>
      <c r="J66" s="770"/>
      <c r="K66" s="770"/>
      <c r="L66" s="480"/>
      <c r="M66" s="480"/>
      <c r="N66" s="645"/>
    </row>
    <row r="67" spans="1:14" ht="21" customHeight="1" x14ac:dyDescent="0.2">
      <c r="A67" s="658"/>
      <c r="B67" s="655" t="s">
        <v>628</v>
      </c>
      <c r="C67" s="857">
        <f>SUM('3c.m.'!F577)</f>
        <v>9892</v>
      </c>
      <c r="D67" s="857"/>
      <c r="E67" s="770"/>
      <c r="F67" s="770"/>
      <c r="G67" s="770"/>
      <c r="H67" s="770"/>
      <c r="I67" s="770"/>
      <c r="J67" s="770"/>
      <c r="K67" s="770"/>
      <c r="L67" s="480">
        <v>1392</v>
      </c>
      <c r="M67" s="480"/>
      <c r="N67" s="645"/>
    </row>
    <row r="68" spans="1:14" ht="21" customHeight="1" x14ac:dyDescent="0.2">
      <c r="A68" s="658"/>
      <c r="B68" s="655" t="s">
        <v>629</v>
      </c>
      <c r="C68" s="857">
        <f>SUM('3c.m.'!F585)</f>
        <v>3000</v>
      </c>
      <c r="D68" s="857"/>
      <c r="E68" s="770"/>
      <c r="F68" s="770"/>
      <c r="G68" s="770"/>
      <c r="H68" s="770"/>
      <c r="I68" s="770"/>
      <c r="J68" s="770"/>
      <c r="K68" s="770"/>
      <c r="L68" s="480"/>
      <c r="M68" s="480"/>
      <c r="N68" s="645"/>
    </row>
    <row r="69" spans="1:14" ht="21" customHeight="1" x14ac:dyDescent="0.2">
      <c r="A69" s="658"/>
      <c r="B69" s="655" t="s">
        <v>630</v>
      </c>
      <c r="C69" s="857">
        <f>SUM('3c.m.'!F594)</f>
        <v>880</v>
      </c>
      <c r="D69" s="857"/>
      <c r="E69" s="770"/>
      <c r="F69" s="770"/>
      <c r="G69" s="770"/>
      <c r="H69" s="770"/>
      <c r="I69" s="770"/>
      <c r="J69" s="770"/>
      <c r="K69" s="770"/>
      <c r="L69" s="480"/>
      <c r="M69" s="480"/>
      <c r="N69" s="645"/>
    </row>
    <row r="70" spans="1:14" ht="21" customHeight="1" x14ac:dyDescent="0.2">
      <c r="A70" s="658"/>
      <c r="B70" s="655" t="s">
        <v>631</v>
      </c>
      <c r="C70" s="857">
        <f>SUM('3c.m.'!F619)</f>
        <v>300</v>
      </c>
      <c r="D70" s="857"/>
      <c r="E70" s="770"/>
      <c r="F70" s="770"/>
      <c r="G70" s="770"/>
      <c r="H70" s="770"/>
      <c r="I70" s="770"/>
      <c r="J70" s="770"/>
      <c r="K70" s="770"/>
      <c r="L70" s="480"/>
      <c r="M70" s="480"/>
      <c r="N70" s="645"/>
    </row>
    <row r="71" spans="1:14" ht="21" customHeight="1" x14ac:dyDescent="0.2">
      <c r="A71" s="658"/>
      <c r="B71" s="655" t="s">
        <v>632</v>
      </c>
      <c r="C71" s="857">
        <f>SUM('3c.m.'!F627)</f>
        <v>5310</v>
      </c>
      <c r="D71" s="857"/>
      <c r="E71" s="770"/>
      <c r="F71" s="770"/>
      <c r="G71" s="770"/>
      <c r="H71" s="770"/>
      <c r="I71" s="770"/>
      <c r="J71" s="770"/>
      <c r="K71" s="770"/>
      <c r="L71" s="480">
        <v>677</v>
      </c>
      <c r="M71" s="480"/>
      <c r="N71" s="645"/>
    </row>
    <row r="72" spans="1:14" ht="21" customHeight="1" x14ac:dyDescent="0.2">
      <c r="A72" s="658"/>
      <c r="B72" s="655" t="s">
        <v>633</v>
      </c>
      <c r="C72" s="857">
        <f>SUM('3c.m.'!F635)</f>
        <v>2756</v>
      </c>
      <c r="D72" s="857"/>
      <c r="E72" s="770"/>
      <c r="F72" s="770"/>
      <c r="G72" s="770"/>
      <c r="H72" s="770"/>
      <c r="I72" s="770"/>
      <c r="J72" s="770"/>
      <c r="K72" s="770"/>
      <c r="L72" s="480"/>
      <c r="M72" s="480"/>
      <c r="N72" s="645"/>
    </row>
    <row r="73" spans="1:14" ht="21" customHeight="1" x14ac:dyDescent="0.2">
      <c r="A73" s="658"/>
      <c r="B73" s="655" t="s">
        <v>634</v>
      </c>
      <c r="C73" s="857">
        <f>SUM('3c.m.'!F651)</f>
        <v>7200</v>
      </c>
      <c r="D73" s="857"/>
      <c r="E73" s="770"/>
      <c r="F73" s="770"/>
      <c r="G73" s="770"/>
      <c r="H73" s="770"/>
      <c r="I73" s="770"/>
      <c r="J73" s="770"/>
      <c r="K73" s="770"/>
      <c r="L73" s="480">
        <v>1440</v>
      </c>
      <c r="M73" s="480"/>
      <c r="N73" s="645"/>
    </row>
    <row r="74" spans="1:14" ht="21" customHeight="1" x14ac:dyDescent="0.2">
      <c r="A74" s="658"/>
      <c r="B74" s="655" t="s">
        <v>635</v>
      </c>
      <c r="C74" s="857">
        <f>SUM('3c.m.'!F659)</f>
        <v>12100</v>
      </c>
      <c r="D74" s="857"/>
      <c r="E74" s="770"/>
      <c r="F74" s="770"/>
      <c r="G74" s="770"/>
      <c r="H74" s="770"/>
      <c r="I74" s="770"/>
      <c r="J74" s="770"/>
      <c r="K74" s="770"/>
      <c r="L74" s="480">
        <v>1000</v>
      </c>
      <c r="M74" s="480"/>
      <c r="N74" s="645"/>
    </row>
    <row r="75" spans="1:14" ht="21" customHeight="1" x14ac:dyDescent="0.2">
      <c r="A75" s="652" t="s">
        <v>526</v>
      </c>
      <c r="B75" s="656" t="s">
        <v>636</v>
      </c>
      <c r="C75" s="856">
        <f>SUM(C76)</f>
        <v>1540</v>
      </c>
      <c r="D75" s="856">
        <f>SUM(E75:N75)</f>
        <v>1540</v>
      </c>
      <c r="E75" s="770"/>
      <c r="F75" s="771">
        <v>1540</v>
      </c>
      <c r="G75" s="771"/>
      <c r="H75" s="770"/>
      <c r="I75" s="770"/>
      <c r="J75" s="770"/>
      <c r="K75" s="770"/>
      <c r="L75" s="616"/>
      <c r="M75" s="480"/>
      <c r="N75" s="645"/>
    </row>
    <row r="76" spans="1:14" ht="21" customHeight="1" x14ac:dyDescent="0.2">
      <c r="A76" s="652"/>
      <c r="B76" s="655" t="s">
        <v>637</v>
      </c>
      <c r="C76" s="857">
        <f>SUM('3c.m.'!F611)</f>
        <v>1540</v>
      </c>
      <c r="D76" s="857"/>
      <c r="E76" s="770"/>
      <c r="F76" s="770"/>
      <c r="G76" s="770"/>
      <c r="H76" s="770"/>
      <c r="I76" s="770"/>
      <c r="J76" s="770"/>
      <c r="K76" s="770"/>
      <c r="L76" s="480"/>
      <c r="M76" s="480"/>
      <c r="N76" s="645"/>
    </row>
    <row r="77" spans="1:14" ht="21" customHeight="1" x14ac:dyDescent="0.2">
      <c r="A77" s="652" t="s">
        <v>527</v>
      </c>
      <c r="B77" s="656" t="s">
        <v>638</v>
      </c>
      <c r="C77" s="856">
        <f>SUM(C78:C84)</f>
        <v>326326</v>
      </c>
      <c r="D77" s="856">
        <f>SUM(E77:N77)</f>
        <v>326326</v>
      </c>
      <c r="E77" s="771">
        <f>SUM(E78:E84)</f>
        <v>313826</v>
      </c>
      <c r="F77" s="771">
        <v>12500</v>
      </c>
      <c r="G77" s="771"/>
      <c r="H77" s="770"/>
      <c r="I77" s="770"/>
      <c r="J77" s="770"/>
      <c r="K77" s="770"/>
      <c r="L77" s="616"/>
      <c r="M77" s="480"/>
      <c r="N77" s="645"/>
    </row>
    <row r="78" spans="1:14" ht="21" customHeight="1" x14ac:dyDescent="0.2">
      <c r="A78" s="658"/>
      <c r="B78" s="655" t="s">
        <v>639</v>
      </c>
      <c r="C78" s="857">
        <f>SUM('3c.m.'!F807)</f>
        <v>3000</v>
      </c>
      <c r="D78" s="857"/>
      <c r="E78" s="770"/>
      <c r="F78" s="770"/>
      <c r="G78" s="770"/>
      <c r="H78" s="770"/>
      <c r="I78" s="770"/>
      <c r="J78" s="770"/>
      <c r="K78" s="770"/>
      <c r="L78" s="480"/>
      <c r="M78" s="480"/>
      <c r="N78" s="645"/>
    </row>
    <row r="79" spans="1:14" ht="21" customHeight="1" x14ac:dyDescent="0.2">
      <c r="A79" s="658"/>
      <c r="B79" s="655" t="s">
        <v>640</v>
      </c>
      <c r="C79" s="857">
        <f>SUM('3c.m.'!F815)</f>
        <v>2500</v>
      </c>
      <c r="D79" s="857"/>
      <c r="E79" s="770"/>
      <c r="F79" s="770"/>
      <c r="G79" s="770"/>
      <c r="H79" s="770"/>
      <c r="I79" s="770"/>
      <c r="J79" s="770"/>
      <c r="K79" s="770"/>
      <c r="L79" s="480"/>
      <c r="M79" s="480"/>
      <c r="N79" s="645"/>
    </row>
    <row r="80" spans="1:14" ht="21" customHeight="1" x14ac:dyDescent="0.2">
      <c r="A80" s="658"/>
      <c r="B80" s="655" t="s">
        <v>641</v>
      </c>
      <c r="C80" s="857">
        <f>SUM('3c.m.'!F823)</f>
        <v>0</v>
      </c>
      <c r="D80" s="857"/>
      <c r="E80" s="770"/>
      <c r="F80" s="770"/>
      <c r="G80" s="770"/>
      <c r="H80" s="770"/>
      <c r="I80" s="770"/>
      <c r="J80" s="770"/>
      <c r="K80" s="770"/>
      <c r="L80" s="480"/>
      <c r="M80" s="480"/>
      <c r="N80" s="645"/>
    </row>
    <row r="81" spans="1:14" ht="21" customHeight="1" x14ac:dyDescent="0.2">
      <c r="A81" s="658"/>
      <c r="B81" s="655" t="s">
        <v>642</v>
      </c>
      <c r="C81" s="857">
        <f>SUM('3c.m.'!F831)</f>
        <v>5000</v>
      </c>
      <c r="D81" s="857"/>
      <c r="E81" s="770"/>
      <c r="F81" s="770"/>
      <c r="G81" s="770"/>
      <c r="H81" s="770"/>
      <c r="I81" s="770"/>
      <c r="J81" s="770"/>
      <c r="K81" s="770"/>
      <c r="L81" s="480"/>
      <c r="M81" s="480"/>
      <c r="N81" s="645"/>
    </row>
    <row r="82" spans="1:14" ht="21" customHeight="1" x14ac:dyDescent="0.2">
      <c r="A82" s="658"/>
      <c r="B82" s="655" t="s">
        <v>643</v>
      </c>
      <c r="C82" s="857">
        <f>SUM('3d.m.'!F25)</f>
        <v>2000</v>
      </c>
      <c r="D82" s="857"/>
      <c r="E82" s="770"/>
      <c r="F82" s="770"/>
      <c r="G82" s="770"/>
      <c r="H82" s="770"/>
      <c r="I82" s="770"/>
      <c r="J82" s="770"/>
      <c r="K82" s="770"/>
      <c r="L82" s="480"/>
      <c r="M82" s="480"/>
      <c r="N82" s="645"/>
    </row>
    <row r="83" spans="1:14" ht="19.149999999999999" customHeight="1" x14ac:dyDescent="0.2">
      <c r="A83" s="658"/>
      <c r="B83" s="655" t="s">
        <v>644</v>
      </c>
      <c r="C83" s="857">
        <f>SUM('3d.m.'!F39)</f>
        <v>313826</v>
      </c>
      <c r="D83" s="857"/>
      <c r="E83" s="770">
        <v>313826</v>
      </c>
      <c r="F83" s="770"/>
      <c r="G83" s="770"/>
      <c r="H83" s="770"/>
      <c r="I83" s="770"/>
      <c r="J83" s="770"/>
      <c r="K83" s="770"/>
      <c r="L83" s="480"/>
      <c r="M83" s="480"/>
      <c r="N83" s="645"/>
    </row>
    <row r="84" spans="1:14" ht="21" customHeight="1" x14ac:dyDescent="0.2">
      <c r="A84" s="658"/>
      <c r="B84" s="865" t="s">
        <v>645</v>
      </c>
      <c r="C84" s="857">
        <v>0</v>
      </c>
      <c r="D84" s="857"/>
      <c r="E84" s="770"/>
      <c r="F84" s="770"/>
      <c r="G84" s="770"/>
      <c r="H84" s="770"/>
      <c r="I84" s="770"/>
      <c r="J84" s="770"/>
      <c r="K84" s="770"/>
      <c r="L84" s="480"/>
      <c r="M84" s="480"/>
      <c r="N84" s="645"/>
    </row>
    <row r="85" spans="1:14" ht="21" customHeight="1" x14ac:dyDescent="0.2">
      <c r="A85" s="652" t="s">
        <v>646</v>
      </c>
      <c r="B85" s="656" t="s">
        <v>647</v>
      </c>
      <c r="C85" s="616">
        <f>SUM(C86:C116)</f>
        <v>7635473</v>
      </c>
      <c r="D85" s="616">
        <f>SUM(E85:N85)</f>
        <v>7635473</v>
      </c>
      <c r="E85" s="480"/>
      <c r="F85" s="481">
        <v>2302466</v>
      </c>
      <c r="G85" s="771">
        <v>180000</v>
      </c>
      <c r="H85" s="771"/>
      <c r="I85" s="771"/>
      <c r="J85" s="770"/>
      <c r="K85" s="771">
        <v>231000</v>
      </c>
      <c r="L85" s="616">
        <f>L86+L87+L88+L89+L90+L91+L92+L93+L94+L95+L96+L97+L98+L99+L100+L101+L102+L103+L104+L105+L106+L107+L108+L109+L110+L114+L115+L116+1731577</f>
        <v>4732507</v>
      </c>
      <c r="M85" s="481">
        <v>189500</v>
      </c>
      <c r="N85" s="621"/>
    </row>
    <row r="86" spans="1:14" ht="21" customHeight="1" x14ac:dyDescent="0.2">
      <c r="A86" s="658"/>
      <c r="B86" s="655" t="s">
        <v>648</v>
      </c>
      <c r="C86" s="624">
        <f>SUM('3c.m.'!F97)</f>
        <v>2832235</v>
      </c>
      <c r="D86" s="624"/>
      <c r="E86" s="480"/>
      <c r="F86" s="480"/>
      <c r="G86" s="770"/>
      <c r="H86" s="770"/>
      <c r="I86" s="770"/>
      <c r="J86" s="770"/>
      <c r="K86" s="770"/>
      <c r="L86" s="480">
        <v>618235</v>
      </c>
      <c r="M86" s="480"/>
      <c r="N86" s="645"/>
    </row>
    <row r="87" spans="1:14" ht="21" customHeight="1" x14ac:dyDescent="0.2">
      <c r="A87" s="658"/>
      <c r="B87" s="655" t="s">
        <v>649</v>
      </c>
      <c r="C87" s="857">
        <f>SUM('3c.m.'!F115)</f>
        <v>100422</v>
      </c>
      <c r="D87" s="857"/>
      <c r="E87" s="770"/>
      <c r="F87" s="770"/>
      <c r="G87" s="770"/>
      <c r="H87" s="770"/>
      <c r="I87" s="770"/>
      <c r="J87" s="770"/>
      <c r="K87" s="770"/>
      <c r="L87" s="480">
        <v>28422</v>
      </c>
      <c r="M87" s="480"/>
      <c r="N87" s="645"/>
    </row>
    <row r="88" spans="1:14" ht="21" customHeight="1" x14ac:dyDescent="0.2">
      <c r="A88" s="658"/>
      <c r="B88" s="653" t="s">
        <v>650</v>
      </c>
      <c r="C88" s="857">
        <f>SUM('3c.m.'!F123)</f>
        <v>20272</v>
      </c>
      <c r="D88" s="857"/>
      <c r="E88" s="770"/>
      <c r="F88" s="770"/>
      <c r="G88" s="770"/>
      <c r="H88" s="770"/>
      <c r="I88" s="770"/>
      <c r="J88" s="770"/>
      <c r="K88" s="770"/>
      <c r="L88" s="480">
        <v>272</v>
      </c>
      <c r="M88" s="480"/>
      <c r="N88" s="645"/>
    </row>
    <row r="89" spans="1:14" ht="21" customHeight="1" x14ac:dyDescent="0.2">
      <c r="A89" s="658"/>
      <c r="B89" s="653" t="s">
        <v>651</v>
      </c>
      <c r="C89" s="857">
        <f>SUM('3c.m.'!F140)</f>
        <v>6671</v>
      </c>
      <c r="D89" s="857"/>
      <c r="E89" s="770"/>
      <c r="F89" s="770"/>
      <c r="G89" s="770"/>
      <c r="H89" s="770"/>
      <c r="I89" s="770"/>
      <c r="J89" s="770"/>
      <c r="K89" s="770"/>
      <c r="L89" s="480">
        <v>671</v>
      </c>
      <c r="M89" s="480"/>
      <c r="N89" s="645"/>
    </row>
    <row r="90" spans="1:14" ht="21" customHeight="1" x14ac:dyDescent="0.2">
      <c r="A90" s="658"/>
      <c r="B90" s="653" t="s">
        <v>652</v>
      </c>
      <c r="C90" s="857">
        <f>SUM('3c.m.'!F148)</f>
        <v>4234</v>
      </c>
      <c r="D90" s="857"/>
      <c r="E90" s="770"/>
      <c r="F90" s="770"/>
      <c r="G90" s="770"/>
      <c r="H90" s="770"/>
      <c r="I90" s="770"/>
      <c r="J90" s="770"/>
      <c r="K90" s="770"/>
      <c r="L90" s="480">
        <v>34</v>
      </c>
      <c r="M90" s="480"/>
      <c r="N90" s="645"/>
    </row>
    <row r="91" spans="1:14" ht="21" customHeight="1" x14ac:dyDescent="0.2">
      <c r="A91" s="658"/>
      <c r="B91" s="653" t="s">
        <v>653</v>
      </c>
      <c r="C91" s="857">
        <f>SUM('3c.m.'!F156)</f>
        <v>15861</v>
      </c>
      <c r="D91" s="857"/>
      <c r="E91" s="770"/>
      <c r="F91" s="770"/>
      <c r="G91" s="770"/>
      <c r="H91" s="770"/>
      <c r="I91" s="770"/>
      <c r="J91" s="770"/>
      <c r="K91" s="770"/>
      <c r="L91" s="480">
        <v>861</v>
      </c>
      <c r="M91" s="480"/>
      <c r="N91" s="645"/>
    </row>
    <row r="92" spans="1:14" ht="21" customHeight="1" x14ac:dyDescent="0.2">
      <c r="A92" s="658"/>
      <c r="B92" s="653" t="s">
        <v>654</v>
      </c>
      <c r="C92" s="857">
        <f>SUM('3c.m.'!F164)</f>
        <v>5150</v>
      </c>
      <c r="D92" s="857"/>
      <c r="E92" s="770"/>
      <c r="F92" s="770"/>
      <c r="G92" s="770"/>
      <c r="H92" s="770"/>
      <c r="I92" s="770"/>
      <c r="J92" s="770"/>
      <c r="K92" s="770"/>
      <c r="L92" s="480"/>
      <c r="M92" s="480"/>
      <c r="N92" s="645"/>
    </row>
    <row r="93" spans="1:14" ht="21" customHeight="1" x14ac:dyDescent="0.2">
      <c r="A93" s="658"/>
      <c r="B93" s="653" t="s">
        <v>1127</v>
      </c>
      <c r="C93" s="857">
        <f>'3c.m.'!F172</f>
        <v>5000</v>
      </c>
      <c r="D93" s="857"/>
      <c r="E93" s="770"/>
      <c r="F93" s="770"/>
      <c r="G93" s="770"/>
      <c r="H93" s="770"/>
      <c r="I93" s="770"/>
      <c r="J93" s="770"/>
      <c r="K93" s="770"/>
      <c r="L93" s="480"/>
      <c r="M93" s="480"/>
      <c r="N93" s="645"/>
    </row>
    <row r="94" spans="1:14" ht="21" customHeight="1" x14ac:dyDescent="0.2">
      <c r="A94" s="658"/>
      <c r="B94" s="653" t="s">
        <v>655</v>
      </c>
      <c r="C94" s="857">
        <f>SUM('3c.m.'!F354)</f>
        <v>629777</v>
      </c>
      <c r="D94" s="857"/>
      <c r="E94" s="770"/>
      <c r="F94" s="770"/>
      <c r="G94" s="770"/>
      <c r="H94" s="770"/>
      <c r="I94" s="770"/>
      <c r="J94" s="770"/>
      <c r="K94" s="770"/>
      <c r="L94" s="480">
        <v>24777</v>
      </c>
      <c r="M94" s="480"/>
      <c r="N94" s="645"/>
    </row>
    <row r="95" spans="1:14" ht="21" customHeight="1" x14ac:dyDescent="0.2">
      <c r="A95" s="658"/>
      <c r="B95" s="653" t="s">
        <v>1096</v>
      </c>
      <c r="C95" s="857">
        <f>'4.mell.'!F33</f>
        <v>33002</v>
      </c>
      <c r="D95" s="857"/>
      <c r="E95" s="770"/>
      <c r="F95" s="770"/>
      <c r="G95" s="770"/>
      <c r="H95" s="770"/>
      <c r="I95" s="770"/>
      <c r="J95" s="770"/>
      <c r="K95" s="770"/>
      <c r="L95" s="480">
        <v>33002</v>
      </c>
      <c r="M95" s="480"/>
      <c r="N95" s="645"/>
    </row>
    <row r="96" spans="1:14" ht="21" customHeight="1" x14ac:dyDescent="0.2">
      <c r="A96" s="658"/>
      <c r="B96" s="653" t="s">
        <v>1261</v>
      </c>
      <c r="C96" s="857">
        <f>'4.mell.'!F38</f>
        <v>1371</v>
      </c>
      <c r="D96" s="857"/>
      <c r="E96" s="770"/>
      <c r="F96" s="770"/>
      <c r="G96" s="770"/>
      <c r="H96" s="770"/>
      <c r="I96" s="770"/>
      <c r="J96" s="770"/>
      <c r="K96" s="770"/>
      <c r="L96" s="480">
        <v>1371</v>
      </c>
      <c r="M96" s="480"/>
      <c r="N96" s="645"/>
    </row>
    <row r="97" spans="1:14" ht="21" customHeight="1" x14ac:dyDescent="0.2">
      <c r="A97" s="658"/>
      <c r="B97" s="653" t="s">
        <v>1262</v>
      </c>
      <c r="C97" s="857">
        <f>'4.mell.'!F39</f>
        <v>0</v>
      </c>
      <c r="D97" s="857"/>
      <c r="E97" s="770"/>
      <c r="F97" s="770"/>
      <c r="G97" s="770"/>
      <c r="H97" s="770"/>
      <c r="I97" s="770"/>
      <c r="J97" s="770"/>
      <c r="K97" s="770"/>
      <c r="L97" s="480"/>
      <c r="M97" s="480"/>
      <c r="N97" s="645"/>
    </row>
    <row r="98" spans="1:14" ht="21" customHeight="1" x14ac:dyDescent="0.2">
      <c r="A98" s="658"/>
      <c r="B98" s="653" t="s">
        <v>1266</v>
      </c>
      <c r="C98" s="857">
        <f>'4.mell.'!F40</f>
        <v>5214</v>
      </c>
      <c r="D98" s="857"/>
      <c r="E98" s="770"/>
      <c r="F98" s="770"/>
      <c r="G98" s="770"/>
      <c r="H98" s="770"/>
      <c r="I98" s="770"/>
      <c r="J98" s="770"/>
      <c r="K98" s="770"/>
      <c r="L98" s="480">
        <v>5214</v>
      </c>
      <c r="M98" s="480"/>
      <c r="N98" s="645"/>
    </row>
    <row r="99" spans="1:14" ht="21" customHeight="1" x14ac:dyDescent="0.2">
      <c r="A99" s="658"/>
      <c r="B99" s="653" t="s">
        <v>1263</v>
      </c>
      <c r="C99" s="857">
        <f>'4.mell.'!F41</f>
        <v>806163</v>
      </c>
      <c r="D99" s="857"/>
      <c r="E99" s="770"/>
      <c r="F99" s="770"/>
      <c r="G99" s="770"/>
      <c r="H99" s="770"/>
      <c r="I99" s="770"/>
      <c r="J99" s="770"/>
      <c r="K99" s="770"/>
      <c r="L99" s="480">
        <v>806163</v>
      </c>
      <c r="M99" s="480"/>
      <c r="N99" s="645"/>
    </row>
    <row r="100" spans="1:14" ht="21" customHeight="1" x14ac:dyDescent="0.2">
      <c r="A100" s="658"/>
      <c r="B100" s="655" t="s">
        <v>985</v>
      </c>
      <c r="C100" s="857">
        <f>SUM('4.mell.'!F42)</f>
        <v>214048</v>
      </c>
      <c r="D100" s="857"/>
      <c r="E100" s="770"/>
      <c r="F100" s="770"/>
      <c r="G100" s="770"/>
      <c r="H100" s="770"/>
      <c r="I100" s="770"/>
      <c r="J100" s="770"/>
      <c r="K100" s="770"/>
      <c r="L100" s="480">
        <v>64048</v>
      </c>
      <c r="M100" s="480"/>
      <c r="N100" s="645"/>
    </row>
    <row r="101" spans="1:14" ht="21" customHeight="1" x14ac:dyDescent="0.2">
      <c r="A101" s="658"/>
      <c r="B101" s="655" t="s">
        <v>1265</v>
      </c>
      <c r="C101" s="857">
        <f>'4.mell.'!F45</f>
        <v>50</v>
      </c>
      <c r="D101" s="857"/>
      <c r="E101" s="770"/>
      <c r="F101" s="770"/>
      <c r="G101" s="770"/>
      <c r="H101" s="770"/>
      <c r="I101" s="770"/>
      <c r="J101" s="770"/>
      <c r="K101" s="770"/>
      <c r="L101" s="480">
        <v>50</v>
      </c>
      <c r="M101" s="480"/>
      <c r="N101" s="645"/>
    </row>
    <row r="102" spans="1:14" ht="21" customHeight="1" x14ac:dyDescent="0.2">
      <c r="A102" s="658"/>
      <c r="B102" s="655" t="s">
        <v>1051</v>
      </c>
      <c r="C102" s="857">
        <f>'4.mell.'!F46</f>
        <v>37120</v>
      </c>
      <c r="D102" s="857"/>
      <c r="E102" s="770"/>
      <c r="F102" s="770"/>
      <c r="G102" s="770"/>
      <c r="H102" s="770"/>
      <c r="I102" s="770"/>
      <c r="J102" s="770"/>
      <c r="K102" s="770"/>
      <c r="L102" s="480">
        <v>37120</v>
      </c>
      <c r="M102" s="480"/>
      <c r="N102" s="645"/>
    </row>
    <row r="103" spans="1:14" ht="21" customHeight="1" x14ac:dyDescent="0.2">
      <c r="A103" s="658"/>
      <c r="B103" s="655" t="s">
        <v>656</v>
      </c>
      <c r="C103" s="857">
        <f>SUM('4.mell.'!F65)</f>
        <v>40360</v>
      </c>
      <c r="D103" s="857"/>
      <c r="E103" s="770"/>
      <c r="F103" s="770"/>
      <c r="G103" s="770"/>
      <c r="H103" s="770"/>
      <c r="I103" s="770"/>
      <c r="J103" s="770"/>
      <c r="K103" s="770"/>
      <c r="L103" s="480">
        <v>10360</v>
      </c>
      <c r="M103" s="480"/>
      <c r="N103" s="645"/>
    </row>
    <row r="104" spans="1:14" ht="21" customHeight="1" x14ac:dyDescent="0.2">
      <c r="A104" s="658"/>
      <c r="B104" s="655" t="s">
        <v>657</v>
      </c>
      <c r="C104" s="857">
        <f>SUM('4.mell.'!F69)</f>
        <v>67231</v>
      </c>
      <c r="D104" s="857"/>
      <c r="E104" s="770"/>
      <c r="F104" s="770"/>
      <c r="G104" s="770"/>
      <c r="H104" s="770"/>
      <c r="I104" s="770"/>
      <c r="J104" s="770"/>
      <c r="K104" s="770"/>
      <c r="L104" s="480">
        <v>47231</v>
      </c>
      <c r="M104" s="480"/>
      <c r="N104" s="645"/>
    </row>
    <row r="105" spans="1:14" ht="21" customHeight="1" x14ac:dyDescent="0.2">
      <c r="A105" s="658"/>
      <c r="B105" s="655" t="s">
        <v>1222</v>
      </c>
      <c r="C105" s="857">
        <f>SUM('4.mell.'!F49)</f>
        <v>99949</v>
      </c>
      <c r="D105" s="857"/>
      <c r="E105" s="770"/>
      <c r="F105" s="770"/>
      <c r="G105" s="770"/>
      <c r="H105" s="770"/>
      <c r="I105" s="770"/>
      <c r="J105" s="770"/>
      <c r="K105" s="770"/>
      <c r="L105" s="480">
        <v>99949</v>
      </c>
      <c r="M105" s="480"/>
      <c r="N105" s="645"/>
    </row>
    <row r="106" spans="1:14" ht="21" customHeight="1" x14ac:dyDescent="0.2">
      <c r="A106" s="658"/>
      <c r="B106" s="655" t="s">
        <v>1221</v>
      </c>
      <c r="C106" s="857">
        <f>SUM('4.mell.'!F50)</f>
        <v>79883</v>
      </c>
      <c r="D106" s="857"/>
      <c r="E106" s="770"/>
      <c r="F106" s="770"/>
      <c r="G106" s="770"/>
      <c r="H106" s="770"/>
      <c r="I106" s="770"/>
      <c r="J106" s="770"/>
      <c r="K106" s="770"/>
      <c r="L106" s="480">
        <v>79883</v>
      </c>
      <c r="M106" s="480"/>
      <c r="N106" s="645"/>
    </row>
    <row r="107" spans="1:14" ht="21" customHeight="1" x14ac:dyDescent="0.2">
      <c r="A107" s="658"/>
      <c r="B107" s="655" t="s">
        <v>1220</v>
      </c>
      <c r="C107" s="857">
        <f>SUM('4.mell.'!F51)</f>
        <v>21171</v>
      </c>
      <c r="D107" s="857"/>
      <c r="E107" s="770"/>
      <c r="F107" s="770"/>
      <c r="G107" s="770"/>
      <c r="H107" s="770"/>
      <c r="I107" s="770"/>
      <c r="J107" s="770"/>
      <c r="K107" s="770"/>
      <c r="L107" s="480">
        <v>21171</v>
      </c>
      <c r="M107" s="480"/>
      <c r="N107" s="645"/>
    </row>
    <row r="108" spans="1:14" ht="21" customHeight="1" x14ac:dyDescent="0.2">
      <c r="A108" s="658"/>
      <c r="B108" s="655" t="s">
        <v>1227</v>
      </c>
      <c r="C108" s="857">
        <f>SUM('4.mell.'!F52)</f>
        <v>594491</v>
      </c>
      <c r="D108" s="857"/>
      <c r="E108" s="770"/>
      <c r="F108" s="770"/>
      <c r="G108" s="770"/>
      <c r="H108" s="770"/>
      <c r="I108" s="770"/>
      <c r="J108" s="770"/>
      <c r="K108" s="770"/>
      <c r="L108" s="480">
        <v>213491</v>
      </c>
      <c r="M108" s="480"/>
      <c r="N108" s="645"/>
    </row>
    <row r="109" spans="1:14" ht="21" customHeight="1" x14ac:dyDescent="0.2">
      <c r="A109" s="658"/>
      <c r="B109" s="655" t="s">
        <v>1150</v>
      </c>
      <c r="C109" s="857">
        <f>'4.mell.'!F53</f>
        <v>931974</v>
      </c>
      <c r="D109" s="857"/>
      <c r="E109" s="770"/>
      <c r="F109" s="770"/>
      <c r="G109" s="770"/>
      <c r="H109" s="770"/>
      <c r="I109" s="770"/>
      <c r="J109" s="770"/>
      <c r="K109" s="770"/>
      <c r="L109" s="480">
        <v>650000</v>
      </c>
      <c r="M109" s="480"/>
      <c r="N109" s="645"/>
    </row>
    <row r="110" spans="1:14" ht="21" customHeight="1" x14ac:dyDescent="0.2">
      <c r="A110" s="658"/>
      <c r="B110" s="655" t="s">
        <v>1245</v>
      </c>
      <c r="C110" s="857">
        <f>'4.mell.'!F58</f>
        <v>80000</v>
      </c>
      <c r="D110" s="857"/>
      <c r="E110" s="770"/>
      <c r="F110" s="770"/>
      <c r="G110" s="770"/>
      <c r="H110" s="770"/>
      <c r="I110" s="770"/>
      <c r="J110" s="770"/>
      <c r="K110" s="770"/>
      <c r="L110" s="480"/>
      <c r="M110" s="480"/>
      <c r="N110" s="645"/>
    </row>
    <row r="111" spans="1:14" ht="21" customHeight="1" x14ac:dyDescent="0.2">
      <c r="A111" s="658"/>
      <c r="B111" s="655" t="s">
        <v>1276</v>
      </c>
      <c r="C111" s="857">
        <f>'4.mell.'!F59</f>
        <v>100000</v>
      </c>
      <c r="D111" s="857"/>
      <c r="E111" s="770"/>
      <c r="F111" s="770"/>
      <c r="G111" s="770"/>
      <c r="H111" s="770"/>
      <c r="I111" s="770"/>
      <c r="J111" s="770"/>
      <c r="K111" s="770">
        <v>100000</v>
      </c>
      <c r="L111" s="480"/>
      <c r="M111" s="480"/>
      <c r="N111" s="645"/>
    </row>
    <row r="112" spans="1:14" ht="21" customHeight="1" x14ac:dyDescent="0.2">
      <c r="A112" s="658"/>
      <c r="B112" s="655" t="s">
        <v>1275</v>
      </c>
      <c r="C112" s="857">
        <f>'4.mell.'!F60</f>
        <v>654720</v>
      </c>
      <c r="D112" s="857"/>
      <c r="E112" s="770"/>
      <c r="F112" s="770"/>
      <c r="G112" s="770"/>
      <c r="H112" s="770"/>
      <c r="I112" s="770"/>
      <c r="J112" s="770"/>
      <c r="K112" s="770"/>
      <c r="L112" s="480"/>
      <c r="M112" s="480"/>
      <c r="N112" s="645"/>
    </row>
    <row r="113" spans="1:14" ht="21" customHeight="1" x14ac:dyDescent="0.2">
      <c r="A113" s="658"/>
      <c r="B113" s="655" t="s">
        <v>1274</v>
      </c>
      <c r="C113" s="857">
        <f>'4.mell.'!F61</f>
        <v>12000</v>
      </c>
      <c r="D113" s="857"/>
      <c r="E113" s="770"/>
      <c r="F113" s="770"/>
      <c r="G113" s="770"/>
      <c r="H113" s="770"/>
      <c r="I113" s="770"/>
      <c r="J113" s="770"/>
      <c r="K113" s="770"/>
      <c r="L113" s="480"/>
      <c r="M113" s="480"/>
      <c r="N113" s="645"/>
    </row>
    <row r="114" spans="1:14" ht="21" customHeight="1" x14ac:dyDescent="0.2">
      <c r="A114" s="658"/>
      <c r="B114" s="655" t="s">
        <v>1048</v>
      </c>
      <c r="C114" s="857">
        <f>'4.mell.'!F79</f>
        <v>134645</v>
      </c>
      <c r="D114" s="857"/>
      <c r="E114" s="770"/>
      <c r="F114" s="770"/>
      <c r="G114" s="770"/>
      <c r="H114" s="770"/>
      <c r="I114" s="770"/>
      <c r="J114" s="770"/>
      <c r="K114" s="770"/>
      <c r="L114" s="480">
        <v>157646</v>
      </c>
      <c r="M114" s="480"/>
      <c r="N114" s="645"/>
    </row>
    <row r="115" spans="1:14" ht="21" customHeight="1" x14ac:dyDescent="0.2">
      <c r="A115" s="658"/>
      <c r="B115" s="655" t="s">
        <v>1225</v>
      </c>
      <c r="C115" s="857">
        <f>'4.mell.'!F54</f>
        <v>69960</v>
      </c>
      <c r="D115" s="857"/>
      <c r="E115" s="770"/>
      <c r="F115" s="770"/>
      <c r="G115" s="770"/>
      <c r="H115" s="770"/>
      <c r="I115" s="770"/>
      <c r="J115" s="770"/>
      <c r="K115" s="770"/>
      <c r="L115" s="480">
        <v>69960</v>
      </c>
      <c r="M115" s="480"/>
      <c r="N115" s="645"/>
    </row>
    <row r="116" spans="1:14" ht="21" customHeight="1" x14ac:dyDescent="0.2">
      <c r="A116" s="658"/>
      <c r="B116" s="655" t="s">
        <v>1226</v>
      </c>
      <c r="C116" s="857">
        <f>'4.mell.'!F55</f>
        <v>32499</v>
      </c>
      <c r="D116" s="857"/>
      <c r="E116" s="770"/>
      <c r="F116" s="770"/>
      <c r="G116" s="770"/>
      <c r="H116" s="770"/>
      <c r="I116" s="770"/>
      <c r="J116" s="770"/>
      <c r="K116" s="770"/>
      <c r="L116" s="480">
        <v>30999</v>
      </c>
      <c r="M116" s="480"/>
      <c r="N116" s="645"/>
    </row>
    <row r="117" spans="1:14" ht="21" customHeight="1" x14ac:dyDescent="0.2">
      <c r="A117" s="652" t="s">
        <v>528</v>
      </c>
      <c r="B117" s="656" t="s">
        <v>658</v>
      </c>
      <c r="C117" s="616">
        <v>0</v>
      </c>
      <c r="D117" s="616">
        <f>SUM(E117:M117)</f>
        <v>0</v>
      </c>
      <c r="E117" s="480"/>
      <c r="F117" s="480"/>
      <c r="G117" s="480"/>
      <c r="H117" s="480"/>
      <c r="I117" s="480"/>
      <c r="J117" s="480"/>
      <c r="K117" s="480"/>
      <c r="L117" s="480"/>
      <c r="M117" s="480"/>
      <c r="N117" s="645"/>
    </row>
    <row r="118" spans="1:14" ht="21" customHeight="1" x14ac:dyDescent="0.2">
      <c r="A118" s="652" t="s">
        <v>530</v>
      </c>
      <c r="B118" s="656" t="s">
        <v>659</v>
      </c>
      <c r="C118" s="856">
        <v>0</v>
      </c>
      <c r="D118" s="856">
        <f>SUM(E118:M118)</f>
        <v>0</v>
      </c>
      <c r="E118" s="770"/>
      <c r="F118" s="770"/>
      <c r="G118" s="770"/>
      <c r="H118" s="770"/>
      <c r="I118" s="770"/>
      <c r="J118" s="770"/>
      <c r="K118" s="770"/>
      <c r="L118" s="480"/>
      <c r="M118" s="480"/>
      <c r="N118" s="645"/>
    </row>
    <row r="119" spans="1:14" ht="21" customHeight="1" x14ac:dyDescent="0.2">
      <c r="A119" s="652" t="s">
        <v>532</v>
      </c>
      <c r="B119" s="656" t="s">
        <v>660</v>
      </c>
      <c r="C119" s="856">
        <f>SUM(C120:C127)</f>
        <v>75853</v>
      </c>
      <c r="D119" s="856">
        <f>SUM(E119:M119)</f>
        <v>75853</v>
      </c>
      <c r="E119" s="770"/>
      <c r="F119" s="771">
        <v>53000</v>
      </c>
      <c r="G119" s="771">
        <v>3000</v>
      </c>
      <c r="H119" s="771"/>
      <c r="I119" s="770"/>
      <c r="J119" s="770"/>
      <c r="K119" s="770"/>
      <c r="L119" s="616">
        <f>SUM(L120:L127)</f>
        <v>19853</v>
      </c>
      <c r="M119" s="480"/>
      <c r="N119" s="645"/>
    </row>
    <row r="120" spans="1:14" ht="21" customHeight="1" x14ac:dyDescent="0.2">
      <c r="A120" s="652"/>
      <c r="B120" s="655" t="s">
        <v>661</v>
      </c>
      <c r="C120" s="857">
        <f>SUM('3c.m.'!F190)</f>
        <v>11838</v>
      </c>
      <c r="D120" s="857"/>
      <c r="E120" s="770"/>
      <c r="F120" s="770"/>
      <c r="G120" s="770"/>
      <c r="H120" s="771"/>
      <c r="I120" s="770"/>
      <c r="J120" s="770"/>
      <c r="K120" s="770"/>
      <c r="L120" s="480">
        <v>2838</v>
      </c>
      <c r="M120" s="480"/>
      <c r="N120" s="645"/>
    </row>
    <row r="121" spans="1:14" ht="21" customHeight="1" x14ac:dyDescent="0.2">
      <c r="A121" s="652"/>
      <c r="B121" s="655" t="s">
        <v>662</v>
      </c>
      <c r="C121" s="857">
        <f>SUM('3c.m.'!F198)</f>
        <v>6170</v>
      </c>
      <c r="D121" s="857"/>
      <c r="E121" s="770"/>
      <c r="F121" s="770"/>
      <c r="G121" s="770"/>
      <c r="H121" s="771"/>
      <c r="I121" s="770"/>
      <c r="J121" s="770"/>
      <c r="K121" s="770"/>
      <c r="L121" s="480">
        <v>1170</v>
      </c>
      <c r="M121" s="480"/>
      <c r="N121" s="645"/>
    </row>
    <row r="122" spans="1:14" ht="21" customHeight="1" x14ac:dyDescent="0.2">
      <c r="A122" s="652"/>
      <c r="B122" s="655" t="s">
        <v>663</v>
      </c>
      <c r="C122" s="857">
        <f>SUM('3c.m.'!F215)</f>
        <v>5250</v>
      </c>
      <c r="D122" s="857"/>
      <c r="E122" s="770"/>
      <c r="F122" s="770"/>
      <c r="G122" s="770"/>
      <c r="H122" s="771"/>
      <c r="I122" s="770"/>
      <c r="J122" s="770"/>
      <c r="K122" s="770"/>
      <c r="L122" s="480">
        <v>250</v>
      </c>
      <c r="M122" s="480"/>
      <c r="N122" s="645"/>
    </row>
    <row r="123" spans="1:14" ht="21" customHeight="1" x14ac:dyDescent="0.2">
      <c r="A123" s="652"/>
      <c r="B123" s="655" t="s">
        <v>664</v>
      </c>
      <c r="C123" s="857">
        <f>SUM('3c.m.'!F206)</f>
        <v>9780</v>
      </c>
      <c r="D123" s="857"/>
      <c r="E123" s="770"/>
      <c r="F123" s="770"/>
      <c r="G123" s="770"/>
      <c r="H123" s="770"/>
      <c r="I123" s="770"/>
      <c r="J123" s="770"/>
      <c r="K123" s="770"/>
      <c r="L123" s="480">
        <v>3780</v>
      </c>
      <c r="M123" s="480"/>
      <c r="N123" s="645"/>
    </row>
    <row r="124" spans="1:14" ht="21" customHeight="1" x14ac:dyDescent="0.2">
      <c r="A124" s="652"/>
      <c r="B124" s="655" t="s">
        <v>665</v>
      </c>
      <c r="C124" s="857">
        <f>SUM('3c.m.'!F701)</f>
        <v>3330</v>
      </c>
      <c r="D124" s="857"/>
      <c r="E124" s="770"/>
      <c r="F124" s="770"/>
      <c r="G124" s="770"/>
      <c r="H124" s="770"/>
      <c r="I124" s="770"/>
      <c r="J124" s="770"/>
      <c r="K124" s="770"/>
      <c r="L124" s="480">
        <v>330</v>
      </c>
      <c r="M124" s="480"/>
      <c r="N124" s="645"/>
    </row>
    <row r="125" spans="1:14" ht="21" customHeight="1" x14ac:dyDescent="0.2">
      <c r="A125" s="652"/>
      <c r="B125" s="655" t="s">
        <v>666</v>
      </c>
      <c r="C125" s="857">
        <f>SUM('3c.m.'!F739)</f>
        <v>36298</v>
      </c>
      <c r="D125" s="857"/>
      <c r="E125" s="770"/>
      <c r="F125" s="770"/>
      <c r="G125" s="770"/>
      <c r="H125" s="770"/>
      <c r="I125" s="770"/>
      <c r="J125" s="770"/>
      <c r="K125" s="770"/>
      <c r="L125" s="480">
        <v>10298</v>
      </c>
      <c r="M125" s="480"/>
      <c r="N125" s="645"/>
    </row>
    <row r="126" spans="1:14" ht="21" customHeight="1" x14ac:dyDescent="0.2">
      <c r="A126" s="652"/>
      <c r="B126" s="655" t="s">
        <v>667</v>
      </c>
      <c r="C126" s="857">
        <f>SUM('3c.m.'!F748)</f>
        <v>3187</v>
      </c>
      <c r="D126" s="857"/>
      <c r="E126" s="770"/>
      <c r="F126" s="770"/>
      <c r="G126" s="770"/>
      <c r="H126" s="770"/>
      <c r="I126" s="770"/>
      <c r="J126" s="770"/>
      <c r="K126" s="770"/>
      <c r="L126" s="480">
        <v>1187</v>
      </c>
      <c r="M126" s="480"/>
      <c r="N126" s="645"/>
    </row>
    <row r="127" spans="1:14" ht="21" customHeight="1" x14ac:dyDescent="0.2">
      <c r="A127" s="652"/>
      <c r="B127" s="655" t="s">
        <v>668</v>
      </c>
      <c r="C127" s="624">
        <v>0</v>
      </c>
      <c r="D127" s="857"/>
      <c r="E127" s="770"/>
      <c r="F127" s="770"/>
      <c r="G127" s="770"/>
      <c r="H127" s="770"/>
      <c r="I127" s="770"/>
      <c r="J127" s="770"/>
      <c r="K127" s="770"/>
      <c r="L127" s="480"/>
      <c r="M127" s="480"/>
      <c r="N127" s="645"/>
    </row>
    <row r="128" spans="1:14" ht="21" customHeight="1" x14ac:dyDescent="0.2">
      <c r="A128" s="652" t="s">
        <v>534</v>
      </c>
      <c r="B128" s="656" t="s">
        <v>669</v>
      </c>
      <c r="C128" s="616">
        <f>SUM(C129:C130)</f>
        <v>92530</v>
      </c>
      <c r="D128" s="856">
        <f>SUM(E128:M128)</f>
        <v>92530</v>
      </c>
      <c r="E128" s="770"/>
      <c r="F128" s="771">
        <v>43000</v>
      </c>
      <c r="G128" s="771"/>
      <c r="H128" s="770"/>
      <c r="I128" s="770"/>
      <c r="J128" s="770"/>
      <c r="K128" s="770"/>
      <c r="L128" s="616">
        <f>SUM(L129:L130)</f>
        <v>49530</v>
      </c>
      <c r="M128" s="480"/>
      <c r="N128" s="645"/>
    </row>
    <row r="129" spans="1:14" ht="21" customHeight="1" x14ac:dyDescent="0.2">
      <c r="A129" s="652"/>
      <c r="B129" s="655" t="s">
        <v>670</v>
      </c>
      <c r="C129" s="857">
        <f>SUM('3c.m.'!F269)</f>
        <v>20413</v>
      </c>
      <c r="D129" s="857"/>
      <c r="E129" s="770"/>
      <c r="F129" s="770"/>
      <c r="G129" s="770"/>
      <c r="H129" s="770"/>
      <c r="I129" s="770"/>
      <c r="J129" s="770"/>
      <c r="K129" s="770"/>
      <c r="L129" s="480">
        <v>2413</v>
      </c>
      <c r="M129" s="480"/>
      <c r="N129" s="645"/>
    </row>
    <row r="130" spans="1:14" ht="21" customHeight="1" x14ac:dyDescent="0.2">
      <c r="A130" s="652"/>
      <c r="B130" s="655" t="s">
        <v>671</v>
      </c>
      <c r="C130" s="857">
        <f>SUM('5.mell. '!F47)</f>
        <v>72117</v>
      </c>
      <c r="D130" s="857">
        <v>0</v>
      </c>
      <c r="E130" s="770"/>
      <c r="F130" s="770">
        <v>0</v>
      </c>
      <c r="G130" s="770"/>
      <c r="H130" s="770"/>
      <c r="I130" s="770"/>
      <c r="J130" s="770"/>
      <c r="K130" s="770"/>
      <c r="L130" s="480">
        <v>47117</v>
      </c>
      <c r="M130" s="480"/>
      <c r="N130" s="645"/>
    </row>
    <row r="131" spans="1:14" ht="21" customHeight="1" x14ac:dyDescent="0.2">
      <c r="A131" s="652" t="s">
        <v>536</v>
      </c>
      <c r="B131" s="656" t="s">
        <v>672</v>
      </c>
      <c r="C131" s="856">
        <f>SUM(C132:C134)</f>
        <v>10089</v>
      </c>
      <c r="D131" s="856">
        <f>SUM(E131:M131)</f>
        <v>10089</v>
      </c>
      <c r="E131" s="771"/>
      <c r="F131" s="771">
        <v>9600</v>
      </c>
      <c r="G131" s="771"/>
      <c r="H131" s="770"/>
      <c r="I131" s="770"/>
      <c r="J131" s="770"/>
      <c r="K131" s="770"/>
      <c r="L131" s="616">
        <f>SUM(L132:L134)</f>
        <v>489</v>
      </c>
      <c r="M131" s="480"/>
      <c r="N131" s="645"/>
    </row>
    <row r="132" spans="1:14" ht="21" customHeight="1" x14ac:dyDescent="0.2">
      <c r="A132" s="652"/>
      <c r="B132" s="655" t="s">
        <v>673</v>
      </c>
      <c r="C132" s="857">
        <f>SUM('3c.m.'!F261)</f>
        <v>6100</v>
      </c>
      <c r="D132" s="857"/>
      <c r="E132" s="770"/>
      <c r="F132" s="770"/>
      <c r="G132" s="770"/>
      <c r="H132" s="770"/>
      <c r="I132" s="770"/>
      <c r="J132" s="770"/>
      <c r="K132" s="770"/>
      <c r="L132" s="480"/>
      <c r="M132" s="480"/>
      <c r="N132" s="645"/>
    </row>
    <row r="133" spans="1:14" ht="21" customHeight="1" x14ac:dyDescent="0.2">
      <c r="A133" s="652"/>
      <c r="B133" s="655" t="s">
        <v>674</v>
      </c>
      <c r="C133" s="857">
        <v>0</v>
      </c>
      <c r="D133" s="857">
        <v>0</v>
      </c>
      <c r="E133" s="770"/>
      <c r="F133" s="770">
        <v>0</v>
      </c>
      <c r="G133" s="770"/>
      <c r="H133" s="770"/>
      <c r="I133" s="770"/>
      <c r="J133" s="770"/>
      <c r="K133" s="770"/>
      <c r="L133" s="480"/>
      <c r="M133" s="480"/>
      <c r="N133" s="645"/>
    </row>
    <row r="134" spans="1:14" ht="21" customHeight="1" x14ac:dyDescent="0.2">
      <c r="A134" s="652"/>
      <c r="B134" s="655" t="s">
        <v>675</v>
      </c>
      <c r="C134" s="857">
        <f>SUM('3c.m.'!F864)</f>
        <v>3989</v>
      </c>
      <c r="D134" s="857"/>
      <c r="E134" s="770"/>
      <c r="F134" s="770"/>
      <c r="G134" s="770"/>
      <c r="H134" s="770"/>
      <c r="I134" s="770"/>
      <c r="J134" s="770"/>
      <c r="K134" s="770"/>
      <c r="L134" s="480">
        <v>489</v>
      </c>
      <c r="M134" s="480"/>
      <c r="N134" s="645"/>
    </row>
    <row r="135" spans="1:14" ht="21" customHeight="1" x14ac:dyDescent="0.2">
      <c r="A135" s="659"/>
      <c r="B135" s="656" t="s">
        <v>676</v>
      </c>
      <c r="C135" s="856">
        <f>SUM('3c.m.'!F242)</f>
        <v>274399</v>
      </c>
      <c r="D135" s="856">
        <f>SUM(E135:N135)</f>
        <v>274399</v>
      </c>
      <c r="E135" s="770"/>
      <c r="F135" s="771">
        <v>272459</v>
      </c>
      <c r="G135" s="771">
        <v>8</v>
      </c>
      <c r="H135" s="770"/>
      <c r="I135" s="770"/>
      <c r="J135" s="770"/>
      <c r="K135" s="770"/>
      <c r="L135" s="481">
        <v>1932</v>
      </c>
      <c r="M135" s="480"/>
      <c r="N135" s="645"/>
    </row>
    <row r="136" spans="1:14" ht="21" customHeight="1" x14ac:dyDescent="0.2">
      <c r="A136" s="659"/>
      <c r="B136" s="656" t="s">
        <v>677</v>
      </c>
      <c r="C136" s="856">
        <f>SUM('3c.m.'!F253)</f>
        <v>104110</v>
      </c>
      <c r="D136" s="856">
        <f t="shared" ref="D136:D155" si="0">SUM(E136:N136)</f>
        <v>104110</v>
      </c>
      <c r="E136" s="770"/>
      <c r="F136" s="771">
        <v>70000</v>
      </c>
      <c r="G136" s="771">
        <v>26555</v>
      </c>
      <c r="H136" s="771"/>
      <c r="I136" s="770"/>
      <c r="J136" s="770"/>
      <c r="K136" s="770"/>
      <c r="L136" s="481">
        <v>7555</v>
      </c>
      <c r="M136" s="480"/>
      <c r="N136" s="645"/>
    </row>
    <row r="137" spans="1:14" ht="30.6" customHeight="1" x14ac:dyDescent="0.2">
      <c r="A137" s="659"/>
      <c r="B137" s="496" t="s">
        <v>678</v>
      </c>
      <c r="C137" s="856">
        <f>SUM('3a.m.'!F29+'3a.m.'!F49)-211920</f>
        <v>3666454</v>
      </c>
      <c r="D137" s="856">
        <f t="shared" si="0"/>
        <v>3666454</v>
      </c>
      <c r="E137" s="771">
        <v>837843</v>
      </c>
      <c r="F137" s="771">
        <v>2348704</v>
      </c>
      <c r="G137" s="771">
        <v>74740</v>
      </c>
      <c r="H137" s="771"/>
      <c r="I137" s="770"/>
      <c r="J137" s="770"/>
      <c r="K137" s="771"/>
      <c r="L137" s="481">
        <v>401167</v>
      </c>
      <c r="M137" s="481"/>
      <c r="N137" s="660">
        <v>4000</v>
      </c>
    </row>
    <row r="138" spans="1:14" ht="24.75" customHeight="1" x14ac:dyDescent="0.2">
      <c r="A138" s="659"/>
      <c r="B138" s="496" t="s">
        <v>1268</v>
      </c>
      <c r="C138" s="616">
        <f>SUM('3a.m.'!F39)</f>
        <v>92269</v>
      </c>
      <c r="D138" s="616">
        <f t="shared" si="0"/>
        <v>92269</v>
      </c>
      <c r="E138" s="481"/>
      <c r="F138" s="481">
        <v>53766</v>
      </c>
      <c r="G138" s="771"/>
      <c r="H138" s="771">
        <v>38503</v>
      </c>
      <c r="I138" s="770"/>
      <c r="J138" s="770"/>
      <c r="K138" s="771"/>
      <c r="L138" s="481"/>
      <c r="M138" s="481"/>
      <c r="N138" s="660"/>
    </row>
    <row r="139" spans="1:14" ht="21" customHeight="1" x14ac:dyDescent="0.2">
      <c r="A139" s="659"/>
      <c r="B139" s="656" t="s">
        <v>679</v>
      </c>
      <c r="C139" s="856">
        <f>SUM('3c.m.'!F305)</f>
        <v>19396</v>
      </c>
      <c r="D139" s="856">
        <f t="shared" si="0"/>
        <v>19396</v>
      </c>
      <c r="E139" s="770"/>
      <c r="F139" s="771">
        <v>18000</v>
      </c>
      <c r="G139" s="771"/>
      <c r="H139" s="770"/>
      <c r="I139" s="770"/>
      <c r="J139" s="770"/>
      <c r="K139" s="770"/>
      <c r="L139" s="481">
        <v>1396</v>
      </c>
      <c r="M139" s="480"/>
      <c r="N139" s="660"/>
    </row>
    <row r="140" spans="1:14" ht="21" customHeight="1" x14ac:dyDescent="0.2">
      <c r="A140" s="659"/>
      <c r="B140" s="656" t="s">
        <v>680</v>
      </c>
      <c r="C140" s="856">
        <f>SUM('3c.m.'!F397)</f>
        <v>28100</v>
      </c>
      <c r="D140" s="856">
        <f t="shared" si="0"/>
        <v>28100</v>
      </c>
      <c r="E140" s="770"/>
      <c r="F140" s="771">
        <v>20000</v>
      </c>
      <c r="G140" s="771">
        <v>8100</v>
      </c>
      <c r="H140" s="771"/>
      <c r="I140" s="770"/>
      <c r="J140" s="770"/>
      <c r="K140" s="770"/>
      <c r="L140" s="481"/>
      <c r="M140" s="480"/>
      <c r="N140" s="660"/>
    </row>
    <row r="141" spans="1:14" ht="21" customHeight="1" x14ac:dyDescent="0.2">
      <c r="A141" s="659"/>
      <c r="B141" s="656" t="s">
        <v>681</v>
      </c>
      <c r="C141" s="856">
        <f>SUM('3d.m.'!F15)</f>
        <v>179600</v>
      </c>
      <c r="D141" s="856">
        <f t="shared" si="0"/>
        <v>179600</v>
      </c>
      <c r="E141" s="770"/>
      <c r="F141" s="771">
        <v>167300</v>
      </c>
      <c r="G141" s="771">
        <v>12300</v>
      </c>
      <c r="H141" s="770"/>
      <c r="I141" s="770"/>
      <c r="J141" s="770"/>
      <c r="K141" s="770"/>
      <c r="L141" s="481"/>
      <c r="M141" s="480"/>
      <c r="N141" s="660"/>
    </row>
    <row r="142" spans="1:14" ht="21" customHeight="1" x14ac:dyDescent="0.2">
      <c r="A142" s="659"/>
      <c r="B142" s="656" t="s">
        <v>994</v>
      </c>
      <c r="C142" s="856">
        <f>SUM('6.mell. '!F21)</f>
        <v>7583</v>
      </c>
      <c r="D142" s="856">
        <f t="shared" si="0"/>
        <v>7583</v>
      </c>
      <c r="E142" s="770"/>
      <c r="F142" s="771"/>
      <c r="G142" s="771"/>
      <c r="H142" s="770"/>
      <c r="I142" s="770"/>
      <c r="J142" s="770"/>
      <c r="K142" s="770"/>
      <c r="L142" s="481">
        <v>7583</v>
      </c>
      <c r="M142" s="480"/>
      <c r="N142" s="660"/>
    </row>
    <row r="143" spans="1:14" ht="21" customHeight="1" x14ac:dyDescent="0.2">
      <c r="A143" s="659"/>
      <c r="B143" s="656" t="s">
        <v>1105</v>
      </c>
      <c r="C143" s="856">
        <f>SUM('6.mell. '!F12)</f>
        <v>50000</v>
      </c>
      <c r="D143" s="856">
        <f t="shared" si="0"/>
        <v>50000</v>
      </c>
      <c r="E143" s="770"/>
      <c r="F143" s="771">
        <v>24384</v>
      </c>
      <c r="G143" s="771">
        <v>25616</v>
      </c>
      <c r="H143" s="771"/>
      <c r="I143" s="770"/>
      <c r="J143" s="771"/>
      <c r="K143" s="770"/>
      <c r="L143" s="481"/>
      <c r="M143" s="480"/>
      <c r="N143" s="660"/>
    </row>
    <row r="144" spans="1:14" ht="21" customHeight="1" x14ac:dyDescent="0.2">
      <c r="A144" s="659"/>
      <c r="B144" s="656" t="s">
        <v>682</v>
      </c>
      <c r="C144" s="856">
        <f>SUM('1c.mell '!F62)</f>
        <v>63000</v>
      </c>
      <c r="D144" s="856">
        <f t="shared" si="0"/>
        <v>63000</v>
      </c>
      <c r="E144" s="770"/>
      <c r="F144" s="771">
        <v>25000</v>
      </c>
      <c r="G144" s="771">
        <v>38000</v>
      </c>
      <c r="H144" s="770"/>
      <c r="I144" s="770"/>
      <c r="J144" s="770"/>
      <c r="K144" s="770"/>
      <c r="L144" s="481"/>
      <c r="M144" s="480"/>
      <c r="N144" s="660"/>
    </row>
    <row r="145" spans="1:14" ht="21" customHeight="1" x14ac:dyDescent="0.2">
      <c r="A145" s="659"/>
      <c r="B145" s="656" t="s">
        <v>683</v>
      </c>
      <c r="C145" s="856">
        <f>SUM('1c.mell '!F64)</f>
        <v>20674</v>
      </c>
      <c r="D145" s="856">
        <f t="shared" si="0"/>
        <v>20674</v>
      </c>
      <c r="E145" s="770"/>
      <c r="F145" s="771">
        <v>20674</v>
      </c>
      <c r="G145" s="771"/>
      <c r="H145" s="770"/>
      <c r="I145" s="770"/>
      <c r="J145" s="770"/>
      <c r="K145" s="770"/>
      <c r="L145" s="481"/>
      <c r="M145" s="480"/>
      <c r="N145" s="660"/>
    </row>
    <row r="146" spans="1:14" ht="21" customHeight="1" x14ac:dyDescent="0.2">
      <c r="A146" s="659"/>
      <c r="B146" s="656" t="s">
        <v>684</v>
      </c>
      <c r="C146" s="856">
        <f>SUM('1c.mell '!F66)</f>
        <v>2270550</v>
      </c>
      <c r="D146" s="856">
        <f t="shared" si="0"/>
        <v>2270550</v>
      </c>
      <c r="E146" s="771"/>
      <c r="F146" s="771">
        <v>2270550</v>
      </c>
      <c r="G146" s="771"/>
      <c r="H146" s="770"/>
      <c r="I146" s="770"/>
      <c r="J146" s="770"/>
      <c r="K146" s="770"/>
      <c r="L146" s="481"/>
      <c r="M146" s="480"/>
      <c r="N146" s="660"/>
    </row>
    <row r="147" spans="1:14" ht="15" x14ac:dyDescent="0.2">
      <c r="A147" s="659"/>
      <c r="B147" s="656" t="s">
        <v>685</v>
      </c>
      <c r="C147" s="616">
        <f>SUM('1c.mell '!F68)</f>
        <v>580276</v>
      </c>
      <c r="D147" s="616">
        <f>SUM(E147:N147)</f>
        <v>580276</v>
      </c>
      <c r="E147" s="480"/>
      <c r="F147" s="481">
        <v>405847</v>
      </c>
      <c r="G147" s="481"/>
      <c r="H147" s="480"/>
      <c r="I147" s="480"/>
      <c r="J147" s="480"/>
      <c r="K147" s="480"/>
      <c r="L147" s="481">
        <v>174429</v>
      </c>
      <c r="M147" s="481">
        <v>0</v>
      </c>
      <c r="N147" s="660"/>
    </row>
    <row r="148" spans="1:14" ht="15" x14ac:dyDescent="0.2">
      <c r="A148" s="659"/>
      <c r="B148" s="656" t="s">
        <v>1264</v>
      </c>
      <c r="C148" s="856">
        <f>'1c.mell '!F70</f>
        <v>2614</v>
      </c>
      <c r="D148" s="856">
        <f>SUM(E148:N148)</f>
        <v>2614</v>
      </c>
      <c r="E148" s="771">
        <v>2614</v>
      </c>
      <c r="F148" s="771"/>
      <c r="G148" s="771"/>
      <c r="H148" s="770"/>
      <c r="I148" s="770"/>
      <c r="J148" s="770"/>
      <c r="K148" s="770"/>
      <c r="L148" s="481"/>
      <c r="M148" s="481"/>
      <c r="N148" s="660"/>
    </row>
    <row r="149" spans="1:14" ht="15" x14ac:dyDescent="0.2">
      <c r="A149" s="659"/>
      <c r="B149" s="656" t="s">
        <v>1344</v>
      </c>
      <c r="C149" s="856">
        <f>'1c.mell '!F75</f>
        <v>0</v>
      </c>
      <c r="D149" s="856">
        <f>SUM(E149:N149)</f>
        <v>0</v>
      </c>
      <c r="E149" s="770"/>
      <c r="F149" s="771"/>
      <c r="G149" s="771"/>
      <c r="H149" s="770"/>
      <c r="I149" s="770"/>
      <c r="J149" s="770"/>
      <c r="K149" s="770"/>
      <c r="L149" s="481"/>
      <c r="M149" s="481"/>
      <c r="N149" s="660"/>
    </row>
    <row r="150" spans="1:14" ht="15" x14ac:dyDescent="0.2">
      <c r="A150" s="659"/>
      <c r="B150" s="656" t="s">
        <v>1267</v>
      </c>
      <c r="C150" s="856">
        <f>'1c.mell '!F97</f>
        <v>1053866</v>
      </c>
      <c r="D150" s="856">
        <f>SUM(E150:N150)</f>
        <v>1053866</v>
      </c>
      <c r="E150" s="770"/>
      <c r="F150" s="771"/>
      <c r="G150" s="771"/>
      <c r="H150" s="770"/>
      <c r="I150" s="770"/>
      <c r="J150" s="770"/>
      <c r="K150" s="770"/>
      <c r="L150" s="481"/>
      <c r="M150" s="481"/>
      <c r="N150" s="660">
        <v>1053866</v>
      </c>
    </row>
    <row r="151" spans="1:14" ht="15" x14ac:dyDescent="0.2">
      <c r="A151" s="659"/>
      <c r="B151" s="656" t="s">
        <v>686</v>
      </c>
      <c r="C151" s="616">
        <f>SUM('1c.mell '!F98)</f>
        <v>131554</v>
      </c>
      <c r="D151" s="856">
        <f t="shared" si="0"/>
        <v>131554</v>
      </c>
      <c r="E151" s="770"/>
      <c r="F151" s="771"/>
      <c r="G151" s="771"/>
      <c r="H151" s="770"/>
      <c r="I151" s="770"/>
      <c r="J151" s="770"/>
      <c r="K151" s="770"/>
      <c r="L151" s="481">
        <v>131554</v>
      </c>
      <c r="M151" s="480"/>
      <c r="N151" s="660"/>
    </row>
    <row r="152" spans="1:14" ht="15" x14ac:dyDescent="0.2">
      <c r="A152" s="659"/>
      <c r="B152" s="656" t="s">
        <v>687</v>
      </c>
      <c r="C152" s="856">
        <f>SUM('1c.mell '!F106)</f>
        <v>12000</v>
      </c>
      <c r="D152" s="856">
        <f t="shared" si="0"/>
        <v>12000</v>
      </c>
      <c r="E152" s="770"/>
      <c r="F152" s="771">
        <v>12000</v>
      </c>
      <c r="G152" s="771"/>
      <c r="H152" s="770"/>
      <c r="I152" s="771"/>
      <c r="J152" s="770"/>
      <c r="K152" s="770"/>
      <c r="L152" s="481"/>
      <c r="M152" s="480"/>
      <c r="N152" s="660"/>
    </row>
    <row r="153" spans="1:14" ht="21" customHeight="1" x14ac:dyDescent="0.2">
      <c r="A153" s="659"/>
      <c r="B153" s="656" t="s">
        <v>688</v>
      </c>
      <c r="C153" s="856">
        <f>SUM('2.mell'!F438)-'12.mell'!E8</f>
        <v>3635911</v>
      </c>
      <c r="D153" s="616">
        <f>SUM(E153:N153)</f>
        <v>3635911</v>
      </c>
      <c r="E153" s="771">
        <v>432000</v>
      </c>
      <c r="F153" s="771">
        <v>1513825</v>
      </c>
      <c r="G153" s="771">
        <v>1689053</v>
      </c>
      <c r="H153" s="771"/>
      <c r="I153" s="770"/>
      <c r="J153" s="770"/>
      <c r="K153" s="770"/>
      <c r="L153" s="481">
        <v>1033</v>
      </c>
      <c r="M153" s="480"/>
      <c r="N153" s="645"/>
    </row>
    <row r="154" spans="1:14" ht="21" customHeight="1" x14ac:dyDescent="0.2">
      <c r="A154" s="652"/>
      <c r="B154" s="656" t="s">
        <v>689</v>
      </c>
      <c r="C154" s="856">
        <f>SUM('2.mell'!F512)</f>
        <v>1115072</v>
      </c>
      <c r="D154" s="616">
        <f t="shared" si="0"/>
        <v>1115072</v>
      </c>
      <c r="E154" s="771">
        <v>235337</v>
      </c>
      <c r="F154" s="771">
        <v>831414</v>
      </c>
      <c r="G154" s="771">
        <v>41286</v>
      </c>
      <c r="H154" s="771"/>
      <c r="I154" s="771"/>
      <c r="J154" s="770"/>
      <c r="K154" s="770"/>
      <c r="L154" s="481">
        <v>7035</v>
      </c>
      <c r="M154" s="480"/>
      <c r="N154" s="645"/>
    </row>
    <row r="155" spans="1:14" ht="21" customHeight="1" x14ac:dyDescent="0.2">
      <c r="A155" s="652"/>
      <c r="B155" s="656" t="s">
        <v>690</v>
      </c>
      <c r="C155" s="856">
        <f>SUM('2.mell'!F547)</f>
        <v>1503816</v>
      </c>
      <c r="D155" s="616">
        <f t="shared" si="0"/>
        <v>1503816</v>
      </c>
      <c r="E155" s="771">
        <f>968552+31407</f>
        <v>999959</v>
      </c>
      <c r="F155" s="771">
        <v>337892</v>
      </c>
      <c r="G155" s="771">
        <v>156520</v>
      </c>
      <c r="H155" s="771"/>
      <c r="I155" s="771"/>
      <c r="J155" s="771"/>
      <c r="K155" s="771"/>
      <c r="L155" s="481">
        <v>9445</v>
      </c>
      <c r="M155" s="480"/>
      <c r="N155" s="645"/>
    </row>
    <row r="156" spans="1:14" ht="21" customHeight="1" x14ac:dyDescent="0.2">
      <c r="A156" s="652"/>
      <c r="B156" s="656" t="s">
        <v>691</v>
      </c>
      <c r="C156" s="856">
        <f>SUM('2.mell'!F621)</f>
        <v>476563</v>
      </c>
      <c r="D156" s="616">
        <f>SUM(E156:N156)</f>
        <v>476563</v>
      </c>
      <c r="E156" s="771">
        <f>30311+30377</f>
        <v>60688</v>
      </c>
      <c r="F156" s="771">
        <v>370082</v>
      </c>
      <c r="G156" s="771">
        <v>35569</v>
      </c>
      <c r="H156" s="771"/>
      <c r="I156" s="770"/>
      <c r="J156" s="771"/>
      <c r="K156" s="770"/>
      <c r="L156" s="481">
        <v>10224</v>
      </c>
      <c r="M156" s="481"/>
      <c r="N156" s="645"/>
    </row>
    <row r="157" spans="1:14" ht="21" customHeight="1" x14ac:dyDescent="0.2">
      <c r="A157" s="652"/>
      <c r="B157" s="656" t="s">
        <v>1256</v>
      </c>
      <c r="C157" s="856">
        <f>SUM('2.mell'!F693)</f>
        <v>2647443</v>
      </c>
      <c r="D157" s="856">
        <f>SUM(E157:N157)</f>
        <v>2647443</v>
      </c>
      <c r="E157" s="771"/>
      <c r="F157" s="771">
        <v>445950</v>
      </c>
      <c r="G157" s="771">
        <v>198800</v>
      </c>
      <c r="H157" s="771">
        <v>2002693</v>
      </c>
      <c r="I157" s="770"/>
      <c r="J157" s="771"/>
      <c r="K157" s="770"/>
      <c r="L157" s="481"/>
      <c r="M157" s="481"/>
      <c r="N157" s="645"/>
    </row>
    <row r="158" spans="1:14" ht="21" customHeight="1" x14ac:dyDescent="0.2">
      <c r="A158" s="652"/>
      <c r="B158" s="656"/>
      <c r="C158" s="624"/>
      <c r="D158" s="857"/>
      <c r="E158" s="770"/>
      <c r="F158" s="770"/>
      <c r="G158" s="770"/>
      <c r="H158" s="770"/>
      <c r="I158" s="770"/>
      <c r="J158" s="770"/>
      <c r="K158" s="770"/>
      <c r="L158" s="480"/>
      <c r="M158" s="480"/>
      <c r="N158" s="645"/>
    </row>
    <row r="159" spans="1:14" ht="21" customHeight="1" x14ac:dyDescent="0.2">
      <c r="A159" s="652"/>
      <c r="B159" s="661" t="s">
        <v>692</v>
      </c>
      <c r="C159" s="481">
        <f>SUM(C10+C36+C38+C40+C48+C52+C63+C75+C77+C85+C119+C128+C131+C135+C136+C137+C138+C139+C140+C141+C142+C143+C144+C145+C146+C147+C149+C151+C152+C153+C154+C155+C156+C157)+C148+C150</f>
        <v>33095774</v>
      </c>
      <c r="D159" s="481">
        <f>SUM(D10+D36+D38+D40+D48+D52+D63+D75+D77+D85+D119+D128+D131+D135+D136+D137+D138+D139+D140+D141+D142+D143+D144+D145+D146+D147+D151+D152+D153+D154+D155+D156+D157)+D148+D149+D150</f>
        <v>33095774</v>
      </c>
      <c r="E159" s="481">
        <f t="shared" ref="E159:N159" si="1">SUM(E10+E36+E38+E40+E48+E52+E63+E75+E77+E85+E119+E128+E131+E135+E136+E137+E138+E139+E140+E141+E142+E143+E144+E145+E146+E147+E151+E152+E153+E154+E155+E156+E157)</f>
        <v>4424851</v>
      </c>
      <c r="F159" s="481">
        <f t="shared" si="1"/>
        <v>14643538</v>
      </c>
      <c r="G159" s="481">
        <f t="shared" si="1"/>
        <v>2992785</v>
      </c>
      <c r="H159" s="481">
        <f t="shared" si="1"/>
        <v>2041196</v>
      </c>
      <c r="I159" s="481">
        <f t="shared" si="1"/>
        <v>0</v>
      </c>
      <c r="J159" s="481">
        <f t="shared" si="1"/>
        <v>0</v>
      </c>
      <c r="K159" s="481">
        <f t="shared" si="1"/>
        <v>231000</v>
      </c>
      <c r="L159" s="481">
        <f t="shared" si="1"/>
        <v>7512424</v>
      </c>
      <c r="M159" s="481">
        <f t="shared" si="1"/>
        <v>189500</v>
      </c>
      <c r="N159" s="481">
        <f t="shared" si="1"/>
        <v>4000</v>
      </c>
    </row>
    <row r="160" spans="1:14" ht="21" customHeight="1" x14ac:dyDescent="0.2">
      <c r="A160" s="652"/>
      <c r="B160" s="656"/>
      <c r="C160" s="624"/>
      <c r="D160" s="624"/>
      <c r="E160" s="480"/>
      <c r="F160" s="480"/>
      <c r="G160" s="480"/>
      <c r="H160" s="480"/>
      <c r="I160" s="480"/>
      <c r="J160" s="480"/>
      <c r="K160" s="480"/>
      <c r="L160" s="480"/>
      <c r="M160" s="480"/>
      <c r="N160" s="645"/>
    </row>
    <row r="162" spans="2:2" x14ac:dyDescent="0.2">
      <c r="B162" s="796"/>
    </row>
  </sheetData>
  <autoFilter ref="A9:N156" xr:uid="{00000000-0009-0000-0000-00000E000000}"/>
  <mergeCells count="13">
    <mergeCell ref="L8:L9"/>
    <mergeCell ref="M8:M9"/>
    <mergeCell ref="N8:N9"/>
    <mergeCell ref="A3:N3"/>
    <mergeCell ref="B4:M4"/>
    <mergeCell ref="B5:M5"/>
    <mergeCell ref="B8:B9"/>
    <mergeCell ref="C8:C9"/>
    <mergeCell ref="D8:D9"/>
    <mergeCell ref="E8:E9"/>
    <mergeCell ref="F8:F9"/>
    <mergeCell ref="H8:I8"/>
    <mergeCell ref="J8:K8"/>
  </mergeCells>
  <pageMargins left="0.39370078740157483" right="0.39370078740157483" top="0.39370078740157483" bottom="0.39370078740157483" header="0.51181102362204722" footer="0"/>
  <pageSetup paperSize="9" scale="56" firstPageNumber="50" orientation="landscape" useFirstPageNumber="1" r:id="rId1"/>
  <headerFooter alignWithMargins="0">
    <oddFooter>&amp;C&amp;P. oldal</oddFooter>
  </headerFooter>
  <rowBreaks count="3" manualBreakCount="3">
    <brk id="46" max="16383" man="1"/>
    <brk id="84" max="16383" man="1"/>
    <brk id="127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96"/>
  <sheetViews>
    <sheetView view="pageBreakPreview" topLeftCell="A52" zoomScale="60" zoomScaleNormal="98" workbookViewId="0">
      <selection activeCell="A78" sqref="A78:XFD78"/>
    </sheetView>
  </sheetViews>
  <sheetFormatPr defaultColWidth="9.140625" defaultRowHeight="12.75" x14ac:dyDescent="0.2"/>
  <cols>
    <col min="1" max="1" width="7.5703125" style="478" customWidth="1"/>
    <col min="2" max="2" width="49.5703125" style="478" customWidth="1"/>
    <col min="3" max="3" width="13.85546875" style="478" customWidth="1"/>
    <col min="4" max="4" width="13" style="478" customWidth="1"/>
    <col min="5" max="5" width="11.140625" style="478" customWidth="1"/>
    <col min="6" max="6" width="11.85546875" style="478" customWidth="1"/>
    <col min="7" max="7" width="12.140625" style="478" customWidth="1"/>
    <col min="8" max="8" width="11.42578125" style="478" customWidth="1"/>
    <col min="9" max="9" width="10.5703125" style="478" bestFit="1" customWidth="1"/>
    <col min="10" max="10" width="11.140625" style="478" customWidth="1"/>
    <col min="11" max="11" width="11.5703125" style="478" customWidth="1"/>
    <col min="12" max="12" width="10.85546875" style="478" customWidth="1"/>
    <col min="13" max="13" width="11" style="478" customWidth="1"/>
    <col min="14" max="16384" width="9.140625" style="478"/>
  </cols>
  <sheetData>
    <row r="1" spans="1:13" x14ac:dyDescent="0.2">
      <c r="A1" s="1341" t="s">
        <v>693</v>
      </c>
      <c r="B1" s="1341"/>
      <c r="C1" s="1341"/>
      <c r="D1" s="1341"/>
      <c r="E1" s="1341"/>
      <c r="F1" s="1341"/>
      <c r="G1" s="1341"/>
      <c r="H1" s="1341"/>
      <c r="I1" s="1341"/>
      <c r="J1" s="1341"/>
      <c r="K1" s="1341"/>
      <c r="L1" s="1341"/>
      <c r="M1" s="1341"/>
    </row>
    <row r="2" spans="1:13" ht="18.75" x14ac:dyDescent="0.2">
      <c r="B2" s="1342" t="s">
        <v>694</v>
      </c>
      <c r="C2" s="1342"/>
      <c r="D2" s="1342"/>
      <c r="E2" s="1342"/>
      <c r="F2" s="1342"/>
      <c r="G2" s="1342"/>
      <c r="H2" s="1342"/>
      <c r="I2" s="1342"/>
      <c r="J2" s="1342"/>
      <c r="K2" s="1342"/>
      <c r="L2" s="1342"/>
    </row>
    <row r="3" spans="1:13" ht="18.75" x14ac:dyDescent="0.3">
      <c r="B3" s="1343" t="s">
        <v>1176</v>
      </c>
      <c r="C3" s="1343"/>
      <c r="D3" s="1343"/>
      <c r="E3" s="1343"/>
      <c r="F3" s="1343"/>
      <c r="G3" s="1343"/>
      <c r="H3" s="1343"/>
      <c r="I3" s="1343"/>
      <c r="J3" s="1343"/>
      <c r="K3" s="1343"/>
      <c r="L3" s="1343"/>
    </row>
    <row r="4" spans="1:13" ht="9.75" customHeight="1" x14ac:dyDescent="0.2">
      <c r="C4" s="634"/>
      <c r="F4" s="635"/>
      <c r="G4" s="635"/>
      <c r="H4" s="635"/>
      <c r="I4" s="635"/>
      <c r="J4" s="635"/>
      <c r="K4" s="635"/>
      <c r="L4" s="635"/>
      <c r="M4" s="767" t="s">
        <v>456</v>
      </c>
    </row>
    <row r="5" spans="1:13" ht="27" customHeight="1" x14ac:dyDescent="0.2">
      <c r="A5" s="636"/>
      <c r="B5" s="1339" t="s">
        <v>695</v>
      </c>
      <c r="C5" s="1324" t="s">
        <v>1373</v>
      </c>
      <c r="D5" s="1339" t="s">
        <v>696</v>
      </c>
      <c r="E5" s="1324" t="s">
        <v>577</v>
      </c>
      <c r="F5" s="1324" t="s">
        <v>584</v>
      </c>
      <c r="G5" s="1339" t="s">
        <v>579</v>
      </c>
      <c r="H5" s="1339"/>
      <c r="I5" s="1339" t="s">
        <v>580</v>
      </c>
      <c r="J5" s="1339"/>
      <c r="K5" s="1339" t="s">
        <v>697</v>
      </c>
      <c r="L5" s="1324" t="s">
        <v>698</v>
      </c>
      <c r="M5" s="1339" t="s">
        <v>699</v>
      </c>
    </row>
    <row r="6" spans="1:13" ht="41.25" customHeight="1" x14ac:dyDescent="0.2">
      <c r="A6" s="637"/>
      <c r="B6" s="1339"/>
      <c r="C6" s="1329"/>
      <c r="D6" s="1339"/>
      <c r="E6" s="1329"/>
      <c r="F6" s="1154"/>
      <c r="G6" s="482" t="s">
        <v>700</v>
      </c>
      <c r="H6" s="482" t="s">
        <v>701</v>
      </c>
      <c r="I6" s="482" t="s">
        <v>702</v>
      </c>
      <c r="J6" s="482" t="s">
        <v>701</v>
      </c>
      <c r="K6" s="1339"/>
      <c r="L6" s="1340"/>
      <c r="M6" s="1339"/>
    </row>
    <row r="7" spans="1:13" ht="22.15" customHeight="1" x14ac:dyDescent="0.2">
      <c r="A7" s="638">
        <v>2986</v>
      </c>
      <c r="B7" s="617" t="s">
        <v>337</v>
      </c>
      <c r="C7" s="617">
        <f>SUM('2.mell'!F657)</f>
        <v>288755</v>
      </c>
      <c r="D7" s="483">
        <f t="shared" ref="D7:D44" si="0">SUM(E7:M7)</f>
        <v>288755</v>
      </c>
      <c r="E7" s="483">
        <v>250769</v>
      </c>
      <c r="F7" s="618">
        <v>37309</v>
      </c>
      <c r="G7" s="617">
        <v>500</v>
      </c>
      <c r="H7" s="617"/>
      <c r="I7" s="617"/>
      <c r="J7" s="617"/>
      <c r="K7" s="617">
        <v>177</v>
      </c>
      <c r="L7" s="617"/>
      <c r="M7" s="619"/>
    </row>
    <row r="8" spans="1:13" ht="22.15" customHeight="1" x14ac:dyDescent="0.2">
      <c r="A8" s="638">
        <v>2975</v>
      </c>
      <c r="B8" s="797" t="s">
        <v>1186</v>
      </c>
      <c r="C8" s="772">
        <v>162803</v>
      </c>
      <c r="D8" s="483">
        <f t="shared" si="0"/>
        <v>162803</v>
      </c>
      <c r="E8" s="483">
        <v>162803</v>
      </c>
      <c r="F8" s="618"/>
      <c r="G8" s="617"/>
      <c r="H8" s="617"/>
      <c r="I8" s="617"/>
      <c r="J8" s="617"/>
      <c r="K8" s="617"/>
      <c r="L8" s="617"/>
      <c r="M8" s="619"/>
    </row>
    <row r="9" spans="1:13" ht="22.15" customHeight="1" x14ac:dyDescent="0.2">
      <c r="A9" s="639">
        <v>3011</v>
      </c>
      <c r="B9" s="640" t="s">
        <v>91</v>
      </c>
      <c r="C9" s="773">
        <f>SUM('3a.m.'!F18)</f>
        <v>18225</v>
      </c>
      <c r="D9" s="483">
        <f t="shared" si="0"/>
        <v>18225</v>
      </c>
      <c r="E9" s="483">
        <v>15450</v>
      </c>
      <c r="F9" s="484"/>
      <c r="G9" s="482"/>
      <c r="H9" s="482"/>
      <c r="I9" s="482"/>
      <c r="J9" s="482"/>
      <c r="K9" s="1054">
        <v>2775</v>
      </c>
      <c r="L9" s="482"/>
      <c r="M9" s="485"/>
    </row>
    <row r="10" spans="1:13" ht="22.15" customHeight="1" x14ac:dyDescent="0.2">
      <c r="A10" s="639">
        <v>3052</v>
      </c>
      <c r="B10" s="640" t="s">
        <v>1137</v>
      </c>
      <c r="C10" s="773">
        <f>'3c.m.'!F17</f>
        <v>0</v>
      </c>
      <c r="D10" s="483">
        <f t="shared" si="0"/>
        <v>0</v>
      </c>
      <c r="E10" s="483"/>
      <c r="F10" s="484"/>
      <c r="G10" s="482"/>
      <c r="H10" s="482"/>
      <c r="I10" s="482"/>
      <c r="J10" s="482"/>
      <c r="K10" s="1054"/>
      <c r="L10" s="482"/>
      <c r="M10" s="485"/>
    </row>
    <row r="11" spans="1:13" ht="22.15" customHeight="1" x14ac:dyDescent="0.2">
      <c r="A11" s="639">
        <v>3059</v>
      </c>
      <c r="B11" s="640" t="s">
        <v>1059</v>
      </c>
      <c r="C11" s="773">
        <f>'3c.m.'!F61</f>
        <v>69740</v>
      </c>
      <c r="D11" s="483">
        <f t="shared" si="0"/>
        <v>69740</v>
      </c>
      <c r="E11" s="483"/>
      <c r="F11" s="483">
        <v>50000</v>
      </c>
      <c r="G11" s="482"/>
      <c r="H11" s="482"/>
      <c r="I11" s="482"/>
      <c r="J11" s="482"/>
      <c r="K11" s="484">
        <v>19740</v>
      </c>
      <c r="L11" s="482"/>
      <c r="M11" s="485"/>
    </row>
    <row r="12" spans="1:13" ht="22.15" customHeight="1" x14ac:dyDescent="0.2">
      <c r="A12" s="641">
        <v>3141</v>
      </c>
      <c r="B12" s="486" t="s">
        <v>968</v>
      </c>
      <c r="C12" s="772">
        <f>SUM('3c.m.'!F181)</f>
        <v>12500</v>
      </c>
      <c r="D12" s="483">
        <f t="shared" si="0"/>
        <v>12500</v>
      </c>
      <c r="E12" s="483">
        <v>12500</v>
      </c>
      <c r="F12" s="487"/>
      <c r="G12" s="488"/>
      <c r="H12" s="488"/>
      <c r="I12" s="488"/>
      <c r="J12" s="488"/>
      <c r="K12" s="488"/>
      <c r="L12" s="488"/>
      <c r="M12" s="619"/>
    </row>
    <row r="13" spans="1:13" ht="22.15" customHeight="1" x14ac:dyDescent="0.2">
      <c r="A13" s="641">
        <v>3148</v>
      </c>
      <c r="B13" s="486" t="s">
        <v>1169</v>
      </c>
      <c r="C13" s="772">
        <f>'3c.m.'!F233</f>
        <v>2000</v>
      </c>
      <c r="D13" s="483">
        <f t="shared" si="0"/>
        <v>2000</v>
      </c>
      <c r="E13" s="483"/>
      <c r="F13" s="487">
        <v>1000</v>
      </c>
      <c r="G13" s="488"/>
      <c r="H13" s="488"/>
      <c r="I13" s="488"/>
      <c r="J13" s="488"/>
      <c r="K13" s="488">
        <v>1000</v>
      </c>
      <c r="L13" s="488"/>
      <c r="M13" s="619"/>
    </row>
    <row r="14" spans="1:13" ht="22.15" customHeight="1" x14ac:dyDescent="0.2">
      <c r="A14" s="641">
        <v>3206</v>
      </c>
      <c r="B14" s="486" t="s">
        <v>1039</v>
      </c>
      <c r="C14" s="772">
        <f>'3c.m.'!F289</f>
        <v>10000</v>
      </c>
      <c r="D14" s="483">
        <f t="shared" si="0"/>
        <v>10000</v>
      </c>
      <c r="E14" s="483">
        <v>10000</v>
      </c>
      <c r="F14" s="487"/>
      <c r="G14" s="488"/>
      <c r="H14" s="488"/>
      <c r="I14" s="488"/>
      <c r="J14" s="488"/>
      <c r="K14" s="488"/>
      <c r="L14" s="488"/>
      <c r="M14" s="619"/>
    </row>
    <row r="15" spans="1:13" ht="22.15" customHeight="1" x14ac:dyDescent="0.2">
      <c r="A15" s="641">
        <v>3207</v>
      </c>
      <c r="B15" s="486" t="s">
        <v>243</v>
      </c>
      <c r="C15" s="772">
        <f>SUM('3c.m.'!F297)</f>
        <v>40588</v>
      </c>
      <c r="D15" s="483">
        <f t="shared" si="0"/>
        <v>40588</v>
      </c>
      <c r="E15" s="483">
        <v>37760</v>
      </c>
      <c r="F15" s="487"/>
      <c r="G15" s="488"/>
      <c r="H15" s="488"/>
      <c r="I15" s="488"/>
      <c r="J15" s="488"/>
      <c r="K15" s="488">
        <v>2828</v>
      </c>
      <c r="L15" s="488"/>
      <c r="M15" s="619"/>
    </row>
    <row r="16" spans="1:13" ht="22.15" customHeight="1" x14ac:dyDescent="0.2">
      <c r="A16" s="641">
        <v>3209</v>
      </c>
      <c r="B16" s="486" t="s">
        <v>703</v>
      </c>
      <c r="C16" s="772">
        <f>SUM('3c.m.'!F314)</f>
        <v>5000</v>
      </c>
      <c r="D16" s="483">
        <f t="shared" si="0"/>
        <v>5000</v>
      </c>
      <c r="E16" s="483"/>
      <c r="F16" s="487">
        <v>5000</v>
      </c>
      <c r="G16" s="488"/>
      <c r="H16" s="488"/>
      <c r="I16" s="488"/>
      <c r="J16" s="488"/>
      <c r="K16" s="488"/>
      <c r="L16" s="488"/>
      <c r="M16" s="619"/>
    </row>
    <row r="17" spans="1:13" ht="22.15" customHeight="1" x14ac:dyDescent="0.2">
      <c r="A17" s="641">
        <v>3210</v>
      </c>
      <c r="B17" s="486" t="s">
        <v>1333</v>
      </c>
      <c r="C17" s="772">
        <f>'3c.m.'!F323</f>
        <v>5000</v>
      </c>
      <c r="D17" s="483">
        <f t="shared" si="0"/>
        <v>5000</v>
      </c>
      <c r="E17" s="483"/>
      <c r="F17" s="487">
        <v>5000</v>
      </c>
      <c r="G17" s="488"/>
      <c r="H17" s="488"/>
      <c r="I17" s="488"/>
      <c r="J17" s="488"/>
      <c r="K17" s="488"/>
      <c r="L17" s="488"/>
      <c r="M17" s="619"/>
    </row>
    <row r="18" spans="1:13" ht="22.15" customHeight="1" x14ac:dyDescent="0.2">
      <c r="A18" s="641">
        <v>3217</v>
      </c>
      <c r="B18" s="486" t="s">
        <v>979</v>
      </c>
      <c r="C18" s="772">
        <f>SUM('3c.m.'!F372)</f>
        <v>235568</v>
      </c>
      <c r="D18" s="483">
        <f t="shared" si="0"/>
        <v>235568</v>
      </c>
      <c r="E18" s="483"/>
      <c r="F18" s="487">
        <v>220617</v>
      </c>
      <c r="G18" s="488"/>
      <c r="H18" s="488"/>
      <c r="I18" s="488"/>
      <c r="J18" s="488"/>
      <c r="K18" s="488">
        <v>14951</v>
      </c>
      <c r="L18" s="488"/>
      <c r="M18" s="619"/>
    </row>
    <row r="19" spans="1:13" ht="22.15" customHeight="1" x14ac:dyDescent="0.2">
      <c r="A19" s="641">
        <v>3222</v>
      </c>
      <c r="B19" s="486" t="s">
        <v>1015</v>
      </c>
      <c r="C19" s="772">
        <f>'3c.m.'!F406</f>
        <v>187</v>
      </c>
      <c r="D19" s="483">
        <f t="shared" si="0"/>
        <v>187</v>
      </c>
      <c r="E19" s="483"/>
      <c r="F19" s="487"/>
      <c r="G19" s="488"/>
      <c r="H19" s="488"/>
      <c r="I19" s="488"/>
      <c r="J19" s="488"/>
      <c r="K19" s="488">
        <v>187</v>
      </c>
      <c r="L19" s="488"/>
      <c r="M19" s="619"/>
    </row>
    <row r="20" spans="1:13" ht="22.15" customHeight="1" x14ac:dyDescent="0.2">
      <c r="A20" s="641">
        <v>3226</v>
      </c>
      <c r="B20" s="486" t="s">
        <v>1123</v>
      </c>
      <c r="C20" s="772">
        <f>'3c.m.'!F424</f>
        <v>18605</v>
      </c>
      <c r="D20" s="483">
        <f t="shared" si="0"/>
        <v>18605</v>
      </c>
      <c r="E20" s="483"/>
      <c r="F20" s="487"/>
      <c r="G20" s="488"/>
      <c r="H20" s="488"/>
      <c r="I20" s="488"/>
      <c r="J20" s="488"/>
      <c r="K20" s="488">
        <v>18605</v>
      </c>
      <c r="L20" s="488"/>
      <c r="M20" s="619"/>
    </row>
    <row r="21" spans="1:13" ht="22.15" customHeight="1" x14ac:dyDescent="0.2">
      <c r="A21" s="641">
        <v>3227</v>
      </c>
      <c r="B21" s="486" t="s">
        <v>1257</v>
      </c>
      <c r="C21" s="772">
        <f>'3c.m.'!F433</f>
        <v>18112</v>
      </c>
      <c r="D21" s="483">
        <f t="shared" si="0"/>
        <v>18112</v>
      </c>
      <c r="E21" s="483"/>
      <c r="F21" s="487"/>
      <c r="G21" s="488"/>
      <c r="H21" s="488"/>
      <c r="I21" s="488">
        <v>17820</v>
      </c>
      <c r="J21" s="488"/>
      <c r="K21" s="488">
        <v>292</v>
      </c>
      <c r="L21" s="488"/>
      <c r="M21" s="619"/>
    </row>
    <row r="22" spans="1:13" ht="22.15" customHeight="1" x14ac:dyDescent="0.2">
      <c r="A22" s="641">
        <v>3228</v>
      </c>
      <c r="B22" s="486" t="s">
        <v>1366</v>
      </c>
      <c r="C22" s="772">
        <f>'3c.m.'!F442</f>
        <v>6638</v>
      </c>
      <c r="D22" s="483">
        <f t="shared" si="0"/>
        <v>6638</v>
      </c>
      <c r="E22" s="483"/>
      <c r="F22" s="487"/>
      <c r="G22" s="488"/>
      <c r="H22" s="488">
        <v>6638</v>
      </c>
      <c r="I22" s="488"/>
      <c r="J22" s="488"/>
      <c r="K22" s="488"/>
      <c r="L22" s="488"/>
      <c r="M22" s="619"/>
    </row>
    <row r="23" spans="1:13" ht="22.15" customHeight="1" x14ac:dyDescent="0.2">
      <c r="A23" s="641">
        <v>3304</v>
      </c>
      <c r="B23" s="486" t="s">
        <v>1258</v>
      </c>
      <c r="C23" s="772">
        <f>'3c.m.'!F470</f>
        <v>2296</v>
      </c>
      <c r="D23" s="483">
        <f t="shared" si="0"/>
        <v>2296</v>
      </c>
      <c r="E23" s="483"/>
      <c r="F23" s="487"/>
      <c r="G23" s="488"/>
      <c r="H23" s="488"/>
      <c r="I23" s="488"/>
      <c r="J23" s="488"/>
      <c r="K23" s="488">
        <v>2296</v>
      </c>
      <c r="L23" s="488"/>
      <c r="M23" s="619"/>
    </row>
    <row r="24" spans="1:13" ht="22.15" customHeight="1" x14ac:dyDescent="0.2">
      <c r="A24" s="641">
        <v>3302</v>
      </c>
      <c r="B24" s="486" t="s">
        <v>319</v>
      </c>
      <c r="C24" s="772">
        <v>114683</v>
      </c>
      <c r="D24" s="483">
        <f t="shared" si="0"/>
        <v>114683</v>
      </c>
      <c r="E24" s="483">
        <v>114683</v>
      </c>
      <c r="F24" s="487"/>
      <c r="G24" s="488"/>
      <c r="H24" s="488"/>
      <c r="I24" s="488"/>
      <c r="J24" s="488"/>
      <c r="K24" s="488"/>
      <c r="L24" s="488"/>
      <c r="M24" s="619"/>
    </row>
    <row r="25" spans="1:13" ht="22.15" customHeight="1" x14ac:dyDescent="0.2">
      <c r="A25" s="641">
        <v>3306</v>
      </c>
      <c r="B25" s="486" t="s">
        <v>969</v>
      </c>
      <c r="C25" s="772">
        <f>SUM('3c.m.'!F479)</f>
        <v>26089</v>
      </c>
      <c r="D25" s="483">
        <f t="shared" si="0"/>
        <v>26089</v>
      </c>
      <c r="E25" s="483">
        <v>26000</v>
      </c>
      <c r="F25" s="487"/>
      <c r="G25" s="488"/>
      <c r="H25" s="488"/>
      <c r="I25" s="488"/>
      <c r="J25" s="488"/>
      <c r="K25" s="488">
        <v>89</v>
      </c>
      <c r="L25" s="488"/>
      <c r="M25" s="619"/>
    </row>
    <row r="26" spans="1:13" ht="22.15" customHeight="1" x14ac:dyDescent="0.2">
      <c r="A26" s="641">
        <v>3307</v>
      </c>
      <c r="B26" s="486" t="s">
        <v>165</v>
      </c>
      <c r="C26" s="772">
        <f>SUM('3c.m.'!F488)</f>
        <v>1563</v>
      </c>
      <c r="D26" s="483">
        <f t="shared" si="0"/>
        <v>1563</v>
      </c>
      <c r="E26" s="483">
        <v>500</v>
      </c>
      <c r="F26" s="487"/>
      <c r="G26" s="488"/>
      <c r="H26" s="488"/>
      <c r="I26" s="488"/>
      <c r="J26" s="488"/>
      <c r="K26" s="488">
        <v>1063</v>
      </c>
      <c r="L26" s="488"/>
      <c r="M26" s="619"/>
    </row>
    <row r="27" spans="1:13" ht="22.15" customHeight="1" x14ac:dyDescent="0.2">
      <c r="A27" s="641">
        <v>3308</v>
      </c>
      <c r="B27" s="486" t="s">
        <v>1148</v>
      </c>
      <c r="C27" s="772">
        <f>'3c.m.'!F497</f>
        <v>30000</v>
      </c>
      <c r="D27" s="483">
        <f t="shared" si="0"/>
        <v>30000</v>
      </c>
      <c r="E27" s="483">
        <v>10000</v>
      </c>
      <c r="F27" s="487"/>
      <c r="G27" s="488"/>
      <c r="H27" s="488"/>
      <c r="I27" s="488"/>
      <c r="J27" s="488"/>
      <c r="K27" s="488">
        <v>20000</v>
      </c>
      <c r="L27" s="488"/>
      <c r="M27" s="619"/>
    </row>
    <row r="28" spans="1:13" ht="22.15" customHeight="1" x14ac:dyDescent="0.2">
      <c r="A28" s="641">
        <v>3309</v>
      </c>
      <c r="B28" s="486" t="s">
        <v>980</v>
      </c>
      <c r="C28" s="772">
        <f>SUM('3c.m.'!F505)</f>
        <v>42176</v>
      </c>
      <c r="D28" s="483">
        <f t="shared" si="0"/>
        <v>42176</v>
      </c>
      <c r="E28" s="773">
        <v>42000</v>
      </c>
      <c r="F28" s="487"/>
      <c r="G28" s="488"/>
      <c r="H28" s="488"/>
      <c r="I28" s="488"/>
      <c r="J28" s="488"/>
      <c r="K28" s="488">
        <v>176</v>
      </c>
      <c r="L28" s="488"/>
      <c r="M28" s="619"/>
    </row>
    <row r="29" spans="1:13" ht="22.15" customHeight="1" x14ac:dyDescent="0.2">
      <c r="A29" s="641">
        <v>3312</v>
      </c>
      <c r="B29" s="486" t="s">
        <v>321</v>
      </c>
      <c r="C29" s="772">
        <f>SUM('3c.m.'!F521)</f>
        <v>29033</v>
      </c>
      <c r="D29" s="483">
        <f t="shared" si="0"/>
        <v>29033</v>
      </c>
      <c r="E29" s="483">
        <v>28900</v>
      </c>
      <c r="F29" s="487"/>
      <c r="G29" s="488"/>
      <c r="H29" s="488"/>
      <c r="I29" s="488"/>
      <c r="J29" s="488"/>
      <c r="K29" s="488">
        <v>133</v>
      </c>
      <c r="L29" s="488"/>
      <c r="M29" s="619"/>
    </row>
    <row r="30" spans="1:13" ht="22.15" customHeight="1" x14ac:dyDescent="0.2">
      <c r="A30" s="641">
        <v>3313</v>
      </c>
      <c r="B30" s="489" t="s">
        <v>10</v>
      </c>
      <c r="C30" s="772">
        <f>SUM('3c.m.'!F529)</f>
        <v>11695</v>
      </c>
      <c r="D30" s="483">
        <f t="shared" si="0"/>
        <v>11695</v>
      </c>
      <c r="E30" s="483">
        <v>11650</v>
      </c>
      <c r="F30" s="487"/>
      <c r="G30" s="488"/>
      <c r="H30" s="488"/>
      <c r="I30" s="488"/>
      <c r="J30" s="488"/>
      <c r="K30" s="488">
        <v>45</v>
      </c>
      <c r="L30" s="488"/>
      <c r="M30" s="619"/>
    </row>
    <row r="31" spans="1:13" ht="22.15" customHeight="1" x14ac:dyDescent="0.2">
      <c r="A31" s="641">
        <v>3316</v>
      </c>
      <c r="B31" s="489" t="s">
        <v>108</v>
      </c>
      <c r="C31" s="772">
        <f>SUM('3c.m.'!F537)</f>
        <v>2512</v>
      </c>
      <c r="D31" s="483">
        <f t="shared" si="0"/>
        <v>2512</v>
      </c>
      <c r="E31" s="483">
        <v>2500</v>
      </c>
      <c r="F31" s="487"/>
      <c r="G31" s="488"/>
      <c r="H31" s="488"/>
      <c r="I31" s="488"/>
      <c r="J31" s="488"/>
      <c r="K31" s="488">
        <v>12</v>
      </c>
      <c r="L31" s="488"/>
      <c r="M31" s="619"/>
    </row>
    <row r="32" spans="1:13" ht="22.15" customHeight="1" x14ac:dyDescent="0.2">
      <c r="A32" s="641">
        <v>3317</v>
      </c>
      <c r="B32" s="490" t="s">
        <v>970</v>
      </c>
      <c r="C32" s="772">
        <f>SUM('3c.m.'!F545)</f>
        <v>30721</v>
      </c>
      <c r="D32" s="483">
        <f t="shared" si="0"/>
        <v>30721</v>
      </c>
      <c r="E32" s="483">
        <v>30500</v>
      </c>
      <c r="F32" s="774"/>
      <c r="G32" s="488"/>
      <c r="H32" s="488"/>
      <c r="I32" s="488"/>
      <c r="J32" s="488"/>
      <c r="K32" s="488">
        <v>221</v>
      </c>
      <c r="L32" s="488"/>
      <c r="M32" s="619"/>
    </row>
    <row r="33" spans="1:13" ht="22.15" customHeight="1" x14ac:dyDescent="0.2">
      <c r="A33" s="641">
        <v>3325</v>
      </c>
      <c r="B33" s="486" t="s">
        <v>414</v>
      </c>
      <c r="C33" s="772">
        <f>SUM('3c.m.'!F561)</f>
        <v>7618</v>
      </c>
      <c r="D33" s="483">
        <f t="shared" si="0"/>
        <v>7618</v>
      </c>
      <c r="E33" s="773">
        <v>7600</v>
      </c>
      <c r="F33" s="487"/>
      <c r="G33" s="488"/>
      <c r="H33" s="488"/>
      <c r="I33" s="488"/>
      <c r="J33" s="488"/>
      <c r="K33" s="488">
        <v>18</v>
      </c>
      <c r="L33" s="488"/>
      <c r="M33" s="619"/>
    </row>
    <row r="34" spans="1:13" ht="22.15" customHeight="1" x14ac:dyDescent="0.2">
      <c r="A34" s="641">
        <v>3352</v>
      </c>
      <c r="B34" s="486" t="s">
        <v>704</v>
      </c>
      <c r="C34" s="772">
        <f>SUM('3c.m.'!F668)</f>
        <v>32066</v>
      </c>
      <c r="D34" s="483">
        <f t="shared" si="0"/>
        <v>32066</v>
      </c>
      <c r="E34" s="483">
        <v>12000</v>
      </c>
      <c r="F34" s="487">
        <v>14000</v>
      </c>
      <c r="G34" s="488"/>
      <c r="H34" s="488"/>
      <c r="I34" s="488"/>
      <c r="J34" s="488"/>
      <c r="K34" s="488">
        <v>6066</v>
      </c>
      <c r="L34" s="488"/>
      <c r="M34" s="619"/>
    </row>
    <row r="35" spans="1:13" ht="22.15" customHeight="1" x14ac:dyDescent="0.2">
      <c r="A35" s="641">
        <v>3343</v>
      </c>
      <c r="B35" s="486" t="s">
        <v>1055</v>
      </c>
      <c r="C35" s="772">
        <f>'3c.m.'!F603</f>
        <v>23430</v>
      </c>
      <c r="D35" s="483">
        <f t="shared" si="0"/>
        <v>23430</v>
      </c>
      <c r="E35" s="483">
        <v>11715</v>
      </c>
      <c r="F35" s="487"/>
      <c r="G35" s="488"/>
      <c r="H35" s="488"/>
      <c r="I35" s="488"/>
      <c r="J35" s="488"/>
      <c r="K35" s="488">
        <v>11715</v>
      </c>
      <c r="L35" s="488"/>
      <c r="M35" s="619"/>
    </row>
    <row r="36" spans="1:13" ht="22.15" customHeight="1" x14ac:dyDescent="0.2">
      <c r="A36" s="641">
        <v>3353</v>
      </c>
      <c r="B36" s="486" t="s">
        <v>990</v>
      </c>
      <c r="C36" s="772">
        <f>SUM('3c.m.'!F677)</f>
        <v>1500</v>
      </c>
      <c r="D36" s="483">
        <f t="shared" si="0"/>
        <v>1500</v>
      </c>
      <c r="E36" s="483">
        <v>1500</v>
      </c>
      <c r="F36" s="487"/>
      <c r="G36" s="488"/>
      <c r="H36" s="488"/>
      <c r="I36" s="488"/>
      <c r="J36" s="488"/>
      <c r="K36" s="488"/>
      <c r="L36" s="488"/>
      <c r="M36" s="619"/>
    </row>
    <row r="37" spans="1:13" ht="22.15" customHeight="1" x14ac:dyDescent="0.2">
      <c r="A37" s="641">
        <v>3355</v>
      </c>
      <c r="B37" s="486" t="s">
        <v>27</v>
      </c>
      <c r="C37" s="772">
        <f>SUM('3c.m.'!F685)</f>
        <v>27847</v>
      </c>
      <c r="D37" s="483">
        <f t="shared" si="0"/>
        <v>27847</v>
      </c>
      <c r="E37" s="483">
        <v>17000</v>
      </c>
      <c r="F37" s="487"/>
      <c r="G37" s="488"/>
      <c r="H37" s="488"/>
      <c r="I37" s="488"/>
      <c r="J37" s="488"/>
      <c r="K37" s="488">
        <v>10847</v>
      </c>
      <c r="L37" s="488"/>
      <c r="M37" s="619"/>
    </row>
    <row r="38" spans="1:13" ht="22.15" customHeight="1" x14ac:dyDescent="0.2">
      <c r="A38" s="641">
        <v>3356</v>
      </c>
      <c r="B38" s="491" t="s">
        <v>705</v>
      </c>
      <c r="C38" s="772">
        <f>SUM('3c.m.'!F693)</f>
        <v>8421</v>
      </c>
      <c r="D38" s="483">
        <f t="shared" si="0"/>
        <v>8421</v>
      </c>
      <c r="E38" s="483">
        <v>5000</v>
      </c>
      <c r="F38" s="487"/>
      <c r="G38" s="488"/>
      <c r="H38" s="488"/>
      <c r="I38" s="488"/>
      <c r="J38" s="488"/>
      <c r="K38" s="488">
        <v>3421</v>
      </c>
      <c r="L38" s="488"/>
      <c r="M38" s="619"/>
    </row>
    <row r="39" spans="1:13" ht="22.15" customHeight="1" x14ac:dyDescent="0.2">
      <c r="A39" s="641">
        <v>3411</v>
      </c>
      <c r="B39" s="491" t="s">
        <v>1104</v>
      </c>
      <c r="C39" s="772">
        <f>'3c.m.'!F730</f>
        <v>20000</v>
      </c>
      <c r="D39" s="483">
        <f t="shared" si="0"/>
        <v>20000</v>
      </c>
      <c r="E39" s="483"/>
      <c r="F39" s="487">
        <v>20000</v>
      </c>
      <c r="G39" s="488"/>
      <c r="H39" s="488"/>
      <c r="I39" s="488"/>
      <c r="J39" s="488"/>
      <c r="K39" s="488"/>
      <c r="L39" s="488"/>
      <c r="M39" s="619"/>
    </row>
    <row r="40" spans="1:13" ht="22.15" customHeight="1" x14ac:dyDescent="0.2">
      <c r="A40" s="641">
        <v>3415</v>
      </c>
      <c r="B40" s="491" t="s">
        <v>1103</v>
      </c>
      <c r="C40" s="772">
        <f>'3c.m.'!F757</f>
        <v>7000</v>
      </c>
      <c r="D40" s="483">
        <f t="shared" si="0"/>
        <v>7000</v>
      </c>
      <c r="E40" s="483"/>
      <c r="F40" s="487">
        <v>7000</v>
      </c>
      <c r="G40" s="488"/>
      <c r="H40" s="488"/>
      <c r="I40" s="488"/>
      <c r="J40" s="488"/>
      <c r="K40" s="488"/>
      <c r="L40" s="488"/>
      <c r="M40" s="619"/>
    </row>
    <row r="41" spans="1:13" ht="22.15" customHeight="1" x14ac:dyDescent="0.2">
      <c r="A41" s="641">
        <v>3416</v>
      </c>
      <c r="B41" s="486" t="s">
        <v>138</v>
      </c>
      <c r="C41" s="772">
        <f>SUM('3c.m.'!F765)</f>
        <v>20000</v>
      </c>
      <c r="D41" s="483">
        <f t="shared" si="0"/>
        <v>20000</v>
      </c>
      <c r="E41" s="483">
        <v>20000</v>
      </c>
      <c r="F41" s="487"/>
      <c r="G41" s="488"/>
      <c r="H41" s="488"/>
      <c r="I41" s="488"/>
      <c r="J41" s="488"/>
      <c r="K41" s="488"/>
      <c r="L41" s="488"/>
      <c r="M41" s="619"/>
    </row>
    <row r="42" spans="1:13" ht="22.15" customHeight="1" x14ac:dyDescent="0.2">
      <c r="A42" s="641">
        <v>3421</v>
      </c>
      <c r="B42" s="486" t="s">
        <v>335</v>
      </c>
      <c r="C42" s="772">
        <f>SUM('3c.m.'!F774)</f>
        <v>66492</v>
      </c>
      <c r="D42" s="483">
        <f t="shared" si="0"/>
        <v>66492</v>
      </c>
      <c r="E42" s="483">
        <v>50000</v>
      </c>
      <c r="F42" s="487">
        <v>5000</v>
      </c>
      <c r="G42" s="488"/>
      <c r="H42" s="488"/>
      <c r="I42" s="488"/>
      <c r="J42" s="488"/>
      <c r="K42" s="488">
        <v>11492</v>
      </c>
      <c r="L42" s="488"/>
      <c r="M42" s="619"/>
    </row>
    <row r="43" spans="1:13" ht="22.15" customHeight="1" x14ac:dyDescent="0.2">
      <c r="A43" s="641">
        <v>3422</v>
      </c>
      <c r="B43" s="486" t="s">
        <v>112</v>
      </c>
      <c r="C43" s="772">
        <f>SUM('3c.m.'!F782)</f>
        <v>28818</v>
      </c>
      <c r="D43" s="483">
        <f t="shared" si="0"/>
        <v>28818</v>
      </c>
      <c r="E43" s="483">
        <v>15500</v>
      </c>
      <c r="F43" s="487">
        <v>2200</v>
      </c>
      <c r="G43" s="488"/>
      <c r="H43" s="488"/>
      <c r="I43" s="488"/>
      <c r="J43" s="488"/>
      <c r="K43" s="488">
        <v>11118</v>
      </c>
      <c r="L43" s="488"/>
      <c r="M43" s="619"/>
    </row>
    <row r="44" spans="1:13" ht="22.15" customHeight="1" x14ac:dyDescent="0.2">
      <c r="A44" s="641">
        <v>3423</v>
      </c>
      <c r="B44" s="486" t="s">
        <v>111</v>
      </c>
      <c r="C44" s="772">
        <f>SUM('3c.m.'!F791)</f>
        <v>36180</v>
      </c>
      <c r="D44" s="483">
        <f t="shared" si="0"/>
        <v>36180</v>
      </c>
      <c r="E44" s="483">
        <v>22428</v>
      </c>
      <c r="F44" s="487">
        <v>10000</v>
      </c>
      <c r="G44" s="488"/>
      <c r="H44" s="488"/>
      <c r="I44" s="488"/>
      <c r="J44" s="488"/>
      <c r="K44" s="488">
        <v>3752</v>
      </c>
      <c r="L44" s="488"/>
      <c r="M44" s="619"/>
    </row>
    <row r="45" spans="1:13" ht="22.15" customHeight="1" x14ac:dyDescent="0.2">
      <c r="A45" s="641">
        <v>3424</v>
      </c>
      <c r="B45" s="486" t="s">
        <v>1058</v>
      </c>
      <c r="C45" s="772">
        <f>'3c.m.'!F799</f>
        <v>29974</v>
      </c>
      <c r="D45" s="483">
        <f t="shared" ref="D45:D74" si="1">SUM(E45:M45)</f>
        <v>29974</v>
      </c>
      <c r="E45" s="483">
        <v>28516</v>
      </c>
      <c r="F45" s="487"/>
      <c r="G45" s="488"/>
      <c r="H45" s="488"/>
      <c r="I45" s="488"/>
      <c r="J45" s="488"/>
      <c r="K45" s="488">
        <v>1458</v>
      </c>
      <c r="L45" s="488"/>
      <c r="M45" s="619"/>
    </row>
    <row r="46" spans="1:13" ht="22.15" customHeight="1" x14ac:dyDescent="0.2">
      <c r="A46" s="641">
        <v>3433</v>
      </c>
      <c r="B46" s="486" t="s">
        <v>1097</v>
      </c>
      <c r="C46" s="772">
        <f>'3c.m.'!F856</f>
        <v>54608</v>
      </c>
      <c r="D46" s="483">
        <f t="shared" si="1"/>
        <v>54608</v>
      </c>
      <c r="E46" s="483"/>
      <c r="F46" s="487">
        <v>30000</v>
      </c>
      <c r="G46" s="488"/>
      <c r="H46" s="488"/>
      <c r="I46" s="488"/>
      <c r="J46" s="488"/>
      <c r="K46" s="488">
        <v>24608</v>
      </c>
      <c r="L46" s="488"/>
      <c r="M46" s="619"/>
    </row>
    <row r="47" spans="1:13" ht="22.15" customHeight="1" x14ac:dyDescent="0.2">
      <c r="A47" s="641">
        <v>3923</v>
      </c>
      <c r="B47" s="486" t="s">
        <v>1170</v>
      </c>
      <c r="C47" s="772">
        <f>'3d.m.'!F13</f>
        <v>5000</v>
      </c>
      <c r="D47" s="483">
        <f t="shared" si="1"/>
        <v>5000</v>
      </c>
      <c r="E47" s="483"/>
      <c r="F47" s="487">
        <v>5000</v>
      </c>
      <c r="G47" s="488"/>
      <c r="H47" s="488"/>
      <c r="I47" s="488"/>
      <c r="J47" s="488"/>
      <c r="K47" s="488"/>
      <c r="L47" s="488"/>
      <c r="M47" s="619"/>
    </row>
    <row r="48" spans="1:13" ht="22.15" customHeight="1" x14ac:dyDescent="0.2">
      <c r="A48" s="641">
        <v>3924</v>
      </c>
      <c r="B48" s="486" t="s">
        <v>706</v>
      </c>
      <c r="C48" s="772">
        <f>SUM('3d.m.'!F14)</f>
        <v>9000</v>
      </c>
      <c r="D48" s="483">
        <f t="shared" si="1"/>
        <v>9000</v>
      </c>
      <c r="E48" s="483">
        <v>9000</v>
      </c>
      <c r="F48" s="618"/>
      <c r="G48" s="617"/>
      <c r="H48" s="617"/>
      <c r="I48" s="617"/>
      <c r="J48" s="617"/>
      <c r="K48" s="617"/>
      <c r="L48" s="617"/>
      <c r="M48" s="619"/>
    </row>
    <row r="49" spans="1:13" ht="22.15" customHeight="1" x14ac:dyDescent="0.2">
      <c r="A49" s="641">
        <v>3926</v>
      </c>
      <c r="B49" s="486" t="s">
        <v>1046</v>
      </c>
      <c r="C49" s="772">
        <f>'3d.m.'!F16</f>
        <v>3700</v>
      </c>
      <c r="D49" s="483">
        <f t="shared" si="1"/>
        <v>3700</v>
      </c>
      <c r="E49" s="483"/>
      <c r="F49" s="618">
        <v>2000</v>
      </c>
      <c r="G49" s="617"/>
      <c r="H49" s="617"/>
      <c r="I49" s="617"/>
      <c r="J49" s="617"/>
      <c r="K49" s="617">
        <v>1700</v>
      </c>
      <c r="L49" s="617"/>
      <c r="M49" s="619"/>
    </row>
    <row r="50" spans="1:13" ht="22.15" customHeight="1" x14ac:dyDescent="0.2">
      <c r="A50" s="641">
        <v>3927</v>
      </c>
      <c r="B50" s="486" t="s">
        <v>432</v>
      </c>
      <c r="C50" s="772">
        <f>SUM('3d.m.'!F17)</f>
        <v>5000</v>
      </c>
      <c r="D50" s="483">
        <f t="shared" si="1"/>
        <v>5000</v>
      </c>
      <c r="E50" s="483">
        <v>3000</v>
      </c>
      <c r="F50" s="618">
        <v>2000</v>
      </c>
      <c r="G50" s="617"/>
      <c r="H50" s="617"/>
      <c r="I50" s="617"/>
      <c r="J50" s="617"/>
      <c r="K50" s="617"/>
      <c r="L50" s="617"/>
      <c r="M50" s="619"/>
    </row>
    <row r="51" spans="1:13" ht="22.15" customHeight="1" x14ac:dyDescent="0.2">
      <c r="A51" s="638">
        <v>3928</v>
      </c>
      <c r="B51" s="617" t="s">
        <v>123</v>
      </c>
      <c r="C51" s="772">
        <f>SUM('3d.m.'!F18)</f>
        <v>421765</v>
      </c>
      <c r="D51" s="483">
        <f t="shared" si="1"/>
        <v>421765</v>
      </c>
      <c r="E51" s="483">
        <v>157068</v>
      </c>
      <c r="F51" s="618">
        <v>54932</v>
      </c>
      <c r="G51" s="617"/>
      <c r="H51" s="617"/>
      <c r="I51" s="617"/>
      <c r="J51" s="617"/>
      <c r="K51" s="617">
        <v>200765</v>
      </c>
      <c r="L51" s="617"/>
      <c r="M51" s="619">
        <v>9000</v>
      </c>
    </row>
    <row r="52" spans="1:13" ht="22.15" customHeight="1" x14ac:dyDescent="0.2">
      <c r="A52" s="641">
        <v>3932</v>
      </c>
      <c r="B52" s="486" t="s">
        <v>707</v>
      </c>
      <c r="C52" s="772">
        <f>SUM('3d.m.'!F26)</f>
        <v>15000</v>
      </c>
      <c r="D52" s="483">
        <f t="shared" si="1"/>
        <v>15000</v>
      </c>
      <c r="E52" s="483"/>
      <c r="F52" s="618">
        <v>15000</v>
      </c>
      <c r="G52" s="617"/>
      <c r="H52" s="617"/>
      <c r="I52" s="617"/>
      <c r="J52" s="617"/>
      <c r="K52" s="617"/>
      <c r="L52" s="617"/>
      <c r="M52" s="619"/>
    </row>
    <row r="53" spans="1:13" ht="22.15" customHeight="1" x14ac:dyDescent="0.2">
      <c r="A53" s="641">
        <v>3934</v>
      </c>
      <c r="B53" s="486" t="s">
        <v>1147</v>
      </c>
      <c r="C53" s="772">
        <f>'3d.m.'!F27</f>
        <v>0</v>
      </c>
      <c r="D53" s="483">
        <f t="shared" si="1"/>
        <v>0</v>
      </c>
      <c r="E53" s="483"/>
      <c r="F53" s="618"/>
      <c r="G53" s="617"/>
      <c r="H53" s="617"/>
      <c r="I53" s="617"/>
      <c r="J53" s="617"/>
      <c r="K53" s="617"/>
      <c r="L53" s="617"/>
      <c r="M53" s="619"/>
    </row>
    <row r="54" spans="1:13" ht="22.15" customHeight="1" x14ac:dyDescent="0.2">
      <c r="A54" s="641">
        <v>3935</v>
      </c>
      <c r="B54" s="486" t="s">
        <v>1168</v>
      </c>
      <c r="C54" s="772">
        <f>'3d.m.'!F28</f>
        <v>12154</v>
      </c>
      <c r="D54" s="483">
        <f t="shared" si="1"/>
        <v>12154</v>
      </c>
      <c r="E54" s="483"/>
      <c r="F54" s="618">
        <v>12154</v>
      </c>
      <c r="G54" s="617"/>
      <c r="H54" s="617"/>
      <c r="I54" s="617"/>
      <c r="J54" s="617"/>
      <c r="K54" s="617"/>
      <c r="L54" s="617"/>
      <c r="M54" s="619"/>
    </row>
    <row r="55" spans="1:13" ht="22.15" customHeight="1" x14ac:dyDescent="0.2">
      <c r="A55" s="641">
        <v>3941</v>
      </c>
      <c r="B55" s="491" t="s">
        <v>708</v>
      </c>
      <c r="C55" s="772">
        <f>SUM('3d.m.'!F31)</f>
        <v>973000</v>
      </c>
      <c r="D55" s="483">
        <f t="shared" si="1"/>
        <v>973000</v>
      </c>
      <c r="E55" s="483">
        <v>324127</v>
      </c>
      <c r="F55" s="775">
        <v>648873</v>
      </c>
      <c r="G55" s="617"/>
      <c r="H55" s="617"/>
      <c r="I55" s="617"/>
      <c r="J55" s="617"/>
      <c r="K55" s="617"/>
      <c r="L55" s="617"/>
      <c r="M55" s="619"/>
    </row>
    <row r="56" spans="1:13" ht="22.15" customHeight="1" x14ac:dyDescent="0.2">
      <c r="A56" s="638">
        <v>3943</v>
      </c>
      <c r="B56" s="617" t="s">
        <v>6</v>
      </c>
      <c r="C56" s="772">
        <f>SUM('3d.m.'!F32)</f>
        <v>0</v>
      </c>
      <c r="D56" s="483">
        <f t="shared" si="1"/>
        <v>0</v>
      </c>
      <c r="E56" s="483"/>
      <c r="F56" s="618"/>
      <c r="G56" s="617"/>
      <c r="H56" s="617"/>
      <c r="I56" s="617"/>
      <c r="J56" s="617"/>
      <c r="K56" s="617"/>
      <c r="L56" s="617"/>
      <c r="M56" s="619"/>
    </row>
    <row r="57" spans="1:13" ht="22.15" customHeight="1" x14ac:dyDescent="0.2">
      <c r="A57" s="638">
        <v>3944</v>
      </c>
      <c r="B57" s="617" t="s">
        <v>1140</v>
      </c>
      <c r="C57" s="772">
        <f>'3d.m.'!F36</f>
        <v>0</v>
      </c>
      <c r="D57" s="483">
        <f t="shared" si="1"/>
        <v>0</v>
      </c>
      <c r="E57" s="483"/>
      <c r="F57" s="618"/>
      <c r="G57" s="617"/>
      <c r="H57" s="617"/>
      <c r="I57" s="617"/>
      <c r="J57" s="617"/>
      <c r="K57" s="617"/>
      <c r="L57" s="617"/>
      <c r="M57" s="619"/>
    </row>
    <row r="58" spans="1:13" ht="22.15" customHeight="1" x14ac:dyDescent="0.2">
      <c r="A58" s="638">
        <v>3972</v>
      </c>
      <c r="B58" s="617" t="s">
        <v>709</v>
      </c>
      <c r="C58" s="772">
        <f>SUM('3d.m.'!F40)</f>
        <v>46475</v>
      </c>
      <c r="D58" s="483">
        <f t="shared" si="1"/>
        <v>46475</v>
      </c>
      <c r="E58" s="483"/>
      <c r="F58" s="618">
        <v>45000</v>
      </c>
      <c r="G58" s="617"/>
      <c r="H58" s="617"/>
      <c r="I58" s="617"/>
      <c r="J58" s="617"/>
      <c r="K58" s="617">
        <v>1475</v>
      </c>
      <c r="L58" s="617"/>
      <c r="M58" s="620"/>
    </row>
    <row r="59" spans="1:13" ht="22.15" customHeight="1" x14ac:dyDescent="0.2">
      <c r="A59" s="638">
        <v>3973</v>
      </c>
      <c r="B59" s="617" t="s">
        <v>1001</v>
      </c>
      <c r="C59" s="772">
        <f>SUM('3d.m.'!F44)</f>
        <v>5929</v>
      </c>
      <c r="D59" s="483">
        <f t="shared" si="1"/>
        <v>5929</v>
      </c>
      <c r="E59" s="483"/>
      <c r="F59" s="618">
        <v>5100</v>
      </c>
      <c r="G59" s="617"/>
      <c r="H59" s="617"/>
      <c r="I59" s="617"/>
      <c r="J59" s="617"/>
      <c r="K59" s="617">
        <v>829</v>
      </c>
      <c r="L59" s="617"/>
      <c r="M59" s="620"/>
    </row>
    <row r="60" spans="1:13" ht="22.15" customHeight="1" x14ac:dyDescent="0.2">
      <c r="A60" s="638">
        <v>3975</v>
      </c>
      <c r="B60" s="617" t="s">
        <v>1047</v>
      </c>
      <c r="C60" s="772">
        <f>'3d.m.'!F48</f>
        <v>10000</v>
      </c>
      <c r="D60" s="483">
        <f t="shared" si="1"/>
        <v>10000</v>
      </c>
      <c r="E60" s="483"/>
      <c r="F60" s="618">
        <v>10000</v>
      </c>
      <c r="G60" s="617"/>
      <c r="H60" s="617"/>
      <c r="I60" s="617"/>
      <c r="J60" s="617"/>
      <c r="K60" s="617"/>
      <c r="L60" s="617"/>
      <c r="M60" s="620"/>
    </row>
    <row r="61" spans="1:13" ht="22.15" customHeight="1" x14ac:dyDescent="0.2">
      <c r="A61" s="638">
        <v>3987</v>
      </c>
      <c r="B61" s="617" t="s">
        <v>1360</v>
      </c>
      <c r="C61" s="772">
        <f>'3d.m.'!F52</f>
        <v>225</v>
      </c>
      <c r="D61" s="483">
        <f t="shared" si="1"/>
        <v>225</v>
      </c>
      <c r="E61" s="483"/>
      <c r="F61" s="618">
        <v>225</v>
      </c>
      <c r="G61" s="617"/>
      <c r="H61" s="617"/>
      <c r="I61" s="617"/>
      <c r="J61" s="617"/>
      <c r="K61" s="617"/>
      <c r="L61" s="617"/>
      <c r="M61" s="620"/>
    </row>
    <row r="62" spans="1:13" ht="22.15" customHeight="1" x14ac:dyDescent="0.2">
      <c r="A62" s="638">
        <v>3988</v>
      </c>
      <c r="B62" s="617" t="s">
        <v>1361</v>
      </c>
      <c r="C62" s="772">
        <f>'3d.m.'!F53</f>
        <v>225</v>
      </c>
      <c r="D62" s="483">
        <f t="shared" si="1"/>
        <v>225</v>
      </c>
      <c r="E62" s="483"/>
      <c r="F62" s="618">
        <v>225</v>
      </c>
      <c r="G62" s="617"/>
      <c r="H62" s="617"/>
      <c r="I62" s="617"/>
      <c r="J62" s="617"/>
      <c r="K62" s="617"/>
      <c r="L62" s="617"/>
      <c r="M62" s="620"/>
    </row>
    <row r="63" spans="1:13" ht="22.15" customHeight="1" x14ac:dyDescent="0.2">
      <c r="A63" s="638">
        <v>3989</v>
      </c>
      <c r="B63" s="642" t="s">
        <v>303</v>
      </c>
      <c r="C63" s="772">
        <f>SUM('3d.m.'!F51)</f>
        <v>6000</v>
      </c>
      <c r="D63" s="483">
        <f t="shared" si="1"/>
        <v>6000</v>
      </c>
      <c r="E63" s="483"/>
      <c r="F63" s="618">
        <v>6000</v>
      </c>
      <c r="G63" s="617"/>
      <c r="H63" s="617"/>
      <c r="I63" s="617"/>
      <c r="J63" s="617"/>
      <c r="K63" s="617"/>
      <c r="L63" s="617"/>
      <c r="M63" s="620"/>
    </row>
    <row r="64" spans="1:13" ht="22.15" customHeight="1" x14ac:dyDescent="0.2">
      <c r="A64" s="638">
        <v>3990</v>
      </c>
      <c r="B64" s="643" t="s">
        <v>261</v>
      </c>
      <c r="C64" s="772">
        <f>SUM('3d.m.'!F54)</f>
        <v>1000</v>
      </c>
      <c r="D64" s="483">
        <f t="shared" si="1"/>
        <v>1000</v>
      </c>
      <c r="E64" s="483"/>
      <c r="F64" s="618">
        <v>1000</v>
      </c>
      <c r="G64" s="617"/>
      <c r="H64" s="617"/>
      <c r="I64" s="617"/>
      <c r="J64" s="617"/>
      <c r="K64" s="617"/>
      <c r="L64" s="617"/>
      <c r="M64" s="620"/>
    </row>
    <row r="65" spans="1:13" ht="22.15" customHeight="1" x14ac:dyDescent="0.2">
      <c r="A65" s="638">
        <v>3991</v>
      </c>
      <c r="B65" s="643" t="s">
        <v>300</v>
      </c>
      <c r="C65" s="772">
        <f>SUM('3d.m.'!F55)</f>
        <v>4820</v>
      </c>
      <c r="D65" s="483">
        <f t="shared" si="1"/>
        <v>4820</v>
      </c>
      <c r="E65" s="483"/>
      <c r="F65" s="618">
        <v>4820</v>
      </c>
      <c r="G65" s="617"/>
      <c r="H65" s="617"/>
      <c r="I65" s="617"/>
      <c r="J65" s="617"/>
      <c r="K65" s="617"/>
      <c r="L65" s="617"/>
      <c r="M65" s="620"/>
    </row>
    <row r="66" spans="1:13" ht="22.15" customHeight="1" x14ac:dyDescent="0.2">
      <c r="A66" s="639">
        <v>3992</v>
      </c>
      <c r="B66" s="643" t="s">
        <v>262</v>
      </c>
      <c r="C66" s="772">
        <f>SUM('3d.m.'!F56)</f>
        <v>1400</v>
      </c>
      <c r="D66" s="483">
        <f t="shared" si="1"/>
        <v>1400</v>
      </c>
      <c r="E66" s="483"/>
      <c r="F66" s="618">
        <v>1400</v>
      </c>
      <c r="G66" s="617"/>
      <c r="H66" s="617"/>
      <c r="I66" s="617"/>
      <c r="J66" s="617"/>
      <c r="K66" s="617"/>
      <c r="L66" s="617"/>
      <c r="M66" s="620"/>
    </row>
    <row r="67" spans="1:13" ht="22.15" customHeight="1" x14ac:dyDescent="0.2">
      <c r="A67" s="638">
        <v>3993</v>
      </c>
      <c r="B67" s="643" t="s">
        <v>263</v>
      </c>
      <c r="C67" s="772">
        <f>SUM('3d.m.'!F57)</f>
        <v>900</v>
      </c>
      <c r="D67" s="483">
        <f t="shared" si="1"/>
        <v>900</v>
      </c>
      <c r="E67" s="483"/>
      <c r="F67" s="618">
        <v>900</v>
      </c>
      <c r="G67" s="617"/>
      <c r="H67" s="617"/>
      <c r="I67" s="617"/>
      <c r="J67" s="617"/>
      <c r="K67" s="617"/>
      <c r="L67" s="617"/>
      <c r="M67" s="620"/>
    </row>
    <row r="68" spans="1:13" ht="22.15" customHeight="1" x14ac:dyDescent="0.2">
      <c r="A68" s="638">
        <v>3994</v>
      </c>
      <c r="B68" s="643" t="s">
        <v>80</v>
      </c>
      <c r="C68" s="772">
        <f>SUM('3d.m.'!F58)</f>
        <v>900</v>
      </c>
      <c r="D68" s="483">
        <f t="shared" si="1"/>
        <v>900</v>
      </c>
      <c r="E68" s="483"/>
      <c r="F68" s="618">
        <v>900</v>
      </c>
      <c r="G68" s="617"/>
      <c r="H68" s="617"/>
      <c r="I68" s="617"/>
      <c r="J68" s="617"/>
      <c r="K68" s="617"/>
      <c r="L68" s="617"/>
      <c r="M68" s="620"/>
    </row>
    <row r="69" spans="1:13" ht="22.15" customHeight="1" x14ac:dyDescent="0.2">
      <c r="A69" s="638">
        <v>3995</v>
      </c>
      <c r="B69" s="643" t="s">
        <v>81</v>
      </c>
      <c r="C69" s="772">
        <f>SUM('3d.m.'!F59)</f>
        <v>900</v>
      </c>
      <c r="D69" s="483">
        <f t="shared" si="1"/>
        <v>900</v>
      </c>
      <c r="E69" s="483"/>
      <c r="F69" s="618">
        <v>900</v>
      </c>
      <c r="G69" s="617"/>
      <c r="H69" s="617"/>
      <c r="I69" s="617"/>
      <c r="J69" s="617"/>
      <c r="K69" s="617"/>
      <c r="L69" s="617"/>
      <c r="M69" s="620"/>
    </row>
    <row r="70" spans="1:13" ht="22.15" customHeight="1" x14ac:dyDescent="0.2">
      <c r="A70" s="638">
        <v>3997</v>
      </c>
      <c r="B70" s="643" t="s">
        <v>82</v>
      </c>
      <c r="C70" s="772">
        <f>SUM('3d.m.'!F60)</f>
        <v>900</v>
      </c>
      <c r="D70" s="483">
        <f t="shared" si="1"/>
        <v>900</v>
      </c>
      <c r="E70" s="483"/>
      <c r="F70" s="618">
        <v>900</v>
      </c>
      <c r="G70" s="617"/>
      <c r="H70" s="617"/>
      <c r="I70" s="617"/>
      <c r="J70" s="617"/>
      <c r="K70" s="617"/>
      <c r="L70" s="617"/>
      <c r="M70" s="620"/>
    </row>
    <row r="71" spans="1:13" ht="22.15" customHeight="1" x14ac:dyDescent="0.2">
      <c r="A71" s="638">
        <v>3998</v>
      </c>
      <c r="B71" s="643" t="s">
        <v>83</v>
      </c>
      <c r="C71" s="772">
        <f>SUM('3d.m.'!F61)</f>
        <v>900</v>
      </c>
      <c r="D71" s="483">
        <f t="shared" si="1"/>
        <v>900</v>
      </c>
      <c r="E71" s="483"/>
      <c r="F71" s="618">
        <v>900</v>
      </c>
      <c r="G71" s="617"/>
      <c r="H71" s="617"/>
      <c r="I71" s="617"/>
      <c r="J71" s="617"/>
      <c r="K71" s="617"/>
      <c r="L71" s="617"/>
      <c r="M71" s="620"/>
    </row>
    <row r="72" spans="1:13" ht="22.15" customHeight="1" x14ac:dyDescent="0.2">
      <c r="A72" s="638">
        <v>3999</v>
      </c>
      <c r="B72" s="643" t="s">
        <v>84</v>
      </c>
      <c r="C72" s="772">
        <f>SUM('3d.m.'!F62)</f>
        <v>1000</v>
      </c>
      <c r="D72" s="483">
        <f t="shared" si="1"/>
        <v>1000</v>
      </c>
      <c r="E72" s="483"/>
      <c r="F72" s="618">
        <v>1000</v>
      </c>
      <c r="G72" s="617"/>
      <c r="H72" s="617"/>
      <c r="I72" s="617"/>
      <c r="J72" s="617"/>
      <c r="K72" s="617"/>
      <c r="L72" s="617"/>
      <c r="M72" s="620"/>
    </row>
    <row r="73" spans="1:13" ht="22.15" customHeight="1" x14ac:dyDescent="0.2">
      <c r="A73" s="638">
        <v>4020</v>
      </c>
      <c r="B73" s="643" t="s">
        <v>1000</v>
      </c>
      <c r="C73" s="772">
        <f>SUM('4.mell.'!F21)</f>
        <v>61988</v>
      </c>
      <c r="D73" s="483">
        <f t="shared" si="1"/>
        <v>61988</v>
      </c>
      <c r="E73" s="483"/>
      <c r="F73" s="618"/>
      <c r="G73" s="617"/>
      <c r="H73" s="617"/>
      <c r="I73" s="617"/>
      <c r="J73" s="617"/>
      <c r="K73" s="617">
        <f>59988+2000</f>
        <v>61988</v>
      </c>
      <c r="L73" s="617"/>
      <c r="M73" s="620"/>
    </row>
    <row r="74" spans="1:13" ht="22.15" customHeight="1" x14ac:dyDescent="0.2">
      <c r="A74" s="638">
        <v>4132</v>
      </c>
      <c r="B74" s="772" t="s">
        <v>101</v>
      </c>
      <c r="C74" s="772">
        <f>SUM('4.mell.'!F68)</f>
        <v>29999</v>
      </c>
      <c r="D74" s="483">
        <f t="shared" si="1"/>
        <v>29999</v>
      </c>
      <c r="E74" s="483">
        <v>12000</v>
      </c>
      <c r="F74" s="618"/>
      <c r="G74" s="617"/>
      <c r="H74" s="617"/>
      <c r="I74" s="617"/>
      <c r="J74" s="617"/>
      <c r="K74" s="617">
        <f>8999+3000</f>
        <v>11999</v>
      </c>
      <c r="L74" s="617"/>
      <c r="M74" s="776">
        <v>6000</v>
      </c>
    </row>
    <row r="75" spans="1:13" ht="22.15" customHeight="1" x14ac:dyDescent="0.2">
      <c r="A75" s="638">
        <v>4324</v>
      </c>
      <c r="B75" s="644" t="s">
        <v>447</v>
      </c>
      <c r="C75" s="772">
        <f>SUM('4.mell.'!F85)</f>
        <v>1321049</v>
      </c>
      <c r="D75" s="483">
        <f t="shared" ref="D75:D92" si="2">SUM(E75:M75)</f>
        <v>1321049</v>
      </c>
      <c r="E75" s="483"/>
      <c r="F75" s="618"/>
      <c r="G75" s="617"/>
      <c r="H75" s="617"/>
      <c r="I75" s="617"/>
      <c r="J75" s="617"/>
      <c r="K75" s="617">
        <v>1321049</v>
      </c>
      <c r="L75" s="617"/>
      <c r="M75" s="620"/>
    </row>
    <row r="76" spans="1:13" ht="22.15" customHeight="1" x14ac:dyDescent="0.2">
      <c r="A76" s="638">
        <v>5002</v>
      </c>
      <c r="B76" s="644" t="s">
        <v>1280</v>
      </c>
      <c r="C76" s="772">
        <f>'5.mell. '!F11</f>
        <v>45694</v>
      </c>
      <c r="D76" s="483">
        <f t="shared" si="2"/>
        <v>45694</v>
      </c>
      <c r="E76" s="483"/>
      <c r="F76" s="618">
        <v>45694</v>
      </c>
      <c r="G76" s="617"/>
      <c r="H76" s="617"/>
      <c r="I76" s="617"/>
      <c r="J76" s="617"/>
      <c r="K76" s="617"/>
      <c r="L76" s="617"/>
      <c r="M76" s="620"/>
    </row>
    <row r="77" spans="1:13" ht="22.15" customHeight="1" x14ac:dyDescent="0.2">
      <c r="A77" s="638">
        <v>5003</v>
      </c>
      <c r="B77" s="617" t="s">
        <v>1214</v>
      </c>
      <c r="C77" s="772">
        <f>SUM('5.mell. '!F12)</f>
        <v>45000</v>
      </c>
      <c r="D77" s="483">
        <f t="shared" si="2"/>
        <v>45000</v>
      </c>
      <c r="E77" s="483"/>
      <c r="F77" s="618">
        <v>45000</v>
      </c>
      <c r="G77" s="617"/>
      <c r="H77" s="617"/>
      <c r="I77" s="617"/>
      <c r="J77" s="617"/>
      <c r="K77" s="617"/>
      <c r="L77" s="617"/>
      <c r="M77" s="620"/>
    </row>
    <row r="78" spans="1:13" ht="22.15" customHeight="1" x14ac:dyDescent="0.2">
      <c r="A78" s="638">
        <v>5004</v>
      </c>
      <c r="B78" s="617" t="s">
        <v>1331</v>
      </c>
      <c r="C78" s="772">
        <f>'5.mell. '!F13</f>
        <v>50000</v>
      </c>
      <c r="D78" s="483">
        <f t="shared" si="2"/>
        <v>50000</v>
      </c>
      <c r="E78" s="483"/>
      <c r="F78" s="618">
        <v>50000</v>
      </c>
      <c r="G78" s="617"/>
      <c r="H78" s="617"/>
      <c r="I78" s="617"/>
      <c r="J78" s="617"/>
      <c r="K78" s="617"/>
      <c r="L78" s="617"/>
      <c r="M78" s="620"/>
    </row>
    <row r="79" spans="1:13" ht="22.15" customHeight="1" x14ac:dyDescent="0.2">
      <c r="A79" s="638">
        <v>5009</v>
      </c>
      <c r="B79" s="617" t="s">
        <v>1244</v>
      </c>
      <c r="C79" s="772">
        <f>'5.mell. '!F19</f>
        <v>20000</v>
      </c>
      <c r="D79" s="483">
        <f t="shared" si="2"/>
        <v>20000</v>
      </c>
      <c r="E79" s="483"/>
      <c r="F79" s="618">
        <v>20000</v>
      </c>
      <c r="G79" s="617"/>
      <c r="H79" s="617"/>
      <c r="I79" s="617"/>
      <c r="J79" s="617"/>
      <c r="K79" s="617"/>
      <c r="L79" s="617"/>
      <c r="M79" s="620"/>
    </row>
    <row r="80" spans="1:13" ht="22.15" customHeight="1" x14ac:dyDescent="0.2">
      <c r="A80" s="638">
        <v>5012</v>
      </c>
      <c r="B80" s="617" t="s">
        <v>1223</v>
      </c>
      <c r="C80" s="772">
        <f>SUM('5.mell. '!F22)</f>
        <v>199000</v>
      </c>
      <c r="D80" s="483">
        <f t="shared" si="2"/>
        <v>199000</v>
      </c>
      <c r="E80" s="483"/>
      <c r="F80" s="618">
        <v>199000</v>
      </c>
      <c r="G80" s="617"/>
      <c r="H80" s="617"/>
      <c r="I80" s="617"/>
      <c r="J80" s="617"/>
      <c r="K80" s="617"/>
      <c r="L80" s="617"/>
      <c r="M80" s="620"/>
    </row>
    <row r="81" spans="1:13" ht="22.15" customHeight="1" x14ac:dyDescent="0.2">
      <c r="A81" s="638">
        <v>5013</v>
      </c>
      <c r="B81" s="617" t="s">
        <v>421</v>
      </c>
      <c r="C81" s="772">
        <f>'5.mell. '!F23</f>
        <v>8058</v>
      </c>
      <c r="D81" s="483">
        <f t="shared" si="2"/>
        <v>8058</v>
      </c>
      <c r="E81" s="483"/>
      <c r="F81" s="618">
        <v>2119</v>
      </c>
      <c r="G81" s="617"/>
      <c r="H81" s="617"/>
      <c r="I81" s="617"/>
      <c r="J81" s="617"/>
      <c r="K81" s="617">
        <v>5939</v>
      </c>
      <c r="L81" s="617"/>
      <c r="M81" s="620"/>
    </row>
    <row r="82" spans="1:13" ht="22.15" customHeight="1" x14ac:dyDescent="0.2">
      <c r="A82" s="638">
        <v>5014</v>
      </c>
      <c r="B82" s="493" t="s">
        <v>423</v>
      </c>
      <c r="C82" s="772">
        <f>SUM('5.mell. '!F25)</f>
        <v>40000</v>
      </c>
      <c r="D82" s="483">
        <f t="shared" si="2"/>
        <v>40000</v>
      </c>
      <c r="E82" s="483"/>
      <c r="F82" s="618">
        <v>20000</v>
      </c>
      <c r="G82" s="617"/>
      <c r="H82" s="617"/>
      <c r="I82" s="617"/>
      <c r="J82" s="617"/>
      <c r="K82" s="617">
        <v>20000</v>
      </c>
      <c r="L82" s="617"/>
      <c r="M82" s="620"/>
    </row>
    <row r="83" spans="1:13" ht="22.15" customHeight="1" x14ac:dyDescent="0.2">
      <c r="A83" s="638">
        <v>5015</v>
      </c>
      <c r="B83" s="492" t="s">
        <v>425</v>
      </c>
      <c r="C83" s="772">
        <f>SUM('5.mell. '!F26)</f>
        <v>15124</v>
      </c>
      <c r="D83" s="483">
        <f t="shared" si="2"/>
        <v>15124</v>
      </c>
      <c r="E83" s="483"/>
      <c r="F83" s="618">
        <v>15000</v>
      </c>
      <c r="G83" s="617"/>
      <c r="H83" s="617"/>
      <c r="I83" s="617"/>
      <c r="J83" s="617"/>
      <c r="K83" s="617">
        <v>124</v>
      </c>
      <c r="L83" s="617"/>
      <c r="M83" s="620"/>
    </row>
    <row r="84" spans="1:13" ht="22.15" customHeight="1" x14ac:dyDescent="0.2">
      <c r="A84" s="638">
        <v>5019</v>
      </c>
      <c r="B84" s="862" t="s">
        <v>1228</v>
      </c>
      <c r="C84" s="772">
        <f>'5.mell. '!F31</f>
        <v>364178</v>
      </c>
      <c r="D84" s="483">
        <f t="shared" si="2"/>
        <v>364178</v>
      </c>
      <c r="E84" s="483"/>
      <c r="F84" s="618"/>
      <c r="G84" s="617"/>
      <c r="H84" s="617"/>
      <c r="I84" s="617"/>
      <c r="J84" s="617"/>
      <c r="K84" s="617">
        <v>364178</v>
      </c>
      <c r="L84" s="617"/>
      <c r="M84" s="620"/>
    </row>
    <row r="85" spans="1:13" ht="22.15" customHeight="1" x14ac:dyDescent="0.2">
      <c r="A85" s="638">
        <v>5023</v>
      </c>
      <c r="B85" s="644" t="s">
        <v>1378</v>
      </c>
      <c r="C85" s="772">
        <f>'5.mell. '!F38</f>
        <v>1151312</v>
      </c>
      <c r="D85" s="483">
        <f t="shared" si="2"/>
        <v>1151312</v>
      </c>
      <c r="E85" s="483"/>
      <c r="F85" s="618">
        <v>120000</v>
      </c>
      <c r="G85" s="617"/>
      <c r="H85" s="617"/>
      <c r="I85" s="617"/>
      <c r="J85" s="617"/>
      <c r="K85" s="617">
        <v>974589</v>
      </c>
      <c r="L85" s="617">
        <v>56723</v>
      </c>
      <c r="M85" s="620"/>
    </row>
    <row r="86" spans="1:13" ht="22.15" customHeight="1" x14ac:dyDescent="0.2">
      <c r="A86" s="638">
        <v>5024</v>
      </c>
      <c r="B86" s="644" t="s">
        <v>1259</v>
      </c>
      <c r="C86" s="772">
        <f>'5.mell. '!F41</f>
        <v>4660</v>
      </c>
      <c r="D86" s="483">
        <f t="shared" si="2"/>
        <v>4660</v>
      </c>
      <c r="E86" s="483"/>
      <c r="F86" s="618"/>
      <c r="G86" s="617"/>
      <c r="H86" s="617"/>
      <c r="I86" s="617"/>
      <c r="J86" s="617"/>
      <c r="K86" s="617">
        <v>4660</v>
      </c>
      <c r="L86" s="617"/>
      <c r="M86" s="620"/>
    </row>
    <row r="87" spans="1:13" ht="22.15" customHeight="1" x14ac:dyDescent="0.2">
      <c r="A87" s="638">
        <v>5026</v>
      </c>
      <c r="B87" s="644" t="s">
        <v>1377</v>
      </c>
      <c r="C87" s="772">
        <f>SUM('5.mell. '!F44)</f>
        <v>20000</v>
      </c>
      <c r="D87" s="483">
        <f t="shared" si="2"/>
        <v>20000</v>
      </c>
      <c r="E87" s="483"/>
      <c r="F87" s="618">
        <v>20000</v>
      </c>
      <c r="G87" s="617"/>
      <c r="H87" s="617"/>
      <c r="I87" s="617"/>
      <c r="J87" s="617"/>
      <c r="K87" s="617"/>
      <c r="L87" s="617"/>
      <c r="M87" s="620"/>
    </row>
    <row r="88" spans="1:13" ht="22.15" customHeight="1" x14ac:dyDescent="0.2">
      <c r="A88" s="638">
        <v>5034</v>
      </c>
      <c r="B88" s="644" t="s">
        <v>1269</v>
      </c>
      <c r="C88" s="772">
        <f>'5.mell. '!F54</f>
        <v>108</v>
      </c>
      <c r="D88" s="483">
        <f t="shared" si="2"/>
        <v>108</v>
      </c>
      <c r="E88" s="483"/>
      <c r="F88" s="618"/>
      <c r="G88" s="617"/>
      <c r="H88" s="617"/>
      <c r="I88" s="617"/>
      <c r="J88" s="617"/>
      <c r="K88" s="617">
        <v>108</v>
      </c>
      <c r="L88" s="617"/>
      <c r="M88" s="620"/>
    </row>
    <row r="89" spans="1:13" ht="22.15" customHeight="1" x14ac:dyDescent="0.2">
      <c r="A89" s="638">
        <v>5056</v>
      </c>
      <c r="B89" s="644" t="s">
        <v>1118</v>
      </c>
      <c r="C89" s="772">
        <f>'5.mell. '!F58</f>
        <v>8917</v>
      </c>
      <c r="D89" s="483">
        <f t="shared" si="2"/>
        <v>8917</v>
      </c>
      <c r="E89" s="483"/>
      <c r="F89" s="618"/>
      <c r="G89" s="617"/>
      <c r="H89" s="617"/>
      <c r="I89" s="617"/>
      <c r="J89" s="617"/>
      <c r="K89" s="617">
        <v>8917</v>
      </c>
      <c r="L89" s="617"/>
      <c r="M89" s="620"/>
    </row>
    <row r="90" spans="1:13" ht="22.15" customHeight="1" x14ac:dyDescent="0.2">
      <c r="A90" s="638">
        <v>5061</v>
      </c>
      <c r="B90" s="644" t="s">
        <v>1229</v>
      </c>
      <c r="C90" s="772">
        <f>'5.mell. '!F59</f>
        <v>10000</v>
      </c>
      <c r="D90" s="483">
        <f t="shared" si="2"/>
        <v>10000</v>
      </c>
      <c r="E90" s="483"/>
      <c r="F90" s="618"/>
      <c r="G90" s="617"/>
      <c r="H90" s="617"/>
      <c r="I90" s="617"/>
      <c r="J90" s="617"/>
      <c r="K90" s="617">
        <v>10000</v>
      </c>
      <c r="L90" s="617"/>
      <c r="M90" s="620"/>
    </row>
    <row r="91" spans="1:13" ht="22.15" customHeight="1" x14ac:dyDescent="0.2">
      <c r="A91" s="638">
        <v>6141</v>
      </c>
      <c r="B91" s="644" t="s">
        <v>1260</v>
      </c>
      <c r="C91" s="772">
        <f>'6.mell. '!F23</f>
        <v>48590</v>
      </c>
      <c r="D91" s="483">
        <f t="shared" ref="D91" si="3">SUM(E91:M91)</f>
        <v>48590</v>
      </c>
      <c r="E91" s="483"/>
      <c r="F91" s="618"/>
      <c r="G91" s="617"/>
      <c r="H91" s="617"/>
      <c r="I91" s="617"/>
      <c r="J91" s="617"/>
      <c r="K91" s="617">
        <v>48590</v>
      </c>
      <c r="L91" s="617"/>
      <c r="M91" s="620"/>
    </row>
    <row r="92" spans="1:13" ht="22.15" customHeight="1" x14ac:dyDescent="0.2">
      <c r="A92" s="638">
        <v>6143</v>
      </c>
      <c r="B92" s="644" t="s">
        <v>1270</v>
      </c>
      <c r="C92" s="772">
        <f>'6.mell. '!F25</f>
        <v>0</v>
      </c>
      <c r="D92" s="483">
        <f t="shared" si="2"/>
        <v>0</v>
      </c>
      <c r="E92" s="483"/>
      <c r="F92" s="618"/>
      <c r="G92" s="617"/>
      <c r="H92" s="617"/>
      <c r="I92" s="617"/>
      <c r="J92" s="617"/>
      <c r="K92" s="617"/>
      <c r="L92" s="617"/>
      <c r="M92" s="620"/>
    </row>
    <row r="93" spans="1:13" ht="21" customHeight="1" x14ac:dyDescent="0.2">
      <c r="A93" s="645"/>
      <c r="B93" s="646" t="s">
        <v>121</v>
      </c>
      <c r="C93" s="791">
        <f>SUM(C7:C92)</f>
        <v>6518313</v>
      </c>
      <c r="D93" s="621">
        <f>SUM(D7:D92)</f>
        <v>6518313</v>
      </c>
      <c r="E93" s="621">
        <f t="shared" ref="E93:J93" si="4">SUM(E7:E90)</f>
        <v>1452469</v>
      </c>
      <c r="F93" s="621">
        <f t="shared" si="4"/>
        <v>1763168</v>
      </c>
      <c r="G93" s="621">
        <f t="shared" si="4"/>
        <v>500</v>
      </c>
      <c r="H93" s="621">
        <f t="shared" si="4"/>
        <v>6638</v>
      </c>
      <c r="I93" s="621">
        <f t="shared" si="4"/>
        <v>17820</v>
      </c>
      <c r="J93" s="621">
        <f t="shared" si="4"/>
        <v>0</v>
      </c>
      <c r="K93" s="621">
        <f>SUM(K7:K92)</f>
        <v>3205995</v>
      </c>
      <c r="L93" s="621">
        <f>SUM(L7:L90)</f>
        <v>56723</v>
      </c>
      <c r="M93" s="621">
        <f>SUM(M7:M90)</f>
        <v>15000</v>
      </c>
    </row>
    <row r="95" spans="1:13" x14ac:dyDescent="0.2">
      <c r="B95" s="794"/>
      <c r="D95" s="795"/>
    </row>
    <row r="96" spans="1:13" x14ac:dyDescent="0.2">
      <c r="B96" s="794"/>
      <c r="E96" s="852"/>
    </row>
  </sheetData>
  <autoFilter ref="A6:M93" xr:uid="{00000000-0009-0000-0000-00000F000000}"/>
  <mergeCells count="13">
    <mergeCell ref="K5:K6"/>
    <mergeCell ref="L5:L6"/>
    <mergeCell ref="M5:M6"/>
    <mergeCell ref="A1:M1"/>
    <mergeCell ref="B2:L2"/>
    <mergeCell ref="B3:L3"/>
    <mergeCell ref="B5:B6"/>
    <mergeCell ref="C5:C6"/>
    <mergeCell ref="D5:D6"/>
    <mergeCell ref="E5:E6"/>
    <mergeCell ref="F5:F6"/>
    <mergeCell ref="G5:H5"/>
    <mergeCell ref="I5:J5"/>
  </mergeCells>
  <pageMargins left="1.1811023622047245" right="0.78740157480314965" top="0.39370078740157483" bottom="0.19685039370078741" header="0.31496062992125984" footer="0"/>
  <pageSetup paperSize="9" scale="64" firstPageNumber="54" orientation="landscape" useFirstPageNumber="1" r:id="rId1"/>
  <headerFooter alignWithMargins="0">
    <oddFooter>&amp;C&amp;P. oldal</oddFooter>
  </headerFooter>
  <rowBreaks count="2" manualBreakCount="2">
    <brk id="40" max="16383" man="1"/>
    <brk id="77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3:G14"/>
  <sheetViews>
    <sheetView workbookViewId="0">
      <selection activeCell="C9" sqref="C9"/>
    </sheetView>
  </sheetViews>
  <sheetFormatPr defaultRowHeight="12.75" x14ac:dyDescent="0.2"/>
  <cols>
    <col min="2" max="2" width="45" customWidth="1"/>
    <col min="3" max="3" width="13.85546875" customWidth="1"/>
    <col min="4" max="4" width="14.85546875" customWidth="1"/>
    <col min="5" max="5" width="18.5703125" customWidth="1"/>
    <col min="6" max="6" width="18.85546875" customWidth="1"/>
    <col min="7" max="7" width="12" customWidth="1"/>
  </cols>
  <sheetData>
    <row r="3" spans="2:7" x14ac:dyDescent="0.2">
      <c r="B3" s="1344" t="s">
        <v>710</v>
      </c>
      <c r="C3" s="1344"/>
      <c r="D3" s="1344"/>
      <c r="E3" s="1344"/>
      <c r="F3" s="1344"/>
      <c r="G3" s="1344"/>
    </row>
    <row r="4" spans="2:7" ht="18.75" customHeight="1" x14ac:dyDescent="0.3">
      <c r="B4" s="1345" t="s">
        <v>711</v>
      </c>
      <c r="C4" s="1345"/>
      <c r="D4" s="1345"/>
      <c r="E4" s="1345"/>
      <c r="F4" s="1345"/>
      <c r="G4" s="1345"/>
    </row>
    <row r="5" spans="2:7" ht="18.75" x14ac:dyDescent="0.3">
      <c r="B5" s="1346" t="s">
        <v>1176</v>
      </c>
      <c r="C5" s="1346"/>
      <c r="D5" s="1346"/>
      <c r="E5" s="1346"/>
      <c r="F5" s="1346"/>
    </row>
    <row r="6" spans="2:7" ht="18.75" x14ac:dyDescent="0.3">
      <c r="B6" s="494"/>
      <c r="C6" s="494"/>
      <c r="D6" s="494"/>
      <c r="E6" s="494"/>
      <c r="F6" s="494"/>
    </row>
    <row r="7" spans="2:7" x14ac:dyDescent="0.2">
      <c r="G7" s="59" t="s">
        <v>456</v>
      </c>
    </row>
    <row r="8" spans="2:7" ht="132.75" customHeight="1" x14ac:dyDescent="0.2">
      <c r="B8" s="495" t="s">
        <v>712</v>
      </c>
      <c r="C8" s="482" t="s">
        <v>1357</v>
      </c>
      <c r="D8" s="482" t="s">
        <v>696</v>
      </c>
      <c r="E8" s="495" t="s">
        <v>713</v>
      </c>
      <c r="F8" s="495" t="s">
        <v>714</v>
      </c>
      <c r="G8" s="482" t="s">
        <v>715</v>
      </c>
    </row>
    <row r="9" spans="2:7" ht="14.25" x14ac:dyDescent="0.2">
      <c r="B9" s="495" t="s">
        <v>235</v>
      </c>
      <c r="C9" s="497"/>
      <c r="D9" s="498"/>
      <c r="E9" s="495"/>
      <c r="F9" s="495"/>
      <c r="G9" s="482"/>
    </row>
    <row r="10" spans="2:7" ht="23.25" customHeight="1" x14ac:dyDescent="0.2">
      <c r="B10" s="489" t="s">
        <v>976</v>
      </c>
      <c r="C10" s="499">
        <v>211920</v>
      </c>
      <c r="D10" s="499">
        <v>211920</v>
      </c>
      <c r="E10" s="500"/>
      <c r="F10" s="500"/>
      <c r="G10" s="484">
        <v>211920</v>
      </c>
    </row>
    <row r="11" spans="2:7" ht="18" customHeight="1" x14ac:dyDescent="0.2">
      <c r="B11" s="500"/>
      <c r="C11" s="500"/>
      <c r="D11" s="500"/>
      <c r="E11" s="500"/>
      <c r="F11" s="500"/>
      <c r="G11" s="500"/>
    </row>
    <row r="12" spans="2:7" ht="23.25" customHeight="1" x14ac:dyDescent="0.2">
      <c r="B12" s="501" t="s">
        <v>121</v>
      </c>
      <c r="C12" s="502">
        <f>SUM(C10:C11)</f>
        <v>211920</v>
      </c>
      <c r="D12" s="502">
        <f>SUM(D10:D11)</f>
        <v>211920</v>
      </c>
      <c r="E12" s="502">
        <f>SUM(E10:E11)</f>
        <v>0</v>
      </c>
      <c r="F12" s="501"/>
      <c r="G12" s="502">
        <f>SUM(G10:G11)</f>
        <v>211920</v>
      </c>
    </row>
    <row r="14" spans="2:7" x14ac:dyDescent="0.2">
      <c r="D14" s="47"/>
    </row>
  </sheetData>
  <mergeCells count="3">
    <mergeCell ref="B3:G3"/>
    <mergeCell ref="B4:G4"/>
    <mergeCell ref="B5:F5"/>
  </mergeCells>
  <pageMargins left="0.39370078740157483" right="0.39370078740157483" top="0.98425196850393704" bottom="0.98425196850393704" header="0.51181102362204722" footer="0.51181102362204722"/>
  <pageSetup paperSize="9" firstPageNumber="57" orientation="landscape" useFirstPageNumber="1" r:id="rId1"/>
  <headerFooter alignWithMargins="0">
    <oddFooter>&amp;C&amp;P. oldal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Q40"/>
  <sheetViews>
    <sheetView topLeftCell="A7" workbookViewId="0">
      <selection activeCell="M36" sqref="M36:M37"/>
    </sheetView>
  </sheetViews>
  <sheetFormatPr defaultColWidth="9.140625" defaultRowHeight="12.75" x14ac:dyDescent="0.2"/>
  <cols>
    <col min="1" max="1" width="9.140625" style="503"/>
    <col min="2" max="2" width="22.140625" style="503" customWidth="1"/>
    <col min="3" max="3" width="9.85546875" style="503" customWidth="1"/>
    <col min="4" max="4" width="10" style="503" customWidth="1"/>
    <col min="5" max="5" width="9.28515625" style="503" customWidth="1"/>
    <col min="6" max="6" width="8.85546875" style="503" customWidth="1"/>
    <col min="7" max="7" width="10.85546875" style="503" customWidth="1"/>
    <col min="8" max="8" width="9.5703125" style="503" customWidth="1"/>
    <col min="9" max="9" width="9.85546875" style="503" customWidth="1"/>
    <col min="10" max="11" width="10" style="503" customWidth="1"/>
    <col min="12" max="12" width="10.140625" style="503" customWidth="1"/>
    <col min="13" max="13" width="10.85546875" style="503" customWidth="1"/>
    <col min="14" max="14" width="9.85546875" style="503" customWidth="1"/>
    <col min="15" max="15" width="10.140625" style="503" customWidth="1"/>
    <col min="16" max="16" width="9.140625" style="503"/>
    <col min="17" max="17" width="10.140625" style="503" bestFit="1" customWidth="1"/>
    <col min="18" max="16384" width="9.140625" style="503"/>
  </cols>
  <sheetData>
    <row r="1" spans="1:15" x14ac:dyDescent="0.2">
      <c r="A1" s="1368" t="s">
        <v>716</v>
      </c>
      <c r="B1" s="1368"/>
      <c r="C1" s="1368"/>
      <c r="D1" s="1368"/>
      <c r="E1" s="1368"/>
      <c r="F1" s="1368"/>
      <c r="G1" s="1368"/>
      <c r="H1" s="1368"/>
      <c r="I1" s="1368"/>
      <c r="J1" s="1368"/>
      <c r="K1" s="1368"/>
      <c r="L1" s="1368"/>
      <c r="M1" s="1368"/>
      <c r="N1" s="1368"/>
      <c r="O1" s="1368"/>
    </row>
    <row r="2" spans="1:15" x14ac:dyDescent="0.2">
      <c r="A2" s="1369" t="s">
        <v>1211</v>
      </c>
      <c r="B2" s="1368"/>
      <c r="C2" s="1368"/>
      <c r="D2" s="1368"/>
      <c r="E2" s="1368"/>
      <c r="F2" s="1368"/>
      <c r="G2" s="1368"/>
      <c r="H2" s="1368"/>
      <c r="I2" s="1368"/>
      <c r="J2" s="1368"/>
      <c r="K2" s="1368"/>
      <c r="L2" s="1368"/>
      <c r="M2" s="1368"/>
      <c r="N2" s="1368"/>
      <c r="O2" s="1368"/>
    </row>
    <row r="3" spans="1:15" ht="13.5" thickBot="1" x14ac:dyDescent="0.25">
      <c r="A3" s="504"/>
      <c r="B3" s="504"/>
      <c r="C3" s="504"/>
      <c r="D3" s="504"/>
      <c r="E3" s="504"/>
      <c r="F3" s="504"/>
      <c r="G3" s="504"/>
      <c r="H3" s="504"/>
      <c r="I3" s="504"/>
      <c r="J3" s="504"/>
      <c r="K3" s="504"/>
      <c r="L3" s="504"/>
      <c r="M3" s="504"/>
      <c r="N3" s="504"/>
      <c r="O3" s="505" t="s">
        <v>146</v>
      </c>
    </row>
    <row r="4" spans="1:15" ht="15" customHeight="1" thickBot="1" x14ac:dyDescent="0.25">
      <c r="A4" s="1370" t="s">
        <v>130</v>
      </c>
      <c r="B4" s="1371"/>
      <c r="C4" s="506" t="s">
        <v>717</v>
      </c>
      <c r="D4" s="506" t="s">
        <v>718</v>
      </c>
      <c r="E4" s="506" t="s">
        <v>719</v>
      </c>
      <c r="F4" s="506" t="s">
        <v>720</v>
      </c>
      <c r="G4" s="506" t="s">
        <v>721</v>
      </c>
      <c r="H4" s="506" t="s">
        <v>722</v>
      </c>
      <c r="I4" s="506" t="s">
        <v>723</v>
      </c>
      <c r="J4" s="506" t="s">
        <v>724</v>
      </c>
      <c r="K4" s="506" t="s">
        <v>725</v>
      </c>
      <c r="L4" s="506" t="s">
        <v>726</v>
      </c>
      <c r="M4" s="506" t="s">
        <v>727</v>
      </c>
      <c r="N4" s="506" t="s">
        <v>728</v>
      </c>
      <c r="O4" s="506" t="s">
        <v>142</v>
      </c>
    </row>
    <row r="5" spans="1:15" ht="15" customHeight="1" thickBot="1" x14ac:dyDescent="0.25">
      <c r="A5" s="507" t="s">
        <v>141</v>
      </c>
      <c r="B5" s="508"/>
      <c r="C5" s="509"/>
      <c r="D5" s="509"/>
      <c r="E5" s="508"/>
      <c r="F5" s="508"/>
      <c r="G5" s="508"/>
      <c r="H5" s="508"/>
      <c r="I5" s="508"/>
      <c r="J5" s="508"/>
      <c r="K5" s="508"/>
      <c r="L5" s="508"/>
      <c r="M5" s="508"/>
      <c r="N5" s="508"/>
      <c r="O5" s="510"/>
    </row>
    <row r="6" spans="1:15" ht="15" customHeight="1" x14ac:dyDescent="0.2">
      <c r="A6" s="1372" t="s">
        <v>729</v>
      </c>
      <c r="B6" s="1373"/>
      <c r="C6" s="1360">
        <v>383000</v>
      </c>
      <c r="D6" s="1360">
        <v>327000</v>
      </c>
      <c r="E6" s="1360">
        <v>356000</v>
      </c>
      <c r="F6" s="1360">
        <v>650000</v>
      </c>
      <c r="G6" s="1360">
        <v>650000</v>
      </c>
      <c r="H6" s="1360">
        <v>650000</v>
      </c>
      <c r="I6" s="1360">
        <v>560000</v>
      </c>
      <c r="J6" s="1360">
        <v>417815</v>
      </c>
      <c r="K6" s="1360">
        <v>850000</v>
      </c>
      <c r="L6" s="1360">
        <v>499922</v>
      </c>
      <c r="M6" s="1360">
        <v>700000</v>
      </c>
      <c r="N6" s="1360">
        <v>440695</v>
      </c>
      <c r="O6" s="1374">
        <f>SUM(C6:N7)</f>
        <v>6484432</v>
      </c>
    </row>
    <row r="7" spans="1:15" ht="13.5" customHeight="1" x14ac:dyDescent="0.2">
      <c r="A7" s="1366"/>
      <c r="B7" s="1367"/>
      <c r="C7" s="1359"/>
      <c r="D7" s="1359"/>
      <c r="E7" s="1359"/>
      <c r="F7" s="1359"/>
      <c r="G7" s="1359"/>
      <c r="H7" s="1359"/>
      <c r="I7" s="1359"/>
      <c r="J7" s="1359"/>
      <c r="K7" s="1359"/>
      <c r="L7" s="1359"/>
      <c r="M7" s="1359"/>
      <c r="N7" s="1359"/>
      <c r="O7" s="1352"/>
    </row>
    <row r="8" spans="1:15" ht="12" customHeight="1" x14ac:dyDescent="0.2">
      <c r="A8" s="1364" t="s">
        <v>730</v>
      </c>
      <c r="B8" s="1365"/>
      <c r="C8" s="1347">
        <v>727000</v>
      </c>
      <c r="D8" s="1347">
        <v>650000</v>
      </c>
      <c r="E8" s="1347">
        <v>2119000</v>
      </c>
      <c r="F8" s="1347">
        <v>2945951</v>
      </c>
      <c r="G8" s="1347">
        <v>1168000</v>
      </c>
      <c r="H8" s="1347">
        <v>860000</v>
      </c>
      <c r="I8" s="1347">
        <v>800000</v>
      </c>
      <c r="J8" s="1347">
        <v>927719</v>
      </c>
      <c r="K8" s="1347">
        <v>2777951</v>
      </c>
      <c r="L8" s="1347">
        <v>1300000</v>
      </c>
      <c r="M8" s="1347">
        <v>1054510</v>
      </c>
      <c r="N8" s="1347">
        <v>881780</v>
      </c>
      <c r="O8" s="1350">
        <f>SUM(C8:N8)</f>
        <v>16211911</v>
      </c>
    </row>
    <row r="9" spans="1:15" ht="15.75" customHeight="1" x14ac:dyDescent="0.2">
      <c r="A9" s="1366"/>
      <c r="B9" s="1367"/>
      <c r="C9" s="1359"/>
      <c r="D9" s="1359"/>
      <c r="E9" s="1359"/>
      <c r="F9" s="1359"/>
      <c r="G9" s="1359"/>
      <c r="H9" s="1359"/>
      <c r="I9" s="1359"/>
      <c r="J9" s="1359"/>
      <c r="K9" s="1359"/>
      <c r="L9" s="1359"/>
      <c r="M9" s="1359"/>
      <c r="N9" s="1359"/>
      <c r="O9" s="1352"/>
    </row>
    <row r="10" spans="1:15" ht="17.25" customHeight="1" x14ac:dyDescent="0.2">
      <c r="A10" s="1364" t="s">
        <v>731</v>
      </c>
      <c r="B10" s="1354"/>
      <c r="C10" s="1347">
        <v>200815</v>
      </c>
      <c r="D10" s="1347">
        <v>260000</v>
      </c>
      <c r="E10" s="1347">
        <v>260000</v>
      </c>
      <c r="F10" s="1347">
        <v>260000</v>
      </c>
      <c r="G10" s="1347">
        <v>260700</v>
      </c>
      <c r="H10" s="1347">
        <v>270065</v>
      </c>
      <c r="I10" s="1347">
        <v>260000</v>
      </c>
      <c r="J10" s="1347">
        <v>280000</v>
      </c>
      <c r="K10" s="1347">
        <v>419800</v>
      </c>
      <c r="L10" s="1347">
        <v>513840</v>
      </c>
      <c r="M10" s="1347">
        <v>388738</v>
      </c>
      <c r="N10" s="1347">
        <f>296525+46745</f>
        <v>343270</v>
      </c>
      <c r="O10" s="1350">
        <f>SUM(C10:N10)</f>
        <v>3717228</v>
      </c>
    </row>
    <row r="11" spans="1:15" ht="22.5" customHeight="1" x14ac:dyDescent="0.2">
      <c r="A11" s="1355"/>
      <c r="B11" s="1356"/>
      <c r="C11" s="1359"/>
      <c r="D11" s="1359"/>
      <c r="E11" s="1359"/>
      <c r="F11" s="1359"/>
      <c r="G11" s="1359"/>
      <c r="H11" s="1359"/>
      <c r="I11" s="1359"/>
      <c r="J11" s="1359"/>
      <c r="K11" s="1359"/>
      <c r="L11" s="1359"/>
      <c r="M11" s="1359"/>
      <c r="N11" s="1359"/>
      <c r="O11" s="1352"/>
    </row>
    <row r="12" spans="1:15" ht="20.25" customHeight="1" x14ac:dyDescent="0.2">
      <c r="A12" s="1364" t="s">
        <v>732</v>
      </c>
      <c r="B12" s="1354"/>
      <c r="C12" s="1347"/>
      <c r="D12" s="1347"/>
      <c r="E12" s="1347"/>
      <c r="F12" s="1347"/>
      <c r="G12" s="1347"/>
      <c r="H12" s="1347"/>
      <c r="I12" s="1347"/>
      <c r="J12" s="1347"/>
      <c r="K12" s="1347">
        <v>7987</v>
      </c>
      <c r="L12" s="1347"/>
      <c r="M12" s="1347">
        <v>6638</v>
      </c>
      <c r="N12" s="1347"/>
      <c r="O12" s="1350">
        <f>SUM(C12:N12)</f>
        <v>14625</v>
      </c>
    </row>
    <row r="13" spans="1:15" ht="15" customHeight="1" x14ac:dyDescent="0.2">
      <c r="A13" s="1355"/>
      <c r="B13" s="1356"/>
      <c r="C13" s="1359"/>
      <c r="D13" s="1359"/>
      <c r="E13" s="1359"/>
      <c r="F13" s="1359"/>
      <c r="G13" s="1359"/>
      <c r="H13" s="1359"/>
      <c r="I13" s="1359"/>
      <c r="J13" s="1359"/>
      <c r="K13" s="1359"/>
      <c r="L13" s="1359"/>
      <c r="M13" s="1359"/>
      <c r="N13" s="1359"/>
      <c r="O13" s="1352"/>
    </row>
    <row r="14" spans="1:15" ht="14.25" customHeight="1" x14ac:dyDescent="0.2">
      <c r="A14" s="1353" t="s">
        <v>733</v>
      </c>
      <c r="B14" s="1354"/>
      <c r="C14" s="1347">
        <v>10000</v>
      </c>
      <c r="D14" s="1347">
        <v>10000</v>
      </c>
      <c r="E14" s="1347">
        <v>10000</v>
      </c>
      <c r="F14" s="1347">
        <v>10000</v>
      </c>
      <c r="G14" s="1347">
        <v>10000</v>
      </c>
      <c r="H14" s="1347">
        <v>10000</v>
      </c>
      <c r="I14" s="1347">
        <v>10000</v>
      </c>
      <c r="J14" s="1347">
        <v>20000</v>
      </c>
      <c r="K14" s="1347">
        <v>30000</v>
      </c>
      <c r="L14" s="1347">
        <v>40000</v>
      </c>
      <c r="M14" s="1347">
        <v>105750</v>
      </c>
      <c r="N14" s="1347">
        <v>70000</v>
      </c>
      <c r="O14" s="1350">
        <f>SUM(C14:N14)</f>
        <v>335750</v>
      </c>
    </row>
    <row r="15" spans="1:15" ht="14.25" customHeight="1" x14ac:dyDescent="0.2">
      <c r="A15" s="1355"/>
      <c r="B15" s="1356"/>
      <c r="C15" s="1359"/>
      <c r="D15" s="1359"/>
      <c r="E15" s="1359"/>
      <c r="F15" s="1359"/>
      <c r="G15" s="1359"/>
      <c r="H15" s="1359"/>
      <c r="I15" s="1359"/>
      <c r="J15" s="1359"/>
      <c r="K15" s="1359"/>
      <c r="L15" s="1359"/>
      <c r="M15" s="1359"/>
      <c r="N15" s="1359"/>
      <c r="O15" s="1352"/>
    </row>
    <row r="16" spans="1:15" ht="12" customHeight="1" x14ac:dyDescent="0.2">
      <c r="A16" s="1353" t="s">
        <v>734</v>
      </c>
      <c r="B16" s="1354"/>
      <c r="C16" s="1347">
        <v>1200</v>
      </c>
      <c r="D16" s="1347">
        <v>1300</v>
      </c>
      <c r="E16" s="1347">
        <v>401400</v>
      </c>
      <c r="F16" s="1347">
        <v>1400</v>
      </c>
      <c r="G16" s="1347">
        <v>101400</v>
      </c>
      <c r="H16" s="1347">
        <v>1500</v>
      </c>
      <c r="I16" s="1347">
        <v>1500</v>
      </c>
      <c r="J16" s="1347">
        <v>1500</v>
      </c>
      <c r="K16" s="1347">
        <v>1800</v>
      </c>
      <c r="L16" s="1347">
        <v>1950</v>
      </c>
      <c r="M16" s="1347">
        <v>1950</v>
      </c>
      <c r="N16" s="1347">
        <v>2100</v>
      </c>
      <c r="O16" s="1350">
        <f>SUM(C16:N16)</f>
        <v>519000</v>
      </c>
    </row>
    <row r="17" spans="1:16" ht="17.25" customHeight="1" x14ac:dyDescent="0.2">
      <c r="A17" s="1355"/>
      <c r="B17" s="1356"/>
      <c r="C17" s="1359"/>
      <c r="D17" s="1359"/>
      <c r="E17" s="1359"/>
      <c r="F17" s="1359"/>
      <c r="G17" s="1359"/>
      <c r="H17" s="1359"/>
      <c r="I17" s="1359"/>
      <c r="J17" s="1359"/>
      <c r="K17" s="1359"/>
      <c r="L17" s="1359"/>
      <c r="M17" s="1359"/>
      <c r="N17" s="1359"/>
      <c r="O17" s="1352"/>
    </row>
    <row r="18" spans="1:16" ht="14.25" customHeight="1" x14ac:dyDescent="0.2">
      <c r="A18" s="1353" t="s">
        <v>735</v>
      </c>
      <c r="B18" s="1354"/>
      <c r="C18" s="1347">
        <v>5545000</v>
      </c>
      <c r="D18" s="1347"/>
      <c r="E18" s="1347"/>
      <c r="F18" s="1347"/>
      <c r="G18" s="1347">
        <v>6238842</v>
      </c>
      <c r="H18" s="1347"/>
      <c r="I18" s="1347"/>
      <c r="J18" s="1347"/>
      <c r="K18" s="1347">
        <v>603417</v>
      </c>
      <c r="L18" s="1347"/>
      <c r="M18" s="1347">
        <v>155802</v>
      </c>
      <c r="N18" s="1347"/>
      <c r="O18" s="1350">
        <f>SUM(C18:N18)</f>
        <v>12543061</v>
      </c>
    </row>
    <row r="19" spans="1:16" ht="14.25" customHeight="1" thickBot="1" x14ac:dyDescent="0.25">
      <c r="A19" s="1357"/>
      <c r="B19" s="1358"/>
      <c r="C19" s="1348"/>
      <c r="D19" s="1348"/>
      <c r="E19" s="1348"/>
      <c r="F19" s="1348"/>
      <c r="G19" s="1348"/>
      <c r="H19" s="1348"/>
      <c r="I19" s="1348"/>
      <c r="J19" s="1348"/>
      <c r="K19" s="1348"/>
      <c r="L19" s="1348"/>
      <c r="M19" s="1348"/>
      <c r="N19" s="1348"/>
      <c r="O19" s="1351"/>
    </row>
    <row r="20" spans="1:16" ht="18" customHeight="1" thickBot="1" x14ac:dyDescent="0.25">
      <c r="A20" s="511" t="s">
        <v>736</v>
      </c>
      <c r="B20" s="512"/>
      <c r="C20" s="513">
        <f t="shared" ref="C20:N20" si="0">SUM(C6:C19)</f>
        <v>6867015</v>
      </c>
      <c r="D20" s="513">
        <f t="shared" si="0"/>
        <v>1248300</v>
      </c>
      <c r="E20" s="513">
        <f t="shared" si="0"/>
        <v>3146400</v>
      </c>
      <c r="F20" s="513">
        <f t="shared" si="0"/>
        <v>3867351</v>
      </c>
      <c r="G20" s="513">
        <f t="shared" si="0"/>
        <v>8428942</v>
      </c>
      <c r="H20" s="513">
        <f t="shared" si="0"/>
        <v>1791565</v>
      </c>
      <c r="I20" s="513">
        <f t="shared" si="0"/>
        <v>1631500</v>
      </c>
      <c r="J20" s="513">
        <f t="shared" si="0"/>
        <v>1647034</v>
      </c>
      <c r="K20" s="513">
        <f t="shared" si="0"/>
        <v>4690955</v>
      </c>
      <c r="L20" s="513">
        <f t="shared" si="0"/>
        <v>2355712</v>
      </c>
      <c r="M20" s="513">
        <f t="shared" si="0"/>
        <v>2413388</v>
      </c>
      <c r="N20" s="513">
        <f t="shared" si="0"/>
        <v>1737845</v>
      </c>
      <c r="O20" s="514">
        <f>SUM(O6:O19)</f>
        <v>39826007</v>
      </c>
    </row>
    <row r="21" spans="1:16" ht="15" customHeight="1" thickBot="1" x14ac:dyDescent="0.25">
      <c r="A21" s="515" t="s">
        <v>252</v>
      </c>
      <c r="B21" s="509"/>
      <c r="C21" s="516"/>
      <c r="D21" s="516"/>
      <c r="E21" s="516"/>
      <c r="F21" s="516"/>
      <c r="G21" s="516"/>
      <c r="H21" s="516"/>
      <c r="I21" s="516"/>
      <c r="J21" s="516"/>
      <c r="K21" s="516"/>
      <c r="L21" s="516"/>
      <c r="M21" s="516"/>
      <c r="N21" s="516"/>
      <c r="O21" s="517"/>
    </row>
    <row r="22" spans="1:16" ht="12" customHeight="1" x14ac:dyDescent="0.2">
      <c r="A22" s="1362" t="s">
        <v>737</v>
      </c>
      <c r="B22" s="1363"/>
      <c r="C22" s="1360">
        <v>560000</v>
      </c>
      <c r="D22" s="1360">
        <v>521000</v>
      </c>
      <c r="E22" s="1360">
        <v>750000</v>
      </c>
      <c r="F22" s="1360">
        <v>850000</v>
      </c>
      <c r="G22" s="1360">
        <v>850000</v>
      </c>
      <c r="H22" s="1360">
        <v>870000</v>
      </c>
      <c r="I22" s="1360">
        <v>801665</v>
      </c>
      <c r="J22" s="1360">
        <v>845465</v>
      </c>
      <c r="K22" s="1360">
        <v>925752</v>
      </c>
      <c r="L22" s="1360">
        <v>950000</v>
      </c>
      <c r="M22" s="1360">
        <v>905988</v>
      </c>
      <c r="N22" s="1360">
        <v>827131</v>
      </c>
      <c r="O22" s="1350">
        <f>SUM(C22:N23)</f>
        <v>9657001</v>
      </c>
    </row>
    <row r="23" spans="1:16" ht="12.75" customHeight="1" x14ac:dyDescent="0.2">
      <c r="A23" s="1355"/>
      <c r="B23" s="1356"/>
      <c r="C23" s="1361"/>
      <c r="D23" s="1361"/>
      <c r="E23" s="1361"/>
      <c r="F23" s="1361"/>
      <c r="G23" s="1361"/>
      <c r="H23" s="1361"/>
      <c r="I23" s="1361"/>
      <c r="J23" s="1361"/>
      <c r="K23" s="1361"/>
      <c r="L23" s="1361"/>
      <c r="M23" s="1361"/>
      <c r="N23" s="1361"/>
      <c r="O23" s="1352"/>
      <c r="P23" s="626"/>
    </row>
    <row r="24" spans="1:16" ht="15" customHeight="1" x14ac:dyDescent="0.2">
      <c r="A24" s="1353" t="s">
        <v>738</v>
      </c>
      <c r="B24" s="1354"/>
      <c r="C24" s="1347">
        <v>73000</v>
      </c>
      <c r="D24" s="1347">
        <v>74000</v>
      </c>
      <c r="E24" s="1347">
        <v>77000</v>
      </c>
      <c r="F24" s="1347">
        <v>79000</v>
      </c>
      <c r="G24" s="1347">
        <v>180000</v>
      </c>
      <c r="H24" s="1347">
        <v>271136</v>
      </c>
      <c r="I24" s="1347">
        <v>93000</v>
      </c>
      <c r="J24" s="1347">
        <v>110000</v>
      </c>
      <c r="K24" s="1347">
        <v>70223</v>
      </c>
      <c r="L24" s="1347">
        <v>120000</v>
      </c>
      <c r="M24" s="1347">
        <v>120000</v>
      </c>
      <c r="N24" s="1347">
        <v>126828</v>
      </c>
      <c r="O24" s="1350">
        <f>SUM(C24:N25)</f>
        <v>1394187</v>
      </c>
      <c r="P24" s="626"/>
    </row>
    <row r="25" spans="1:16" ht="14.25" customHeight="1" x14ac:dyDescent="0.2">
      <c r="A25" s="1355"/>
      <c r="B25" s="1356"/>
      <c r="C25" s="1349"/>
      <c r="D25" s="1349"/>
      <c r="E25" s="1349"/>
      <c r="F25" s="1349"/>
      <c r="G25" s="1349"/>
      <c r="H25" s="1349"/>
      <c r="I25" s="1349"/>
      <c r="J25" s="1349"/>
      <c r="K25" s="1349"/>
      <c r="L25" s="1349"/>
      <c r="M25" s="1349"/>
      <c r="N25" s="1349"/>
      <c r="O25" s="1352"/>
      <c r="P25" s="626"/>
    </row>
    <row r="26" spans="1:16" ht="12" customHeight="1" x14ac:dyDescent="0.2">
      <c r="A26" s="1353" t="s">
        <v>739</v>
      </c>
      <c r="B26" s="1354"/>
      <c r="C26" s="1347">
        <v>546000</v>
      </c>
      <c r="D26" s="1347">
        <v>580000</v>
      </c>
      <c r="E26" s="1347">
        <v>600000</v>
      </c>
      <c r="F26" s="1347">
        <v>840000</v>
      </c>
      <c r="G26" s="1347">
        <v>869917</v>
      </c>
      <c r="H26" s="1347">
        <v>900000</v>
      </c>
      <c r="I26" s="1347">
        <v>950000</v>
      </c>
      <c r="J26" s="1347">
        <v>950000</v>
      </c>
      <c r="K26" s="1347">
        <v>950000</v>
      </c>
      <c r="L26" s="1347">
        <f>948044+106034</f>
        <v>1054078</v>
      </c>
      <c r="M26" s="1347">
        <f>932057+100000</f>
        <v>1032057</v>
      </c>
      <c r="N26" s="1347">
        <v>1296889</v>
      </c>
      <c r="O26" s="1350">
        <f>SUM(C26:N27)</f>
        <v>10568941</v>
      </c>
      <c r="P26" s="626"/>
    </row>
    <row r="27" spans="1:16" ht="15" customHeight="1" x14ac:dyDescent="0.2">
      <c r="A27" s="1355"/>
      <c r="B27" s="1356"/>
      <c r="C27" s="1349"/>
      <c r="D27" s="1349"/>
      <c r="E27" s="1349"/>
      <c r="F27" s="1349"/>
      <c r="G27" s="1349"/>
      <c r="H27" s="1349"/>
      <c r="I27" s="1349"/>
      <c r="J27" s="1349"/>
      <c r="K27" s="1349"/>
      <c r="L27" s="1349"/>
      <c r="M27" s="1349"/>
      <c r="N27" s="1349"/>
      <c r="O27" s="1352"/>
      <c r="P27" s="626"/>
    </row>
    <row r="28" spans="1:16" ht="12" customHeight="1" x14ac:dyDescent="0.2">
      <c r="A28" s="1353" t="s">
        <v>740</v>
      </c>
      <c r="B28" s="1354"/>
      <c r="C28" s="1347">
        <v>14000</v>
      </c>
      <c r="D28" s="1347">
        <v>15000</v>
      </c>
      <c r="E28" s="1347">
        <v>15000</v>
      </c>
      <c r="F28" s="1347">
        <v>15000</v>
      </c>
      <c r="G28" s="1347">
        <v>19642</v>
      </c>
      <c r="H28" s="1347">
        <v>18757</v>
      </c>
      <c r="I28" s="1347">
        <v>15000</v>
      </c>
      <c r="J28" s="1347">
        <v>15000</v>
      </c>
      <c r="K28" s="1347">
        <v>16000</v>
      </c>
      <c r="L28" s="1347">
        <v>16000</v>
      </c>
      <c r="M28" s="1347">
        <v>16000</v>
      </c>
      <c r="N28" s="1347">
        <v>7959</v>
      </c>
      <c r="O28" s="1350">
        <f>SUM(C28:N29)</f>
        <v>183358</v>
      </c>
      <c r="P28" s="626"/>
    </row>
    <row r="29" spans="1:16" ht="15.75" customHeight="1" x14ac:dyDescent="0.2">
      <c r="A29" s="1355"/>
      <c r="B29" s="1356"/>
      <c r="C29" s="1349"/>
      <c r="D29" s="1349"/>
      <c r="E29" s="1349"/>
      <c r="F29" s="1349"/>
      <c r="G29" s="1349"/>
      <c r="H29" s="1349"/>
      <c r="I29" s="1349"/>
      <c r="J29" s="1349"/>
      <c r="K29" s="1349"/>
      <c r="L29" s="1349"/>
      <c r="M29" s="1349"/>
      <c r="N29" s="1349"/>
      <c r="O29" s="1352"/>
      <c r="P29" s="626"/>
    </row>
    <row r="30" spans="1:16" ht="12" customHeight="1" x14ac:dyDescent="0.2">
      <c r="A30" s="1353" t="s">
        <v>741</v>
      </c>
      <c r="B30" s="1354"/>
      <c r="C30" s="1347">
        <v>500000</v>
      </c>
      <c r="D30" s="1347">
        <v>522186</v>
      </c>
      <c r="E30" s="1347">
        <v>420000</v>
      </c>
      <c r="F30" s="1347">
        <v>320000</v>
      </c>
      <c r="G30" s="1347">
        <v>444068</v>
      </c>
      <c r="H30" s="1347">
        <v>354462</v>
      </c>
      <c r="I30" s="1347">
        <v>400000</v>
      </c>
      <c r="J30" s="1347">
        <v>353140</v>
      </c>
      <c r="K30" s="1347">
        <v>313000</v>
      </c>
      <c r="L30" s="1347">
        <v>224723</v>
      </c>
      <c r="M30" s="1347">
        <v>150773</v>
      </c>
      <c r="N30" s="1347">
        <v>69977</v>
      </c>
      <c r="O30" s="1350">
        <f>SUM(C30:N31)</f>
        <v>4072329</v>
      </c>
      <c r="P30" s="626"/>
    </row>
    <row r="31" spans="1:16" ht="12" customHeight="1" x14ac:dyDescent="0.2">
      <c r="A31" s="1355"/>
      <c r="B31" s="1356"/>
      <c r="C31" s="1359"/>
      <c r="D31" s="1359"/>
      <c r="E31" s="1359"/>
      <c r="F31" s="1359"/>
      <c r="G31" s="1359"/>
      <c r="H31" s="1359"/>
      <c r="I31" s="1359"/>
      <c r="J31" s="1359"/>
      <c r="K31" s="1359"/>
      <c r="L31" s="1359"/>
      <c r="M31" s="1359"/>
      <c r="N31" s="1359"/>
      <c r="O31" s="1352"/>
      <c r="P31" s="626"/>
    </row>
    <row r="32" spans="1:16" ht="12" customHeight="1" x14ac:dyDescent="0.2">
      <c r="A32" s="1353" t="s">
        <v>742</v>
      </c>
      <c r="B32" s="1354"/>
      <c r="C32" s="1347">
        <v>15000</v>
      </c>
      <c r="D32" s="1347">
        <v>85000</v>
      </c>
      <c r="E32" s="1347">
        <v>160000</v>
      </c>
      <c r="F32" s="1347">
        <v>244155</v>
      </c>
      <c r="G32" s="1347">
        <v>2461968</v>
      </c>
      <c r="H32" s="1347">
        <v>320000</v>
      </c>
      <c r="I32" s="1347">
        <v>320000</v>
      </c>
      <c r="J32" s="1347">
        <v>211777</v>
      </c>
      <c r="K32" s="1347">
        <v>61351</v>
      </c>
      <c r="L32" s="1347">
        <v>70261</v>
      </c>
      <c r="M32" s="1347">
        <v>87108</v>
      </c>
      <c r="N32" s="1347">
        <v>97167</v>
      </c>
      <c r="O32" s="1350">
        <f>SUM(C32:N33)</f>
        <v>4133787</v>
      </c>
      <c r="P32" s="626"/>
    </row>
    <row r="33" spans="1:17" ht="14.25" customHeight="1" x14ac:dyDescent="0.2">
      <c r="A33" s="1355"/>
      <c r="B33" s="1356"/>
      <c r="C33" s="1349"/>
      <c r="D33" s="1349"/>
      <c r="E33" s="1349"/>
      <c r="F33" s="1349"/>
      <c r="G33" s="1349"/>
      <c r="H33" s="1349"/>
      <c r="I33" s="1349"/>
      <c r="J33" s="1349"/>
      <c r="K33" s="1349"/>
      <c r="L33" s="1349"/>
      <c r="M33" s="1349"/>
      <c r="N33" s="1349"/>
      <c r="O33" s="1352"/>
      <c r="P33" s="626"/>
    </row>
    <row r="34" spans="1:17" ht="15" customHeight="1" x14ac:dyDescent="0.2">
      <c r="A34" s="1353" t="s">
        <v>743</v>
      </c>
      <c r="B34" s="1354"/>
      <c r="C34" s="1347">
        <v>150000</v>
      </c>
      <c r="D34" s="1347">
        <v>150000</v>
      </c>
      <c r="E34" s="1347">
        <v>150000</v>
      </c>
      <c r="F34" s="1347">
        <v>150000</v>
      </c>
      <c r="G34" s="1347">
        <v>216362</v>
      </c>
      <c r="H34" s="1347">
        <v>1411761</v>
      </c>
      <c r="I34" s="1347">
        <v>1176593</v>
      </c>
      <c r="J34" s="1347">
        <v>650022</v>
      </c>
      <c r="K34" s="1347">
        <v>505189</v>
      </c>
      <c r="L34" s="1347">
        <v>284355</v>
      </c>
      <c r="M34" s="1347">
        <v>259500</v>
      </c>
      <c r="N34" s="1347">
        <v>150000</v>
      </c>
      <c r="O34" s="1350">
        <f>SUM(C34:N35)</f>
        <v>5253782</v>
      </c>
      <c r="P34" s="626"/>
    </row>
    <row r="35" spans="1:17" ht="15" customHeight="1" x14ac:dyDescent="0.2">
      <c r="A35" s="1355"/>
      <c r="B35" s="1356"/>
      <c r="C35" s="1349"/>
      <c r="D35" s="1349"/>
      <c r="E35" s="1349"/>
      <c r="F35" s="1349"/>
      <c r="G35" s="1349"/>
      <c r="H35" s="1349"/>
      <c r="I35" s="1349"/>
      <c r="J35" s="1349"/>
      <c r="K35" s="1349"/>
      <c r="L35" s="1349"/>
      <c r="M35" s="1349"/>
      <c r="N35" s="1349"/>
      <c r="O35" s="1352"/>
      <c r="P35" s="626"/>
    </row>
    <row r="36" spans="1:17" ht="15" customHeight="1" x14ac:dyDescent="0.2">
      <c r="A36" s="1353" t="s">
        <v>744</v>
      </c>
      <c r="B36" s="1354"/>
      <c r="C36" s="1347">
        <v>250000</v>
      </c>
      <c r="D36" s="1347">
        <v>248240</v>
      </c>
      <c r="E36" s="1347">
        <v>210000</v>
      </c>
      <c r="F36" s="1347">
        <v>390000</v>
      </c>
      <c r="G36" s="1347">
        <v>422999</v>
      </c>
      <c r="H36" s="1347">
        <v>440000</v>
      </c>
      <c r="I36" s="1347">
        <v>420000</v>
      </c>
      <c r="J36" s="1347">
        <v>170000</v>
      </c>
      <c r="K36" s="1347">
        <v>238788</v>
      </c>
      <c r="L36" s="1347">
        <v>179393</v>
      </c>
      <c r="M36" s="1347">
        <v>195782</v>
      </c>
      <c r="N36" s="1347">
        <v>200000</v>
      </c>
      <c r="O36" s="1350">
        <f>SUM(C36:N37)</f>
        <v>3365202</v>
      </c>
      <c r="P36" s="626"/>
    </row>
    <row r="37" spans="1:17" ht="15" customHeight="1" x14ac:dyDescent="0.2">
      <c r="A37" s="1355"/>
      <c r="B37" s="1356"/>
      <c r="C37" s="1349"/>
      <c r="D37" s="1349"/>
      <c r="E37" s="1349"/>
      <c r="F37" s="1349"/>
      <c r="G37" s="1349"/>
      <c r="H37" s="1349"/>
      <c r="I37" s="1349"/>
      <c r="J37" s="1349"/>
      <c r="K37" s="1349"/>
      <c r="L37" s="1349"/>
      <c r="M37" s="1349"/>
      <c r="N37" s="1349"/>
      <c r="O37" s="1352"/>
      <c r="P37" s="626"/>
      <c r="Q37" s="626"/>
    </row>
    <row r="38" spans="1:17" ht="14.25" customHeight="1" x14ac:dyDescent="0.2">
      <c r="A38" s="1353" t="s">
        <v>745</v>
      </c>
      <c r="B38" s="1354"/>
      <c r="C38" s="1347">
        <v>131554</v>
      </c>
      <c r="D38" s="1347"/>
      <c r="E38" s="1347">
        <v>12000</v>
      </c>
      <c r="F38" s="1347">
        <v>294647</v>
      </c>
      <c r="G38" s="1347"/>
      <c r="H38" s="1347"/>
      <c r="I38" s="1347"/>
      <c r="J38" s="1347"/>
      <c r="K38" s="1347">
        <v>603417</v>
      </c>
      <c r="L38" s="1347"/>
      <c r="M38" s="1347">
        <v>165802</v>
      </c>
      <c r="N38" s="1347"/>
      <c r="O38" s="1350">
        <v>1197420</v>
      </c>
      <c r="P38" s="626"/>
    </row>
    <row r="39" spans="1:17" ht="27.75" customHeight="1" thickBot="1" x14ac:dyDescent="0.25">
      <c r="A39" s="1357"/>
      <c r="B39" s="1358"/>
      <c r="C39" s="1348"/>
      <c r="D39" s="1348"/>
      <c r="E39" s="1348"/>
      <c r="F39" s="1348"/>
      <c r="G39" s="1348"/>
      <c r="H39" s="1348"/>
      <c r="I39" s="1348"/>
      <c r="J39" s="1348"/>
      <c r="K39" s="1348"/>
      <c r="L39" s="1348"/>
      <c r="M39" s="1348"/>
      <c r="N39" s="1348"/>
      <c r="O39" s="1351"/>
      <c r="P39" s="626"/>
    </row>
    <row r="40" spans="1:17" ht="18" customHeight="1" thickBot="1" x14ac:dyDescent="0.25">
      <c r="A40" s="518" t="s">
        <v>746</v>
      </c>
      <c r="B40" s="519"/>
      <c r="C40" s="513">
        <f t="shared" ref="C40:N40" si="1">SUM(C22:C39)</f>
        <v>2239554</v>
      </c>
      <c r="D40" s="513">
        <f t="shared" si="1"/>
        <v>2195426</v>
      </c>
      <c r="E40" s="513">
        <f t="shared" si="1"/>
        <v>2394000</v>
      </c>
      <c r="F40" s="513">
        <f t="shared" si="1"/>
        <v>3182802</v>
      </c>
      <c r="G40" s="513">
        <f t="shared" si="1"/>
        <v>5464956</v>
      </c>
      <c r="H40" s="513">
        <f t="shared" si="1"/>
        <v>4586116</v>
      </c>
      <c r="I40" s="513">
        <f t="shared" si="1"/>
        <v>4176258</v>
      </c>
      <c r="J40" s="513">
        <f t="shared" si="1"/>
        <v>3305404</v>
      </c>
      <c r="K40" s="513">
        <f t="shared" si="1"/>
        <v>3683720</v>
      </c>
      <c r="L40" s="513">
        <f t="shared" si="1"/>
        <v>2898810</v>
      </c>
      <c r="M40" s="513">
        <f t="shared" si="1"/>
        <v>2933010</v>
      </c>
      <c r="N40" s="513">
        <f t="shared" si="1"/>
        <v>2775951</v>
      </c>
      <c r="O40" s="514">
        <f>SUM(O22:O39)</f>
        <v>39826007</v>
      </c>
      <c r="P40" s="626"/>
      <c r="Q40" s="626"/>
    </row>
  </sheetData>
  <mergeCells count="227">
    <mergeCell ref="A1:O1"/>
    <mergeCell ref="A2:O2"/>
    <mergeCell ref="A4:B4"/>
    <mergeCell ref="A6:B7"/>
    <mergeCell ref="C6:C7"/>
    <mergeCell ref="D6:D7"/>
    <mergeCell ref="E6:E7"/>
    <mergeCell ref="F6:F7"/>
    <mergeCell ref="G6:G7"/>
    <mergeCell ref="H6:H7"/>
    <mergeCell ref="O6:O7"/>
    <mergeCell ref="I6:I7"/>
    <mergeCell ref="J6:J7"/>
    <mergeCell ref="K6:K7"/>
    <mergeCell ref="L6:L7"/>
    <mergeCell ref="M6:M7"/>
    <mergeCell ref="N6:N7"/>
    <mergeCell ref="N8:N9"/>
    <mergeCell ref="O8:O9"/>
    <mergeCell ref="A10:B11"/>
    <mergeCell ref="C10:C11"/>
    <mergeCell ref="D10:D11"/>
    <mergeCell ref="E10:E11"/>
    <mergeCell ref="F10:F11"/>
    <mergeCell ref="M10:M11"/>
    <mergeCell ref="N10:N11"/>
    <mergeCell ref="O10:O11"/>
    <mergeCell ref="I10:I11"/>
    <mergeCell ref="J10:J11"/>
    <mergeCell ref="K10:K11"/>
    <mergeCell ref="L10:L11"/>
    <mergeCell ref="A8:B9"/>
    <mergeCell ref="C8:C9"/>
    <mergeCell ref="D8:D9"/>
    <mergeCell ref="E8:E9"/>
    <mergeCell ref="F8:F9"/>
    <mergeCell ref="G8:G9"/>
    <mergeCell ref="H8:H9"/>
    <mergeCell ref="I8:I9"/>
    <mergeCell ref="J8:J9"/>
    <mergeCell ref="E12:E13"/>
    <mergeCell ref="F12:F13"/>
    <mergeCell ref="G12:G13"/>
    <mergeCell ref="H12:H13"/>
    <mergeCell ref="G10:G11"/>
    <mergeCell ref="H10:H11"/>
    <mergeCell ref="K8:K9"/>
    <mergeCell ref="L8:L9"/>
    <mergeCell ref="M8:M9"/>
    <mergeCell ref="O12:O13"/>
    <mergeCell ref="A14:B15"/>
    <mergeCell ref="C14:C15"/>
    <mergeCell ref="D14:D15"/>
    <mergeCell ref="E14:E15"/>
    <mergeCell ref="F14:F15"/>
    <mergeCell ref="G14:G15"/>
    <mergeCell ref="H14:H15"/>
    <mergeCell ref="I14:I15"/>
    <mergeCell ref="J14:J15"/>
    <mergeCell ref="I12:I13"/>
    <mergeCell ref="J12:J13"/>
    <mergeCell ref="K12:K13"/>
    <mergeCell ref="L12:L13"/>
    <mergeCell ref="M12:M13"/>
    <mergeCell ref="N12:N13"/>
    <mergeCell ref="K14:K15"/>
    <mergeCell ref="L14:L15"/>
    <mergeCell ref="M14:M15"/>
    <mergeCell ref="N14:N15"/>
    <mergeCell ref="O14:O15"/>
    <mergeCell ref="A12:B13"/>
    <mergeCell ref="C12:C13"/>
    <mergeCell ref="D12:D13"/>
    <mergeCell ref="A16:B17"/>
    <mergeCell ref="C16:C17"/>
    <mergeCell ref="D16:D17"/>
    <mergeCell ref="E16:E17"/>
    <mergeCell ref="F16:F17"/>
    <mergeCell ref="M16:M17"/>
    <mergeCell ref="N16:N17"/>
    <mergeCell ref="O16:O17"/>
    <mergeCell ref="A18:B19"/>
    <mergeCell ref="C18:C19"/>
    <mergeCell ref="D18:D19"/>
    <mergeCell ref="E18:E19"/>
    <mergeCell ref="F18:F19"/>
    <mergeCell ref="G18:G19"/>
    <mergeCell ref="H18:H19"/>
    <mergeCell ref="G16:G17"/>
    <mergeCell ref="H16:H17"/>
    <mergeCell ref="I16:I17"/>
    <mergeCell ref="J16:J17"/>
    <mergeCell ref="K16:K17"/>
    <mergeCell ref="L16:L17"/>
    <mergeCell ref="O18:O19"/>
    <mergeCell ref="I18:I19"/>
    <mergeCell ref="J18:J19"/>
    <mergeCell ref="A22:B23"/>
    <mergeCell ref="C22:C23"/>
    <mergeCell ref="D22:D23"/>
    <mergeCell ref="E22:E23"/>
    <mergeCell ref="F22:F23"/>
    <mergeCell ref="G22:G23"/>
    <mergeCell ref="H22:H23"/>
    <mergeCell ref="I22:I23"/>
    <mergeCell ref="J22:J23"/>
    <mergeCell ref="K18:K19"/>
    <mergeCell ref="L18:L19"/>
    <mergeCell ref="M18:M19"/>
    <mergeCell ref="N18:N19"/>
    <mergeCell ref="K22:K23"/>
    <mergeCell ref="L22:L23"/>
    <mergeCell ref="M22:M23"/>
    <mergeCell ref="N22:N23"/>
    <mergeCell ref="O22:O23"/>
    <mergeCell ref="A24:B25"/>
    <mergeCell ref="C24:C25"/>
    <mergeCell ref="D24:D25"/>
    <mergeCell ref="E24:E25"/>
    <mergeCell ref="F24:F25"/>
    <mergeCell ref="M24:M25"/>
    <mergeCell ref="N24:N25"/>
    <mergeCell ref="O24:O25"/>
    <mergeCell ref="A26:B27"/>
    <mergeCell ref="C26:C27"/>
    <mergeCell ref="D26:D27"/>
    <mergeCell ref="E26:E27"/>
    <mergeCell ref="F26:F27"/>
    <mergeCell ref="G26:G27"/>
    <mergeCell ref="H26:H27"/>
    <mergeCell ref="G24:G25"/>
    <mergeCell ref="H24:H25"/>
    <mergeCell ref="I24:I25"/>
    <mergeCell ref="J24:J25"/>
    <mergeCell ref="K24:K25"/>
    <mergeCell ref="L24:L25"/>
    <mergeCell ref="O26:O27"/>
    <mergeCell ref="I26:I27"/>
    <mergeCell ref="J26:J27"/>
    <mergeCell ref="A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6:K27"/>
    <mergeCell ref="L26:L27"/>
    <mergeCell ref="M26:M27"/>
    <mergeCell ref="N26:N27"/>
    <mergeCell ref="K28:K29"/>
    <mergeCell ref="L28:L29"/>
    <mergeCell ref="M28:M29"/>
    <mergeCell ref="N28:N29"/>
    <mergeCell ref="O28:O29"/>
    <mergeCell ref="A30:B31"/>
    <mergeCell ref="C30:C31"/>
    <mergeCell ref="D30:D31"/>
    <mergeCell ref="E30:E31"/>
    <mergeCell ref="F30:F31"/>
    <mergeCell ref="M30:M31"/>
    <mergeCell ref="N30:N31"/>
    <mergeCell ref="O30:O31"/>
    <mergeCell ref="A32:B33"/>
    <mergeCell ref="C32:C33"/>
    <mergeCell ref="D32:D33"/>
    <mergeCell ref="E32:E33"/>
    <mergeCell ref="F32:F33"/>
    <mergeCell ref="G32:G33"/>
    <mergeCell ref="H32:H33"/>
    <mergeCell ref="G30:G31"/>
    <mergeCell ref="H30:H31"/>
    <mergeCell ref="I30:I31"/>
    <mergeCell ref="J30:J31"/>
    <mergeCell ref="K30:K31"/>
    <mergeCell ref="L30:L31"/>
    <mergeCell ref="O32:O33"/>
    <mergeCell ref="I32:I33"/>
    <mergeCell ref="J32:J33"/>
    <mergeCell ref="A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2:K33"/>
    <mergeCell ref="L32:L33"/>
    <mergeCell ref="M32:M33"/>
    <mergeCell ref="N32:N33"/>
    <mergeCell ref="K34:K35"/>
    <mergeCell ref="L34:L35"/>
    <mergeCell ref="M34:M35"/>
    <mergeCell ref="N34:N35"/>
    <mergeCell ref="O34:O35"/>
    <mergeCell ref="A36:B37"/>
    <mergeCell ref="C36:C37"/>
    <mergeCell ref="D36:D37"/>
    <mergeCell ref="E36:E37"/>
    <mergeCell ref="F36:F37"/>
    <mergeCell ref="A38:B39"/>
    <mergeCell ref="C38:C39"/>
    <mergeCell ref="D38:D39"/>
    <mergeCell ref="E38:E39"/>
    <mergeCell ref="F38:F39"/>
    <mergeCell ref="G38:G39"/>
    <mergeCell ref="H38:H39"/>
    <mergeCell ref="G36:G37"/>
    <mergeCell ref="H36:H37"/>
    <mergeCell ref="O38:O39"/>
    <mergeCell ref="I38:I39"/>
    <mergeCell ref="J38:J39"/>
    <mergeCell ref="K38:K39"/>
    <mergeCell ref="L38:L39"/>
    <mergeCell ref="M38:M39"/>
    <mergeCell ref="N38:N39"/>
    <mergeCell ref="M36:M37"/>
    <mergeCell ref="N36:N37"/>
    <mergeCell ref="O36:O37"/>
    <mergeCell ref="I36:I37"/>
    <mergeCell ref="J36:J37"/>
    <mergeCell ref="K36:K37"/>
    <mergeCell ref="L36:L37"/>
  </mergeCells>
  <printOptions horizontalCentered="1" verticalCentered="1"/>
  <pageMargins left="0" right="0" top="0" bottom="0.39370078740157483" header="0" footer="0.19685039370078741"/>
  <pageSetup paperSize="9" scale="75" firstPageNumber="58" orientation="landscape" useFirstPageNumber="1" r:id="rId1"/>
  <headerFooter alignWithMargins="0">
    <oddFooter>&amp;C&amp;P. oldal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2:J33"/>
  <sheetViews>
    <sheetView topLeftCell="A7" workbookViewId="0">
      <selection activeCell="G12" sqref="G12:G14"/>
    </sheetView>
  </sheetViews>
  <sheetFormatPr defaultColWidth="9.140625" defaultRowHeight="12.75" x14ac:dyDescent="0.2"/>
  <cols>
    <col min="1" max="1" width="9.140625" style="520"/>
    <col min="2" max="2" width="31.85546875" style="520" customWidth="1"/>
    <col min="3" max="6" width="14.7109375" style="520" customWidth="1"/>
    <col min="7" max="7" width="13.7109375" style="520" customWidth="1"/>
    <col min="8" max="8" width="13.140625" style="520" customWidth="1"/>
    <col min="9" max="9" width="13.85546875" style="520" customWidth="1"/>
    <col min="10" max="16384" width="9.140625" style="520"/>
  </cols>
  <sheetData>
    <row r="2" spans="2:10" x14ac:dyDescent="0.2">
      <c r="B2" s="1386" t="s">
        <v>747</v>
      </c>
      <c r="C2" s="1386"/>
      <c r="D2" s="1386"/>
      <c r="E2" s="1386"/>
      <c r="F2" s="1386"/>
      <c r="G2" s="1387"/>
      <c r="H2" s="1387"/>
      <c r="I2" s="1387"/>
    </row>
    <row r="3" spans="2:10" x14ac:dyDescent="0.2">
      <c r="B3" s="1388" t="s">
        <v>748</v>
      </c>
      <c r="C3" s="1388"/>
      <c r="D3" s="1388"/>
      <c r="E3" s="1388"/>
      <c r="F3" s="1388"/>
      <c r="G3" s="1389"/>
      <c r="H3" s="1389"/>
      <c r="I3" s="1389"/>
    </row>
    <row r="4" spans="2:10" x14ac:dyDescent="0.2">
      <c r="B4" s="1389"/>
      <c r="C4" s="1389"/>
      <c r="D4" s="1389"/>
      <c r="E4" s="1389"/>
      <c r="F4" s="1389"/>
      <c r="G4" s="1389"/>
      <c r="H4" s="1389"/>
      <c r="I4" s="1389"/>
    </row>
    <row r="5" spans="2:10" x14ac:dyDescent="0.2">
      <c r="B5" s="521"/>
      <c r="C5" s="521"/>
      <c r="D5" s="521"/>
      <c r="E5" s="521"/>
      <c r="F5" s="521"/>
      <c r="G5" s="521"/>
      <c r="H5" s="521"/>
      <c r="I5" s="521"/>
    </row>
    <row r="6" spans="2:10" x14ac:dyDescent="0.2">
      <c r="I6" s="522" t="s">
        <v>456</v>
      </c>
    </row>
    <row r="7" spans="2:10" ht="12.75" customHeight="1" x14ac:dyDescent="0.2">
      <c r="B7" s="1390" t="s">
        <v>749</v>
      </c>
      <c r="C7" s="1393" t="s">
        <v>1363</v>
      </c>
      <c r="D7" s="1393" t="s">
        <v>1354</v>
      </c>
      <c r="E7" s="1393" t="s">
        <v>1336</v>
      </c>
      <c r="F7" s="1393" t="s">
        <v>1251</v>
      </c>
      <c r="G7" s="1391" t="s">
        <v>1023</v>
      </c>
      <c r="H7" s="1391" t="s">
        <v>1116</v>
      </c>
      <c r="I7" s="1391" t="s">
        <v>1173</v>
      </c>
    </row>
    <row r="8" spans="2:10" ht="30.75" customHeight="1" x14ac:dyDescent="0.2">
      <c r="B8" s="1390"/>
      <c r="C8" s="1393"/>
      <c r="D8" s="1393"/>
      <c r="E8" s="1393"/>
      <c r="F8" s="1393"/>
      <c r="G8" s="1392"/>
      <c r="H8" s="1392"/>
      <c r="I8" s="1392"/>
    </row>
    <row r="9" spans="2:10" ht="12.75" customHeight="1" x14ac:dyDescent="0.2">
      <c r="B9" s="1382" t="s">
        <v>750</v>
      </c>
      <c r="C9" s="1381">
        <f>'1b.mell '!F215+'1b.mell '!F216</f>
        <v>15310959</v>
      </c>
      <c r="D9" s="1381">
        <f>'1b.mell '!E215+'1b.mell '!E216</f>
        <v>15234959</v>
      </c>
      <c r="E9" s="1381">
        <f>'1b.mell '!C215+'1b.mell '!C216</f>
        <v>15234959</v>
      </c>
      <c r="F9" s="1381">
        <f>'1b.mell '!C215+'1b.mell '!C216</f>
        <v>15234959</v>
      </c>
      <c r="G9" s="1381">
        <v>15800000</v>
      </c>
      <c r="H9" s="1381">
        <v>16200000</v>
      </c>
      <c r="I9" s="1381">
        <v>16600000</v>
      </c>
    </row>
    <row r="10" spans="2:10" ht="12.75" customHeight="1" x14ac:dyDescent="0.2">
      <c r="B10" s="1382"/>
      <c r="C10" s="1381"/>
      <c r="D10" s="1381"/>
      <c r="E10" s="1381"/>
      <c r="F10" s="1381"/>
      <c r="G10" s="1381"/>
      <c r="H10" s="1381"/>
      <c r="I10" s="1381"/>
    </row>
    <row r="11" spans="2:10" ht="27" customHeight="1" x14ac:dyDescent="0.2">
      <c r="B11" s="1382"/>
      <c r="C11" s="1381"/>
      <c r="D11" s="1381"/>
      <c r="E11" s="1381"/>
      <c r="F11" s="1381"/>
      <c r="G11" s="1381"/>
      <c r="H11" s="1381"/>
      <c r="I11" s="1381"/>
      <c r="J11" s="523"/>
    </row>
    <row r="12" spans="2:10" ht="13.15" customHeight="1" x14ac:dyDescent="0.2">
      <c r="B12" s="1382" t="s">
        <v>1392</v>
      </c>
      <c r="C12" s="1381">
        <v>700000</v>
      </c>
      <c r="D12" s="1381">
        <v>700000</v>
      </c>
      <c r="E12" s="1381">
        <v>700000</v>
      </c>
      <c r="F12" s="1381">
        <v>700000</v>
      </c>
      <c r="G12" s="1381">
        <v>700000</v>
      </c>
      <c r="H12" s="1381">
        <v>700000</v>
      </c>
      <c r="I12" s="1381">
        <v>700000</v>
      </c>
    </row>
    <row r="13" spans="2:10" ht="13.15" customHeight="1" x14ac:dyDescent="0.2">
      <c r="B13" s="1382"/>
      <c r="C13" s="1381"/>
      <c r="D13" s="1381"/>
      <c r="E13" s="1381"/>
      <c r="F13" s="1381"/>
      <c r="G13" s="1381"/>
      <c r="H13" s="1381"/>
      <c r="I13" s="1381"/>
    </row>
    <row r="14" spans="2:10" ht="60" customHeight="1" x14ac:dyDescent="0.2">
      <c r="B14" s="1382"/>
      <c r="C14" s="1381"/>
      <c r="D14" s="1381"/>
      <c r="E14" s="1381"/>
      <c r="F14" s="1381"/>
      <c r="G14" s="1381"/>
      <c r="H14" s="1381"/>
      <c r="I14" s="1381"/>
      <c r="J14" s="523"/>
    </row>
    <row r="15" spans="2:10" ht="12.75" customHeight="1" x14ac:dyDescent="0.2">
      <c r="B15" s="1382" t="s">
        <v>751</v>
      </c>
      <c r="C15" s="1383" t="s">
        <v>1154</v>
      </c>
      <c r="D15" s="1383" t="s">
        <v>1154</v>
      </c>
      <c r="E15" s="1383" t="s">
        <v>1154</v>
      </c>
      <c r="F15" s="1383" t="s">
        <v>1154</v>
      </c>
      <c r="G15" s="1383" t="s">
        <v>752</v>
      </c>
      <c r="H15" s="1383" t="s">
        <v>752</v>
      </c>
      <c r="I15" s="1383" t="s">
        <v>752</v>
      </c>
    </row>
    <row r="16" spans="2:10" ht="12.75" customHeight="1" x14ac:dyDescent="0.2">
      <c r="B16" s="1382"/>
      <c r="C16" s="1384"/>
      <c r="D16" s="1384"/>
      <c r="E16" s="1384"/>
      <c r="F16" s="1384"/>
      <c r="G16" s="1384"/>
      <c r="H16" s="1384"/>
      <c r="I16" s="1384"/>
    </row>
    <row r="17" spans="2:10" ht="27" customHeight="1" x14ac:dyDescent="0.2">
      <c r="B17" s="1382"/>
      <c r="C17" s="1385"/>
      <c r="D17" s="1385"/>
      <c r="E17" s="1385"/>
      <c r="F17" s="1385"/>
      <c r="G17" s="1385"/>
      <c r="H17" s="1385"/>
      <c r="I17" s="1385"/>
    </row>
    <row r="18" spans="2:10" ht="12.75" customHeight="1" x14ac:dyDescent="0.2">
      <c r="B18" s="1382" t="s">
        <v>753</v>
      </c>
      <c r="C18" s="1381">
        <f>'1b.mell '!F240</f>
        <v>335750</v>
      </c>
      <c r="D18" s="1381">
        <f>'1b.mell '!E240</f>
        <v>180000</v>
      </c>
      <c r="E18" s="1381">
        <f>'1b.mell '!C240</f>
        <v>180000</v>
      </c>
      <c r="F18" s="1381">
        <f>'1b.mell '!C240</f>
        <v>180000</v>
      </c>
      <c r="G18" s="1381">
        <v>180000</v>
      </c>
      <c r="H18" s="1381">
        <v>180000</v>
      </c>
      <c r="I18" s="1381">
        <v>180000</v>
      </c>
    </row>
    <row r="19" spans="2:10" ht="15.75" customHeight="1" x14ac:dyDescent="0.2">
      <c r="B19" s="1382"/>
      <c r="C19" s="1381"/>
      <c r="D19" s="1381"/>
      <c r="E19" s="1381"/>
      <c r="F19" s="1381"/>
      <c r="G19" s="1381"/>
      <c r="H19" s="1381"/>
      <c r="I19" s="1381"/>
    </row>
    <row r="20" spans="2:10" ht="43.5" customHeight="1" x14ac:dyDescent="0.2">
      <c r="B20" s="1382"/>
      <c r="C20" s="1381"/>
      <c r="D20" s="1381"/>
      <c r="E20" s="1381"/>
      <c r="F20" s="1381"/>
      <c r="G20" s="1381"/>
      <c r="H20" s="1381"/>
      <c r="I20" s="1381"/>
    </row>
    <row r="21" spans="2:10" ht="12.75" customHeight="1" x14ac:dyDescent="0.2">
      <c r="B21" s="1382" t="s">
        <v>754</v>
      </c>
      <c r="C21" s="1381">
        <v>899172</v>
      </c>
      <c r="D21" s="1381">
        <v>899172</v>
      </c>
      <c r="E21" s="1381">
        <v>899172</v>
      </c>
      <c r="F21" s="1381">
        <v>899172</v>
      </c>
      <c r="G21" s="1381">
        <v>880000</v>
      </c>
      <c r="H21" s="1381">
        <v>880000</v>
      </c>
      <c r="I21" s="1381">
        <v>880000</v>
      </c>
    </row>
    <row r="22" spans="2:10" ht="12.75" customHeight="1" x14ac:dyDescent="0.2">
      <c r="B22" s="1382"/>
      <c r="C22" s="1381"/>
      <c r="D22" s="1381"/>
      <c r="E22" s="1381"/>
      <c r="F22" s="1381"/>
      <c r="G22" s="1381"/>
      <c r="H22" s="1381"/>
      <c r="I22" s="1381"/>
    </row>
    <row r="23" spans="2:10" ht="27" customHeight="1" x14ac:dyDescent="0.2">
      <c r="B23" s="1382"/>
      <c r="C23" s="1381"/>
      <c r="D23" s="1381"/>
      <c r="E23" s="1381"/>
      <c r="F23" s="1381"/>
      <c r="G23" s="1381"/>
      <c r="H23" s="1381"/>
      <c r="I23" s="1381"/>
      <c r="J23" s="523"/>
    </row>
    <row r="24" spans="2:10" ht="12.75" customHeight="1" x14ac:dyDescent="0.2">
      <c r="B24" s="1382" t="s">
        <v>755</v>
      </c>
      <c r="C24" s="1383" t="s">
        <v>1154</v>
      </c>
      <c r="D24" s="1383" t="s">
        <v>1154</v>
      </c>
      <c r="E24" s="1383" t="s">
        <v>1154</v>
      </c>
      <c r="F24" s="1383" t="s">
        <v>1154</v>
      </c>
      <c r="G24" s="1383" t="s">
        <v>752</v>
      </c>
      <c r="H24" s="1383" t="s">
        <v>752</v>
      </c>
      <c r="I24" s="1383" t="s">
        <v>752</v>
      </c>
    </row>
    <row r="25" spans="2:10" ht="12.75" customHeight="1" x14ac:dyDescent="0.2">
      <c r="B25" s="1382"/>
      <c r="C25" s="1384"/>
      <c r="D25" s="1384"/>
      <c r="E25" s="1384"/>
      <c r="F25" s="1384"/>
      <c r="G25" s="1384"/>
      <c r="H25" s="1384"/>
      <c r="I25" s="1384"/>
    </row>
    <row r="26" spans="2:10" ht="27" customHeight="1" x14ac:dyDescent="0.2">
      <c r="B26" s="1382"/>
      <c r="C26" s="1385"/>
      <c r="D26" s="1385"/>
      <c r="E26" s="1385"/>
      <c r="F26" s="1385"/>
      <c r="G26" s="1385"/>
      <c r="H26" s="1385"/>
      <c r="I26" s="1385"/>
    </row>
    <row r="27" spans="2:10" ht="12.75" customHeight="1" x14ac:dyDescent="0.2">
      <c r="B27" s="1378" t="s">
        <v>142</v>
      </c>
      <c r="C27" s="1375">
        <f t="shared" ref="C27:D27" si="0">SUM(C9:C26)</f>
        <v>17245881</v>
      </c>
      <c r="D27" s="1375">
        <f t="shared" si="0"/>
        <v>17014131</v>
      </c>
      <c r="E27" s="1375">
        <f t="shared" ref="E27" si="1">SUM(E9:E26)</f>
        <v>17014131</v>
      </c>
      <c r="F27" s="1375">
        <f t="shared" ref="F27" si="2">SUM(F9:F26)</f>
        <v>17014131</v>
      </c>
      <c r="G27" s="1375">
        <f t="shared" ref="G27:I27" si="3">SUM(G9:G26)</f>
        <v>17560000</v>
      </c>
      <c r="H27" s="1375">
        <f t="shared" si="3"/>
        <v>17960000</v>
      </c>
      <c r="I27" s="1375">
        <f t="shared" si="3"/>
        <v>18360000</v>
      </c>
    </row>
    <row r="28" spans="2:10" ht="12.75" customHeight="1" x14ac:dyDescent="0.2">
      <c r="B28" s="1378"/>
      <c r="C28" s="1375"/>
      <c r="D28" s="1375"/>
      <c r="E28" s="1375"/>
      <c r="F28" s="1375"/>
      <c r="G28" s="1375"/>
      <c r="H28" s="1375"/>
      <c r="I28" s="1375"/>
    </row>
    <row r="29" spans="2:10" ht="27.75" customHeight="1" thickBot="1" x14ac:dyDescent="0.25">
      <c r="B29" s="1379"/>
      <c r="C29" s="1376"/>
      <c r="D29" s="1376"/>
      <c r="E29" s="1376"/>
      <c r="F29" s="1376"/>
      <c r="G29" s="1376"/>
      <c r="H29" s="1376"/>
      <c r="I29" s="1376"/>
    </row>
    <row r="30" spans="2:10" ht="21" customHeight="1" thickTop="1" x14ac:dyDescent="0.2">
      <c r="B30" s="1377" t="s">
        <v>756</v>
      </c>
      <c r="C30" s="1380">
        <v>12292</v>
      </c>
      <c r="D30" s="1380">
        <v>12292</v>
      </c>
      <c r="E30" s="1380">
        <v>12292</v>
      </c>
      <c r="F30" s="1380">
        <v>12292</v>
      </c>
      <c r="G30" s="1380"/>
      <c r="H30" s="1380"/>
      <c r="I30" s="1380"/>
    </row>
    <row r="31" spans="2:10" ht="18.75" customHeight="1" x14ac:dyDescent="0.2">
      <c r="B31" s="1378"/>
      <c r="C31" s="1375"/>
      <c r="D31" s="1375"/>
      <c r="E31" s="1375"/>
      <c r="F31" s="1375"/>
      <c r="G31" s="1375"/>
      <c r="H31" s="1375"/>
      <c r="I31" s="1375"/>
    </row>
    <row r="32" spans="2:10" ht="18.75" customHeight="1" thickBot="1" x14ac:dyDescent="0.25">
      <c r="B32" s="1379"/>
      <c r="C32" s="1376"/>
      <c r="D32" s="1376"/>
      <c r="E32" s="1376"/>
      <c r="F32" s="1376"/>
      <c r="G32" s="1376"/>
      <c r="H32" s="1376"/>
      <c r="I32" s="1376"/>
    </row>
    <row r="33" ht="13.5" thickTop="1" x14ac:dyDescent="0.2"/>
  </sheetData>
  <mergeCells count="74">
    <mergeCell ref="B2:I2"/>
    <mergeCell ref="B3:I4"/>
    <mergeCell ref="B7:B8"/>
    <mergeCell ref="G7:G8"/>
    <mergeCell ref="H7:H8"/>
    <mergeCell ref="I7:I8"/>
    <mergeCell ref="F7:F8"/>
    <mergeCell ref="E7:E8"/>
    <mergeCell ref="D7:D8"/>
    <mergeCell ref="C7:C8"/>
    <mergeCell ref="H9:H11"/>
    <mergeCell ref="I9:I11"/>
    <mergeCell ref="B12:B14"/>
    <mergeCell ref="G12:G14"/>
    <mergeCell ref="H12:H14"/>
    <mergeCell ref="I12:I14"/>
    <mergeCell ref="B9:B11"/>
    <mergeCell ref="G9:G11"/>
    <mergeCell ref="F9:F11"/>
    <mergeCell ref="F12:F14"/>
    <mergeCell ref="E9:E11"/>
    <mergeCell ref="E12:E14"/>
    <mergeCell ref="D9:D11"/>
    <mergeCell ref="D12:D14"/>
    <mergeCell ref="C9:C11"/>
    <mergeCell ref="C12:C14"/>
    <mergeCell ref="H15:H17"/>
    <mergeCell ref="I15:I17"/>
    <mergeCell ref="B18:B20"/>
    <mergeCell ref="G18:G20"/>
    <mergeCell ref="H18:H20"/>
    <mergeCell ref="I18:I20"/>
    <mergeCell ref="B15:B17"/>
    <mergeCell ref="G15:G17"/>
    <mergeCell ref="F15:F17"/>
    <mergeCell ref="F18:F20"/>
    <mergeCell ref="E15:E17"/>
    <mergeCell ref="E18:E20"/>
    <mergeCell ref="D15:D17"/>
    <mergeCell ref="D18:D20"/>
    <mergeCell ref="C15:C17"/>
    <mergeCell ref="C18:C20"/>
    <mergeCell ref="H21:H23"/>
    <mergeCell ref="I21:I23"/>
    <mergeCell ref="B24:B26"/>
    <mergeCell ref="G24:G26"/>
    <mergeCell ref="H24:H26"/>
    <mergeCell ref="I24:I26"/>
    <mergeCell ref="B21:B23"/>
    <mergeCell ref="G21:G23"/>
    <mergeCell ref="F21:F23"/>
    <mergeCell ref="F24:F26"/>
    <mergeCell ref="E21:E23"/>
    <mergeCell ref="E24:E26"/>
    <mergeCell ref="D21:D23"/>
    <mergeCell ref="D24:D26"/>
    <mergeCell ref="C21:C23"/>
    <mergeCell ref="C24:C26"/>
    <mergeCell ref="H27:H29"/>
    <mergeCell ref="I27:I29"/>
    <mergeCell ref="B30:B32"/>
    <mergeCell ref="G30:G32"/>
    <mergeCell ref="H30:H32"/>
    <mergeCell ref="I30:I32"/>
    <mergeCell ref="B27:B29"/>
    <mergeCell ref="G27:G29"/>
    <mergeCell ref="F27:F29"/>
    <mergeCell ref="F30:F32"/>
    <mergeCell ref="E27:E29"/>
    <mergeCell ref="E30:E32"/>
    <mergeCell ref="D27:D29"/>
    <mergeCell ref="D30:D32"/>
    <mergeCell ref="C27:C29"/>
    <mergeCell ref="C30:C32"/>
  </mergeCells>
  <pageMargins left="0.59055118110236227" right="0.78740157480314965" top="0.98425196850393704" bottom="0.98425196850393704" header="0.51181102362204722" footer="0.51181102362204722"/>
  <pageSetup paperSize="9" scale="57" firstPageNumber="59" orientation="portrait" useFirstPageNumber="1" r:id="rId1"/>
  <headerFooter alignWithMargins="0">
    <oddFooter>&amp;C&amp;P.oldal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420"/>
  <sheetViews>
    <sheetView view="pageBreakPreview" topLeftCell="A345" zoomScale="60" zoomScaleNormal="100" workbookViewId="0">
      <selection activeCell="G401" sqref="A401:XFD401"/>
    </sheetView>
  </sheetViews>
  <sheetFormatPr defaultRowHeight="12.75" x14ac:dyDescent="0.2"/>
  <cols>
    <col min="2" max="2" width="11.5703125" customWidth="1"/>
    <col min="3" max="3" width="16.5703125" customWidth="1"/>
    <col min="4" max="5" width="19.140625" customWidth="1"/>
    <col min="6" max="6" width="11.5703125" customWidth="1"/>
  </cols>
  <sheetData>
    <row r="1" spans="1:6" x14ac:dyDescent="0.2">
      <c r="A1" s="1181" t="s">
        <v>757</v>
      </c>
      <c r="B1" s="1181"/>
      <c r="C1" s="1181"/>
      <c r="D1" s="1181"/>
      <c r="E1" s="1181"/>
      <c r="F1" s="1181"/>
    </row>
    <row r="2" spans="1:6" x14ac:dyDescent="0.2">
      <c r="A2" s="1181" t="s">
        <v>758</v>
      </c>
      <c r="B2" s="1181"/>
      <c r="C2" s="1181"/>
      <c r="D2" s="1181"/>
      <c r="E2" s="1181"/>
      <c r="F2" s="1181"/>
    </row>
    <row r="3" spans="1:6" x14ac:dyDescent="0.2">
      <c r="A3" s="1181" t="s">
        <v>1176</v>
      </c>
      <c r="B3" s="1181"/>
      <c r="C3" s="1181"/>
      <c r="D3" s="1181"/>
      <c r="E3" s="1181"/>
      <c r="F3" s="1181"/>
    </row>
    <row r="4" spans="1:6" x14ac:dyDescent="0.2">
      <c r="F4" s="524" t="s">
        <v>456</v>
      </c>
    </row>
    <row r="5" spans="1:6" ht="13.15" customHeight="1" x14ac:dyDescent="0.2">
      <c r="A5" s="1418" t="s">
        <v>759</v>
      </c>
      <c r="B5" s="1419" t="s">
        <v>760</v>
      </c>
      <c r="C5" s="1419"/>
      <c r="D5" s="1419"/>
      <c r="E5" s="1419"/>
      <c r="F5" s="1413">
        <f>SUM(F8:F27)</f>
        <v>5062710</v>
      </c>
    </row>
    <row r="6" spans="1:6" ht="13.15" customHeight="1" x14ac:dyDescent="0.2">
      <c r="A6" s="1418"/>
      <c r="B6" s="1419"/>
      <c r="C6" s="1419"/>
      <c r="D6" s="1419"/>
      <c r="E6" s="1419"/>
      <c r="F6" s="1414"/>
    </row>
    <row r="7" spans="1:6" ht="13.15" customHeight="1" x14ac:dyDescent="0.2">
      <c r="A7" s="1418"/>
      <c r="B7" s="1419"/>
      <c r="C7" s="1419"/>
      <c r="D7" s="1419"/>
      <c r="E7" s="1419"/>
      <c r="F7" s="1415"/>
    </row>
    <row r="8" spans="1:6" ht="15" x14ac:dyDescent="0.25">
      <c r="A8" s="1433">
        <v>3200</v>
      </c>
      <c r="B8" s="1433"/>
      <c r="C8" s="1434" t="s">
        <v>345</v>
      </c>
      <c r="D8" s="1435"/>
      <c r="E8" s="1436"/>
      <c r="F8" s="525">
        <f>'3c.m.'!F242</f>
        <v>274399</v>
      </c>
    </row>
    <row r="9" spans="1:6" ht="15" x14ac:dyDescent="0.25">
      <c r="A9" s="1433">
        <v>3201</v>
      </c>
      <c r="B9" s="1433"/>
      <c r="C9" s="1434" t="s">
        <v>301</v>
      </c>
      <c r="D9" s="1435"/>
      <c r="E9" s="1436"/>
      <c r="F9" s="525">
        <f>'3c.m.'!F253</f>
        <v>104110</v>
      </c>
    </row>
    <row r="10" spans="1:6" ht="15" x14ac:dyDescent="0.25">
      <c r="A10" s="1400">
        <v>3208</v>
      </c>
      <c r="B10" s="1400"/>
      <c r="C10" s="1394" t="s">
        <v>153</v>
      </c>
      <c r="D10" s="1395"/>
      <c r="E10" s="1396"/>
      <c r="F10" s="525">
        <f>'3c.m.'!F305</f>
        <v>19396</v>
      </c>
    </row>
    <row r="11" spans="1:6" ht="15" x14ac:dyDescent="0.25">
      <c r="A11" s="1400">
        <v>3209</v>
      </c>
      <c r="B11" s="1400"/>
      <c r="C11" s="1394" t="s">
        <v>55</v>
      </c>
      <c r="D11" s="1395"/>
      <c r="E11" s="1396"/>
      <c r="F11" s="525">
        <f>'3c.m.'!F314</f>
        <v>5000</v>
      </c>
    </row>
    <row r="12" spans="1:6" ht="15" x14ac:dyDescent="0.25">
      <c r="A12" s="1400">
        <v>3210</v>
      </c>
      <c r="B12" s="1400"/>
      <c r="C12" s="1394" t="s">
        <v>1333</v>
      </c>
      <c r="D12" s="1395"/>
      <c r="E12" s="1396"/>
      <c r="F12" s="525">
        <f>'3c.m.'!F323</f>
        <v>5000</v>
      </c>
    </row>
    <row r="13" spans="1:6" ht="15" x14ac:dyDescent="0.25">
      <c r="A13" s="1400">
        <v>3221</v>
      </c>
      <c r="B13" s="1400"/>
      <c r="C13" s="536" t="s">
        <v>466</v>
      </c>
      <c r="D13" s="625"/>
      <c r="E13" s="627"/>
      <c r="F13" s="525">
        <f>'3c.m.'!F388</f>
        <v>0</v>
      </c>
    </row>
    <row r="14" spans="1:6" ht="15" x14ac:dyDescent="0.25">
      <c r="A14" s="1400">
        <v>3223</v>
      </c>
      <c r="B14" s="1400"/>
      <c r="C14" s="1394" t="s">
        <v>58</v>
      </c>
      <c r="D14" s="1395"/>
      <c r="E14" s="1396"/>
      <c r="F14" s="525">
        <f>'3c.m.'!F397</f>
        <v>28100</v>
      </c>
    </row>
    <row r="15" spans="1:6" ht="15" x14ac:dyDescent="0.25">
      <c r="A15" s="1428">
        <v>3222</v>
      </c>
      <c r="B15" s="1429"/>
      <c r="C15" s="1394" t="s">
        <v>1031</v>
      </c>
      <c r="D15" s="1395"/>
      <c r="E15" s="1396"/>
      <c r="F15" s="525">
        <f>'3c.m.'!F406</f>
        <v>187</v>
      </c>
    </row>
    <row r="16" spans="1:6" ht="15" x14ac:dyDescent="0.25">
      <c r="A16" s="1428">
        <v>3224</v>
      </c>
      <c r="B16" s="1429"/>
      <c r="C16" s="1394" t="s">
        <v>1115</v>
      </c>
      <c r="D16" s="1395"/>
      <c r="E16" s="1396"/>
      <c r="F16" s="525">
        <f>'3c.m.'!F415</f>
        <v>0</v>
      </c>
    </row>
    <row r="17" spans="1:6" ht="15" x14ac:dyDescent="0.25">
      <c r="A17" s="1400">
        <v>3226</v>
      </c>
      <c r="B17" s="1400"/>
      <c r="C17" s="1394" t="s">
        <v>1124</v>
      </c>
      <c r="D17" s="1395"/>
      <c r="E17" s="1396"/>
      <c r="F17" s="525">
        <f>'3c.m.'!F424</f>
        <v>18605</v>
      </c>
    </row>
    <row r="18" spans="1:6" ht="15" x14ac:dyDescent="0.25">
      <c r="A18" s="1400">
        <v>3227</v>
      </c>
      <c r="B18" s="1400"/>
      <c r="C18" s="1394" t="s">
        <v>1257</v>
      </c>
      <c r="D18" s="1395"/>
      <c r="E18" s="1396"/>
      <c r="F18" s="525">
        <f>'3c.m.'!F433</f>
        <v>18112</v>
      </c>
    </row>
    <row r="19" spans="1:6" ht="15" x14ac:dyDescent="0.25">
      <c r="A19" s="1400">
        <v>3228</v>
      </c>
      <c r="B19" s="1400"/>
      <c r="C19" s="1443" t="s">
        <v>1364</v>
      </c>
      <c r="D19" s="1444"/>
      <c r="E19" s="1445"/>
      <c r="F19" s="525">
        <f>'3c.m.'!F442</f>
        <v>6638</v>
      </c>
    </row>
    <row r="20" spans="1:6" ht="15" x14ac:dyDescent="0.25">
      <c r="A20" s="1400">
        <v>3000</v>
      </c>
      <c r="B20" s="1400"/>
      <c r="C20" s="1394" t="s">
        <v>761</v>
      </c>
      <c r="D20" s="1395"/>
      <c r="E20" s="1396"/>
      <c r="F20" s="525">
        <f>SUM('3a.m.'!F49+'3a.m.'!F29+'3a.m.'!F18)</f>
        <v>3896599</v>
      </c>
    </row>
    <row r="21" spans="1:6" ht="15" x14ac:dyDescent="0.25">
      <c r="A21" s="1400">
        <v>1801</v>
      </c>
      <c r="B21" s="1400"/>
      <c r="C21" s="1394" t="s">
        <v>762</v>
      </c>
      <c r="D21" s="1395"/>
      <c r="E21" s="1396"/>
      <c r="F21" s="525">
        <f>'1c.mell '!F62</f>
        <v>63000</v>
      </c>
    </row>
    <row r="22" spans="1:6" ht="15" x14ac:dyDescent="0.25">
      <c r="A22" s="1400">
        <v>1802</v>
      </c>
      <c r="B22" s="1400"/>
      <c r="C22" s="1394" t="s">
        <v>763</v>
      </c>
      <c r="D22" s="1395"/>
      <c r="E22" s="1396"/>
      <c r="F22" s="525">
        <f>'1c.mell '!F64</f>
        <v>20674</v>
      </c>
    </row>
    <row r="23" spans="1:6" ht="15" x14ac:dyDescent="0.25">
      <c r="A23" s="1400">
        <v>1804</v>
      </c>
      <c r="B23" s="1400"/>
      <c r="C23" s="1394" t="s">
        <v>764</v>
      </c>
      <c r="D23" s="1395"/>
      <c r="E23" s="1396"/>
      <c r="F23" s="525">
        <f>'1c.mell '!F68</f>
        <v>580276</v>
      </c>
    </row>
    <row r="24" spans="1:6" ht="15" x14ac:dyDescent="0.25">
      <c r="A24" s="1400">
        <v>1806</v>
      </c>
      <c r="B24" s="1400"/>
      <c r="C24" s="1394" t="s">
        <v>1113</v>
      </c>
      <c r="D24" s="1395"/>
      <c r="E24" s="1396"/>
      <c r="F24" s="525">
        <f>'1c.mell '!F71</f>
        <v>2614</v>
      </c>
    </row>
    <row r="25" spans="1:6" ht="15" x14ac:dyDescent="0.25">
      <c r="A25" s="1400">
        <v>1807</v>
      </c>
      <c r="B25" s="1400"/>
      <c r="C25" s="1394" t="s">
        <v>1112</v>
      </c>
      <c r="D25" s="1395"/>
      <c r="E25" s="1396"/>
      <c r="F25" s="525">
        <f>'1c.mell '!F72</f>
        <v>0</v>
      </c>
    </row>
    <row r="26" spans="1:6" ht="15" x14ac:dyDescent="0.25">
      <c r="A26" s="1400">
        <v>5026</v>
      </c>
      <c r="B26" s="1400"/>
      <c r="C26" s="1394" t="s">
        <v>1377</v>
      </c>
      <c r="D26" s="1395"/>
      <c r="E26" s="1396"/>
      <c r="F26" s="525">
        <f>SUM('5.mell. '!F44)</f>
        <v>20000</v>
      </c>
    </row>
    <row r="27" spans="1:6" ht="15" x14ac:dyDescent="0.25">
      <c r="A27" s="1400">
        <v>1809</v>
      </c>
      <c r="B27" s="1400"/>
      <c r="C27" s="1394" t="s">
        <v>1345</v>
      </c>
      <c r="D27" s="1395"/>
      <c r="E27" s="1396"/>
      <c r="F27" s="525">
        <f>'1c.mell '!F75</f>
        <v>0</v>
      </c>
    </row>
    <row r="28" spans="1:6" x14ac:dyDescent="0.2">
      <c r="A28" s="1418" t="s">
        <v>1199</v>
      </c>
      <c r="B28" s="1419" t="s">
        <v>1200</v>
      </c>
      <c r="C28" s="1419"/>
      <c r="D28" s="1419"/>
      <c r="E28" s="1419"/>
      <c r="F28" s="1413">
        <f>F31</f>
        <v>92269</v>
      </c>
    </row>
    <row r="29" spans="1:6" x14ac:dyDescent="0.2">
      <c r="A29" s="1418"/>
      <c r="B29" s="1419"/>
      <c r="C29" s="1419"/>
      <c r="D29" s="1419"/>
      <c r="E29" s="1419"/>
      <c r="F29" s="1414"/>
    </row>
    <row r="30" spans="1:6" x14ac:dyDescent="0.2">
      <c r="A30" s="1397"/>
      <c r="B30" s="1419"/>
      <c r="C30" s="1419"/>
      <c r="D30" s="1419"/>
      <c r="E30" s="1419"/>
      <c r="F30" s="1415"/>
    </row>
    <row r="31" spans="1:6" ht="15" x14ac:dyDescent="0.25">
      <c r="A31" s="1400">
        <v>3027</v>
      </c>
      <c r="B31" s="1400"/>
      <c r="C31" s="1394" t="s">
        <v>1201</v>
      </c>
      <c r="D31" s="1395"/>
      <c r="E31" s="1396"/>
      <c r="F31" s="525">
        <f>SUM('3a.m.'!F39)</f>
        <v>92269</v>
      </c>
    </row>
    <row r="32" spans="1:6" ht="13.15" customHeight="1" x14ac:dyDescent="0.2">
      <c r="A32" s="1418" t="s">
        <v>765</v>
      </c>
      <c r="B32" s="1419" t="s">
        <v>766</v>
      </c>
      <c r="C32" s="1419"/>
      <c r="D32" s="1419"/>
      <c r="E32" s="1419"/>
      <c r="F32" s="1413">
        <f>SUM(F35:F81)</f>
        <v>9672995</v>
      </c>
    </row>
    <row r="33" spans="1:6" ht="13.15" customHeight="1" x14ac:dyDescent="0.2">
      <c r="A33" s="1418"/>
      <c r="B33" s="1419"/>
      <c r="C33" s="1419"/>
      <c r="D33" s="1419"/>
      <c r="E33" s="1419"/>
      <c r="F33" s="1414"/>
    </row>
    <row r="34" spans="1:6" ht="13.15" customHeight="1" x14ac:dyDescent="0.2">
      <c r="A34" s="1397"/>
      <c r="B34" s="1419"/>
      <c r="C34" s="1419"/>
      <c r="D34" s="1419"/>
      <c r="E34" s="1419"/>
      <c r="F34" s="1415"/>
    </row>
    <row r="35" spans="1:6" ht="15" x14ac:dyDescent="0.25">
      <c r="A35" s="1400">
        <v>3054</v>
      </c>
      <c r="B35" s="1400"/>
      <c r="C35" s="1394" t="s">
        <v>199</v>
      </c>
      <c r="D35" s="1395"/>
      <c r="E35" s="1396"/>
      <c r="F35" s="526">
        <f>'3c.m.'!F25</f>
        <v>16722</v>
      </c>
    </row>
    <row r="36" spans="1:6" ht="15" x14ac:dyDescent="0.25">
      <c r="A36" s="1400">
        <v>3111</v>
      </c>
      <c r="B36" s="1400"/>
      <c r="C36" s="1394" t="s">
        <v>128</v>
      </c>
      <c r="D36" s="1395"/>
      <c r="E36" s="1396"/>
      <c r="F36" s="527">
        <f>'3c.m.'!F97</f>
        <v>2832235</v>
      </c>
    </row>
    <row r="37" spans="1:6" ht="15" x14ac:dyDescent="0.25">
      <c r="A37" s="1400">
        <v>3114</v>
      </c>
      <c r="B37" s="1400"/>
      <c r="C37" s="1394" t="s">
        <v>100</v>
      </c>
      <c r="D37" s="1395"/>
      <c r="E37" s="1396"/>
      <c r="F37" s="527">
        <f>'3c.m.'!F115</f>
        <v>100422</v>
      </c>
    </row>
    <row r="38" spans="1:6" ht="15" x14ac:dyDescent="0.25">
      <c r="A38" s="1400">
        <v>3116</v>
      </c>
      <c r="B38" s="1400"/>
      <c r="C38" s="1394" t="s">
        <v>767</v>
      </c>
      <c r="D38" s="1395"/>
      <c r="E38" s="1396"/>
      <c r="F38" s="527">
        <f>'3c.m.'!F131</f>
        <v>8099</v>
      </c>
    </row>
    <row r="39" spans="1:6" ht="15" x14ac:dyDescent="0.25">
      <c r="A39" s="1400">
        <v>3121</v>
      </c>
      <c r="B39" s="1400"/>
      <c r="C39" s="1394" t="s">
        <v>150</v>
      </c>
      <c r="D39" s="1395"/>
      <c r="E39" s="1396"/>
      <c r="F39" s="527">
        <f>'3c.m.'!F140</f>
        <v>6671</v>
      </c>
    </row>
    <row r="40" spans="1:6" ht="15" x14ac:dyDescent="0.25">
      <c r="A40" s="1400">
        <v>3122</v>
      </c>
      <c r="B40" s="1400"/>
      <c r="C40" s="1394" t="s">
        <v>144</v>
      </c>
      <c r="D40" s="1395"/>
      <c r="E40" s="1396"/>
      <c r="F40" s="527">
        <f>'3c.m.'!F148</f>
        <v>4234</v>
      </c>
    </row>
    <row r="41" spans="1:6" ht="15" x14ac:dyDescent="0.25">
      <c r="A41" s="1400">
        <v>3123</v>
      </c>
      <c r="B41" s="1400"/>
      <c r="C41" s="1394" t="s">
        <v>99</v>
      </c>
      <c r="D41" s="1395"/>
      <c r="E41" s="1396"/>
      <c r="F41" s="525">
        <f>'3c.m.'!F156</f>
        <v>15861</v>
      </c>
    </row>
    <row r="42" spans="1:6" ht="15" x14ac:dyDescent="0.25">
      <c r="A42" s="1400">
        <v>3124</v>
      </c>
      <c r="B42" s="1400"/>
      <c r="C42" s="1394" t="s">
        <v>102</v>
      </c>
      <c r="D42" s="1395"/>
      <c r="E42" s="1396"/>
      <c r="F42" s="525">
        <f>'3c.m.'!F164</f>
        <v>5150</v>
      </c>
    </row>
    <row r="43" spans="1:6" ht="15" x14ac:dyDescent="0.25">
      <c r="A43" s="1400">
        <v>3125</v>
      </c>
      <c r="B43" s="1400"/>
      <c r="C43" s="1394" t="s">
        <v>1125</v>
      </c>
      <c r="D43" s="1395"/>
      <c r="E43" s="1396"/>
      <c r="F43" s="525">
        <f>'3c.m.'!F172</f>
        <v>5000</v>
      </c>
    </row>
    <row r="44" spans="1:6" ht="15" x14ac:dyDescent="0.25">
      <c r="A44" s="1428">
        <v>3211</v>
      </c>
      <c r="B44" s="1429"/>
      <c r="C44" s="1394" t="s">
        <v>768</v>
      </c>
      <c r="D44" s="1395"/>
      <c r="E44" s="1396"/>
      <c r="F44" s="525">
        <f>'3c.m.'!F334</f>
        <v>1193423</v>
      </c>
    </row>
    <row r="45" spans="1:6" ht="15" x14ac:dyDescent="0.25">
      <c r="A45" s="1400">
        <v>3213</v>
      </c>
      <c r="B45" s="1400"/>
      <c r="C45" s="1394" t="s">
        <v>769</v>
      </c>
      <c r="D45" s="1395"/>
      <c r="E45" s="1396"/>
      <c r="F45" s="528">
        <f>'3c.m.'!F354</f>
        <v>629777</v>
      </c>
    </row>
    <row r="46" spans="1:6" ht="15.75" customHeight="1" x14ac:dyDescent="0.25">
      <c r="A46" s="1400">
        <v>3925</v>
      </c>
      <c r="B46" s="1400"/>
      <c r="C46" s="1394" t="s">
        <v>16</v>
      </c>
      <c r="D46" s="1395"/>
      <c r="E46" s="1396"/>
      <c r="F46" s="528">
        <f>'3d.m.'!F15</f>
        <v>179600</v>
      </c>
    </row>
    <row r="47" spans="1:6" ht="15.75" customHeight="1" x14ac:dyDescent="0.25">
      <c r="A47" s="1400">
        <v>4010</v>
      </c>
      <c r="B47" s="1400"/>
      <c r="C47" s="1394" t="s">
        <v>1279</v>
      </c>
      <c r="D47" s="1395"/>
      <c r="E47" s="1396"/>
      <c r="F47" s="528">
        <f>'4.mell.'!F10</f>
        <v>0</v>
      </c>
    </row>
    <row r="48" spans="1:6" ht="15.75" customHeight="1" x14ac:dyDescent="0.25">
      <c r="A48" s="1400">
        <v>4012</v>
      </c>
      <c r="B48" s="1400"/>
      <c r="C48" s="1394" t="s">
        <v>404</v>
      </c>
      <c r="D48" s="1395"/>
      <c r="E48" s="1396"/>
      <c r="F48" s="528">
        <f>'4.mell.'!F11</f>
        <v>56947</v>
      </c>
    </row>
    <row r="49" spans="1:6" ht="15.75" customHeight="1" x14ac:dyDescent="0.25">
      <c r="A49" s="1400">
        <v>4013</v>
      </c>
      <c r="B49" s="1400"/>
      <c r="C49" s="1394" t="s">
        <v>1043</v>
      </c>
      <c r="D49" s="1395"/>
      <c r="E49" s="1396"/>
      <c r="F49" s="528">
        <f>'4.mell.'!F14</f>
        <v>283</v>
      </c>
    </row>
    <row r="50" spans="1:6" ht="15.75" customHeight="1" x14ac:dyDescent="0.25">
      <c r="A50" s="1400">
        <v>4018</v>
      </c>
      <c r="B50" s="1400"/>
      <c r="C50" s="1394" t="s">
        <v>965</v>
      </c>
      <c r="D50" s="1395"/>
      <c r="E50" s="1396"/>
      <c r="F50" s="528">
        <f>SUM('4.mell.'!F19)</f>
        <v>267169</v>
      </c>
    </row>
    <row r="51" spans="1:6" ht="15" x14ac:dyDescent="0.25">
      <c r="A51" s="1400">
        <v>4021</v>
      </c>
      <c r="B51" s="1400"/>
      <c r="C51" s="1394" t="s">
        <v>1012</v>
      </c>
      <c r="D51" s="1395"/>
      <c r="E51" s="1396"/>
      <c r="F51" s="528">
        <f>'4.mell.'!F25</f>
        <v>110842</v>
      </c>
    </row>
    <row r="52" spans="1:6" ht="15" x14ac:dyDescent="0.25">
      <c r="A52" s="1400">
        <v>4114</v>
      </c>
      <c r="B52" s="1400"/>
      <c r="C52" s="1394" t="s">
        <v>1250</v>
      </c>
      <c r="D52" s="1395"/>
      <c r="E52" s="1396"/>
      <c r="F52" s="528">
        <f>SUM('4.mell.'!F33)</f>
        <v>33002</v>
      </c>
    </row>
    <row r="53" spans="1:6" ht="14.25" customHeight="1" x14ac:dyDescent="0.25">
      <c r="A53" s="1400">
        <v>4121</v>
      </c>
      <c r="B53" s="1400"/>
      <c r="C53" s="1394" t="s">
        <v>1079</v>
      </c>
      <c r="D53" s="1395"/>
      <c r="E53" s="1396"/>
      <c r="F53" s="528">
        <f>'4.mell.'!F34</f>
        <v>152279</v>
      </c>
    </row>
    <row r="54" spans="1:6" ht="14.25" customHeight="1" x14ac:dyDescent="0.25">
      <c r="A54" s="1400">
        <v>4122</v>
      </c>
      <c r="B54" s="1400"/>
      <c r="C54" s="1394" t="s">
        <v>1129</v>
      </c>
      <c r="D54" s="1395"/>
      <c r="E54" s="1396"/>
      <c r="F54" s="528">
        <f>'4.mell.'!F38</f>
        <v>1371</v>
      </c>
    </row>
    <row r="55" spans="1:6" ht="15" x14ac:dyDescent="0.25">
      <c r="A55" s="1400">
        <v>4124</v>
      </c>
      <c r="B55" s="1400"/>
      <c r="C55" s="1394" t="s">
        <v>770</v>
      </c>
      <c r="D55" s="1395"/>
      <c r="E55" s="1396"/>
      <c r="F55" s="528">
        <f>'4.mell.'!F40</f>
        <v>5214</v>
      </c>
    </row>
    <row r="56" spans="1:6" ht="15" x14ac:dyDescent="0.25">
      <c r="A56" s="1400">
        <v>4125</v>
      </c>
      <c r="B56" s="1400"/>
      <c r="C56" s="1394" t="s">
        <v>1129</v>
      </c>
      <c r="D56" s="1395"/>
      <c r="E56" s="1396"/>
      <c r="F56" s="528">
        <f>'4.mell.'!F41</f>
        <v>806163</v>
      </c>
    </row>
    <row r="57" spans="1:6" ht="15" x14ac:dyDescent="0.25">
      <c r="A57" s="1400">
        <v>4126</v>
      </c>
      <c r="B57" s="1400"/>
      <c r="C57" s="631" t="s">
        <v>986</v>
      </c>
      <c r="D57" s="632"/>
      <c r="E57" s="633"/>
      <c r="F57" s="528">
        <f>'4.mell.'!F42</f>
        <v>214048</v>
      </c>
    </row>
    <row r="58" spans="1:6" ht="15" x14ac:dyDescent="0.25">
      <c r="A58" s="1400">
        <v>4127</v>
      </c>
      <c r="B58" s="1400"/>
      <c r="C58" s="1394" t="s">
        <v>991</v>
      </c>
      <c r="D58" s="1395"/>
      <c r="E58" s="1396"/>
      <c r="F58" s="528">
        <f>'4.mell.'!F45</f>
        <v>50</v>
      </c>
    </row>
    <row r="59" spans="1:6" ht="15" x14ac:dyDescent="0.25">
      <c r="A59" s="1400">
        <v>3115</v>
      </c>
      <c r="B59" s="1400"/>
      <c r="C59" s="1394" t="s">
        <v>771</v>
      </c>
      <c r="D59" s="1395"/>
      <c r="E59" s="1396"/>
      <c r="F59" s="528">
        <f>'3c.m.'!F123</f>
        <v>20272</v>
      </c>
    </row>
    <row r="60" spans="1:6" ht="15" x14ac:dyDescent="0.25">
      <c r="A60" s="1400">
        <v>4129</v>
      </c>
      <c r="B60" s="1400"/>
      <c r="C60" s="1394" t="s">
        <v>1052</v>
      </c>
      <c r="D60" s="1395"/>
      <c r="E60" s="1396"/>
      <c r="F60" s="528">
        <f>'4.mell.'!F46</f>
        <v>37120</v>
      </c>
    </row>
    <row r="61" spans="1:6" ht="15" x14ac:dyDescent="0.25">
      <c r="A61" s="1400">
        <v>4151</v>
      </c>
      <c r="B61" s="1400"/>
      <c r="C61" s="1394" t="s">
        <v>1142</v>
      </c>
      <c r="D61" s="1395"/>
      <c r="E61" s="1396"/>
      <c r="F61" s="528">
        <f>SUM('4.mell.'!F49)</f>
        <v>99949</v>
      </c>
    </row>
    <row r="62" spans="1:6" ht="15" x14ac:dyDescent="0.25">
      <c r="A62" s="1400">
        <v>4152</v>
      </c>
      <c r="B62" s="1400"/>
      <c r="C62" s="1437" t="s">
        <v>1237</v>
      </c>
      <c r="D62" s="1431"/>
      <c r="E62" s="1432"/>
      <c r="F62" s="528">
        <f>SUM('4.mell.'!F50)</f>
        <v>79883</v>
      </c>
    </row>
    <row r="63" spans="1:6" ht="15" x14ac:dyDescent="0.25">
      <c r="A63" s="1400">
        <v>4153</v>
      </c>
      <c r="B63" s="1400"/>
      <c r="C63" s="1430" t="s">
        <v>1143</v>
      </c>
      <c r="D63" s="1431"/>
      <c r="E63" s="1432"/>
      <c r="F63" s="528">
        <f>SUM('4.mell.'!F51)</f>
        <v>21171</v>
      </c>
    </row>
    <row r="64" spans="1:6" ht="15" x14ac:dyDescent="0.25">
      <c r="A64" s="1400">
        <v>4154</v>
      </c>
      <c r="B64" s="1400"/>
      <c r="C64" s="1430" t="s">
        <v>1144</v>
      </c>
      <c r="D64" s="1431"/>
      <c r="E64" s="1432"/>
      <c r="F64" s="528">
        <f>'4.mell.'!F52</f>
        <v>594491</v>
      </c>
    </row>
    <row r="65" spans="1:6" ht="15" x14ac:dyDescent="0.25">
      <c r="A65" s="1400">
        <v>4155</v>
      </c>
      <c r="B65" s="1400"/>
      <c r="C65" s="1430" t="s">
        <v>1152</v>
      </c>
      <c r="D65" s="1431"/>
      <c r="E65" s="1432"/>
      <c r="F65" s="528">
        <f>'4.mell.'!F53</f>
        <v>931974</v>
      </c>
    </row>
    <row r="66" spans="1:6" ht="15" x14ac:dyDescent="0.25">
      <c r="A66" s="1400">
        <v>4156</v>
      </c>
      <c r="B66" s="1400"/>
      <c r="C66" s="1430" t="s">
        <v>1153</v>
      </c>
      <c r="D66" s="1431"/>
      <c r="E66" s="1432"/>
      <c r="F66" s="528">
        <f>'4.mell.'!F54</f>
        <v>69960</v>
      </c>
    </row>
    <row r="67" spans="1:6" ht="15" x14ac:dyDescent="0.25">
      <c r="A67" s="1400">
        <v>4157</v>
      </c>
      <c r="B67" s="1400"/>
      <c r="C67" s="864" t="s">
        <v>1213</v>
      </c>
      <c r="D67" s="859"/>
      <c r="E67" s="860"/>
      <c r="F67" s="528">
        <f>SUM('4.mell.'!F55)</f>
        <v>32499</v>
      </c>
    </row>
    <row r="68" spans="1:6" ht="15" x14ac:dyDescent="0.25">
      <c r="A68" s="1400">
        <v>4158</v>
      </c>
      <c r="B68" s="1400"/>
      <c r="C68" s="864" t="s">
        <v>1241</v>
      </c>
      <c r="D68" s="859"/>
      <c r="E68" s="860"/>
      <c r="F68" s="528">
        <f>SUM('4.mell.'!F58)</f>
        <v>80000</v>
      </c>
    </row>
    <row r="69" spans="1:6" ht="15" x14ac:dyDescent="0.25">
      <c r="A69" s="1400">
        <v>4159</v>
      </c>
      <c r="B69" s="1400"/>
      <c r="C69" s="1438" t="s">
        <v>1271</v>
      </c>
      <c r="D69" s="1439"/>
      <c r="E69" s="1440"/>
      <c r="F69" s="528">
        <f>'4.mell.'!F59</f>
        <v>100000</v>
      </c>
    </row>
    <row r="70" spans="1:6" ht="15" x14ac:dyDescent="0.25">
      <c r="A70" s="1400">
        <v>4160</v>
      </c>
      <c r="B70" s="1400"/>
      <c r="C70" s="1438" t="s">
        <v>1272</v>
      </c>
      <c r="D70" s="1439"/>
      <c r="E70" s="1440"/>
      <c r="F70" s="528">
        <f>'4.mell.'!F60</f>
        <v>654720</v>
      </c>
    </row>
    <row r="71" spans="1:6" ht="15" x14ac:dyDescent="0.25">
      <c r="A71" s="1400">
        <v>4161</v>
      </c>
      <c r="B71" s="1400"/>
      <c r="C71" s="1438" t="s">
        <v>1273</v>
      </c>
      <c r="D71" s="1439"/>
      <c r="E71" s="1440"/>
      <c r="F71" s="528">
        <f>'4.mell.'!F61</f>
        <v>12000</v>
      </c>
    </row>
    <row r="72" spans="1:6" ht="15" x14ac:dyDescent="0.25">
      <c r="A72" s="1400">
        <v>4131</v>
      </c>
      <c r="B72" s="1400"/>
      <c r="C72" s="1394" t="s">
        <v>241</v>
      </c>
      <c r="D72" s="1395"/>
      <c r="E72" s="1396"/>
      <c r="F72" s="528">
        <f>'4.mell.'!F65</f>
        <v>40360</v>
      </c>
    </row>
    <row r="73" spans="1:6" ht="15" x14ac:dyDescent="0.25">
      <c r="A73" s="1400">
        <v>4311</v>
      </c>
      <c r="B73" s="1400"/>
      <c r="C73" s="631" t="s">
        <v>1240</v>
      </c>
      <c r="D73" s="632"/>
      <c r="E73" s="633"/>
      <c r="F73" s="528">
        <f>SUM('4.mell.'!F79)</f>
        <v>134645</v>
      </c>
    </row>
    <row r="74" spans="1:6" ht="15" x14ac:dyDescent="0.25">
      <c r="A74" s="1400">
        <v>4133</v>
      </c>
      <c r="B74" s="1400"/>
      <c r="C74" s="1394" t="s">
        <v>242</v>
      </c>
      <c r="D74" s="1395"/>
      <c r="E74" s="1396"/>
      <c r="F74" s="528">
        <f>'4.mell.'!F69</f>
        <v>67231</v>
      </c>
    </row>
    <row r="75" spans="1:6" ht="15" x14ac:dyDescent="0.25">
      <c r="A75" s="1400">
        <v>4141</v>
      </c>
      <c r="B75" s="1400"/>
      <c r="C75" s="1394" t="s">
        <v>320</v>
      </c>
      <c r="D75" s="1395"/>
      <c r="E75" s="1396"/>
      <c r="F75" s="528">
        <f>'4.mell.'!F71</f>
        <v>44575</v>
      </c>
    </row>
    <row r="76" spans="1:6" ht="15" hidden="1" x14ac:dyDescent="0.25">
      <c r="A76" s="1400">
        <v>4136</v>
      </c>
      <c r="B76" s="1400"/>
      <c r="C76" s="1394" t="s">
        <v>331</v>
      </c>
      <c r="D76" s="1395"/>
      <c r="E76" s="1396"/>
      <c r="F76" s="528"/>
    </row>
    <row r="77" spans="1:6" ht="15" hidden="1" x14ac:dyDescent="0.25">
      <c r="A77" s="1400">
        <v>4211</v>
      </c>
      <c r="B77" s="1400"/>
      <c r="C77" s="631" t="s">
        <v>104</v>
      </c>
      <c r="D77" s="632"/>
      <c r="E77" s="633"/>
      <c r="F77" s="528"/>
    </row>
    <row r="78" spans="1:6" ht="15" hidden="1" x14ac:dyDescent="0.25">
      <c r="A78" s="1400">
        <v>4212</v>
      </c>
      <c r="B78" s="1400"/>
      <c r="C78" s="631" t="s">
        <v>1007</v>
      </c>
      <c r="D78" s="632"/>
      <c r="E78" s="633"/>
      <c r="F78" s="528"/>
    </row>
    <row r="79" spans="1:6" ht="15" hidden="1" x14ac:dyDescent="0.25">
      <c r="A79" s="1400">
        <v>4213</v>
      </c>
      <c r="B79" s="1400"/>
      <c r="C79" s="631" t="s">
        <v>1008</v>
      </c>
      <c r="D79" s="632"/>
      <c r="E79" s="633"/>
      <c r="F79" s="528"/>
    </row>
    <row r="80" spans="1:6" ht="15" x14ac:dyDescent="0.25">
      <c r="A80" s="1400">
        <v>6135</v>
      </c>
      <c r="B80" s="1400"/>
      <c r="C80" s="1394" t="s">
        <v>995</v>
      </c>
      <c r="D80" s="1395"/>
      <c r="E80" s="1396"/>
      <c r="F80" s="528">
        <f>'6.mell. '!F21</f>
        <v>7583</v>
      </c>
    </row>
    <row r="81" spans="1:6" ht="15" x14ac:dyDescent="0.25">
      <c r="A81" s="1400"/>
      <c r="B81" s="1400"/>
      <c r="C81" s="1394"/>
      <c r="D81" s="1395"/>
      <c r="E81" s="1396"/>
      <c r="F81" s="528"/>
    </row>
    <row r="82" spans="1:6" ht="13.15" customHeight="1" x14ac:dyDescent="0.2">
      <c r="A82" s="1418" t="s">
        <v>772</v>
      </c>
      <c r="B82" s="1419" t="s">
        <v>773</v>
      </c>
      <c r="C82" s="1419"/>
      <c r="D82" s="1419"/>
      <c r="E82" s="1419"/>
      <c r="F82" s="1413">
        <f>SUM(F85:F85)</f>
        <v>116875</v>
      </c>
    </row>
    <row r="83" spans="1:6" ht="13.15" customHeight="1" x14ac:dyDescent="0.2">
      <c r="A83" s="1418"/>
      <c r="B83" s="1419"/>
      <c r="C83" s="1419"/>
      <c r="D83" s="1419"/>
      <c r="E83" s="1419"/>
      <c r="F83" s="1414"/>
    </row>
    <row r="84" spans="1:6" ht="13.15" customHeight="1" x14ac:dyDescent="0.2">
      <c r="A84" s="1418"/>
      <c r="B84" s="1419"/>
      <c r="C84" s="1419"/>
      <c r="D84" s="1419"/>
      <c r="E84" s="1419"/>
      <c r="F84" s="1415"/>
    </row>
    <row r="85" spans="1:6" ht="13.5" customHeight="1" x14ac:dyDescent="0.25">
      <c r="A85" s="1400">
        <v>2985</v>
      </c>
      <c r="B85" s="1400"/>
      <c r="C85" s="1394" t="s">
        <v>552</v>
      </c>
      <c r="D85" s="1395"/>
      <c r="E85" s="1396"/>
      <c r="F85" s="528">
        <f>'2.mell'!F616</f>
        <v>116875</v>
      </c>
    </row>
    <row r="86" spans="1:6" ht="13.5" customHeight="1" x14ac:dyDescent="0.2">
      <c r="A86" s="1418" t="s">
        <v>774</v>
      </c>
      <c r="B86" s="1419" t="s">
        <v>775</v>
      </c>
      <c r="C86" s="1419"/>
      <c r="D86" s="1419"/>
      <c r="E86" s="1419"/>
      <c r="F86" s="1413">
        <f>SUM(F89:F89)</f>
        <v>2270550</v>
      </c>
    </row>
    <row r="87" spans="1:6" ht="13.5" customHeight="1" x14ac:dyDescent="0.2">
      <c r="A87" s="1418"/>
      <c r="B87" s="1419"/>
      <c r="C87" s="1419"/>
      <c r="D87" s="1419"/>
      <c r="E87" s="1419"/>
      <c r="F87" s="1414"/>
    </row>
    <row r="88" spans="1:6" ht="13.5" customHeight="1" x14ac:dyDescent="0.2">
      <c r="A88" s="1418"/>
      <c r="B88" s="1419"/>
      <c r="C88" s="1419"/>
      <c r="D88" s="1419"/>
      <c r="E88" s="1419"/>
      <c r="F88" s="1415"/>
    </row>
    <row r="89" spans="1:6" ht="13.5" customHeight="1" x14ac:dyDescent="0.25">
      <c r="A89" s="1400">
        <v>1803</v>
      </c>
      <c r="B89" s="1400"/>
      <c r="C89" s="1394" t="s">
        <v>776</v>
      </c>
      <c r="D89" s="1395"/>
      <c r="E89" s="1396"/>
      <c r="F89" s="525">
        <f>'1c.mell '!F66</f>
        <v>2270550</v>
      </c>
    </row>
    <row r="90" spans="1:6" ht="13.5" customHeight="1" x14ac:dyDescent="0.2">
      <c r="A90" s="1418" t="s">
        <v>777</v>
      </c>
      <c r="B90" s="1419" t="s">
        <v>778</v>
      </c>
      <c r="C90" s="1419"/>
      <c r="D90" s="1419"/>
      <c r="E90" s="1419"/>
      <c r="F90" s="1413">
        <f>SUM(F93:F93)</f>
        <v>0</v>
      </c>
    </row>
    <row r="91" spans="1:6" ht="13.5" customHeight="1" x14ac:dyDescent="0.2">
      <c r="A91" s="1418"/>
      <c r="B91" s="1419"/>
      <c r="C91" s="1419"/>
      <c r="D91" s="1419"/>
      <c r="E91" s="1419"/>
      <c r="F91" s="1414"/>
    </row>
    <row r="92" spans="1:6" ht="12" customHeight="1" x14ac:dyDescent="0.2">
      <c r="A92" s="1418"/>
      <c r="B92" s="1419"/>
      <c r="C92" s="1419"/>
      <c r="D92" s="1419"/>
      <c r="E92" s="1419"/>
      <c r="F92" s="1415"/>
    </row>
    <row r="93" spans="1:6" ht="15" x14ac:dyDescent="0.25">
      <c r="A93" s="1400">
        <v>3030</v>
      </c>
      <c r="B93" s="1400"/>
      <c r="C93" s="1394" t="s">
        <v>779</v>
      </c>
      <c r="D93" s="1395"/>
      <c r="E93" s="1396"/>
      <c r="F93" s="529">
        <v>0</v>
      </c>
    </row>
    <row r="94" spans="1:6" ht="13.15" customHeight="1" x14ac:dyDescent="0.2">
      <c r="A94" s="1418" t="s">
        <v>780</v>
      </c>
      <c r="B94" s="1419" t="s">
        <v>781</v>
      </c>
      <c r="C94" s="1419"/>
      <c r="D94" s="1419"/>
      <c r="E94" s="1419"/>
      <c r="F94" s="1413">
        <f>SUM(F97:F100)</f>
        <v>101638</v>
      </c>
    </row>
    <row r="95" spans="1:6" ht="13.15" customHeight="1" x14ac:dyDescent="0.2">
      <c r="A95" s="1418"/>
      <c r="B95" s="1419"/>
      <c r="C95" s="1419"/>
      <c r="D95" s="1419"/>
      <c r="E95" s="1419"/>
      <c r="F95" s="1414"/>
    </row>
    <row r="96" spans="1:6" ht="13.15" customHeight="1" x14ac:dyDescent="0.2">
      <c r="A96" s="1418"/>
      <c r="B96" s="1419"/>
      <c r="C96" s="1419"/>
      <c r="D96" s="1419"/>
      <c r="E96" s="1419"/>
      <c r="F96" s="1415"/>
    </row>
    <row r="97" spans="1:6" ht="15" x14ac:dyDescent="0.25">
      <c r="A97" s="1400">
        <v>3204</v>
      </c>
      <c r="B97" s="1400"/>
      <c r="C97" s="1394" t="s">
        <v>782</v>
      </c>
      <c r="D97" s="1395"/>
      <c r="E97" s="1396"/>
      <c r="F97" s="525">
        <f>'3c.m.'!F269</f>
        <v>20413</v>
      </c>
    </row>
    <row r="98" spans="1:6" ht="15" x14ac:dyDescent="0.25">
      <c r="A98" s="1400">
        <v>3924</v>
      </c>
      <c r="B98" s="1400"/>
      <c r="C98" s="1394" t="s">
        <v>1063</v>
      </c>
      <c r="D98" s="1395"/>
      <c r="E98" s="1396"/>
      <c r="F98" s="528">
        <f>'3d.m.'!F14</f>
        <v>9000</v>
      </c>
    </row>
    <row r="99" spans="1:6" ht="15" x14ac:dyDescent="0.25">
      <c r="A99" s="1400">
        <v>5033</v>
      </c>
      <c r="B99" s="1400"/>
      <c r="C99" s="1394" t="s">
        <v>783</v>
      </c>
      <c r="D99" s="1395"/>
      <c r="E99" s="1396"/>
      <c r="F99" s="528">
        <f>'5.mell. '!F47</f>
        <v>72117</v>
      </c>
    </row>
    <row r="100" spans="1:6" ht="15" x14ac:dyDescent="0.25">
      <c r="A100" s="1400">
        <v>5034</v>
      </c>
      <c r="B100" s="1400"/>
      <c r="C100" s="1394" t="s">
        <v>1269</v>
      </c>
      <c r="D100" s="1395"/>
      <c r="E100" s="1396"/>
      <c r="F100" s="528">
        <f>'5.mell. '!F54</f>
        <v>108</v>
      </c>
    </row>
    <row r="101" spans="1:6" ht="13.15" customHeight="1" x14ac:dyDescent="0.2">
      <c r="A101" s="1418" t="s">
        <v>784</v>
      </c>
      <c r="B101" s="1419" t="s">
        <v>785</v>
      </c>
      <c r="C101" s="1419"/>
      <c r="D101" s="1419"/>
      <c r="E101" s="1419"/>
      <c r="F101" s="1413">
        <f>SUM(F104:F104)</f>
        <v>0</v>
      </c>
    </row>
    <row r="102" spans="1:6" ht="13.15" customHeight="1" x14ac:dyDescent="0.2">
      <c r="A102" s="1418"/>
      <c r="B102" s="1419"/>
      <c r="C102" s="1419"/>
      <c r="D102" s="1419"/>
      <c r="E102" s="1419"/>
      <c r="F102" s="1414"/>
    </row>
    <row r="103" spans="1:6" ht="13.15" customHeight="1" x14ac:dyDescent="0.2">
      <c r="A103" s="1418"/>
      <c r="B103" s="1419"/>
      <c r="C103" s="1419"/>
      <c r="D103" s="1419"/>
      <c r="E103" s="1419"/>
      <c r="F103" s="1415"/>
    </row>
    <row r="104" spans="1:6" ht="15" x14ac:dyDescent="0.25">
      <c r="A104" s="1400">
        <v>3303</v>
      </c>
      <c r="B104" s="1400"/>
      <c r="C104" s="631" t="s">
        <v>786</v>
      </c>
      <c r="D104" s="632"/>
      <c r="E104" s="633"/>
      <c r="F104" s="528"/>
    </row>
    <row r="105" spans="1:6" ht="12.6" customHeight="1" x14ac:dyDescent="0.2">
      <c r="A105" s="1418" t="s">
        <v>787</v>
      </c>
      <c r="B105" s="1419" t="s">
        <v>788</v>
      </c>
      <c r="C105" s="1419"/>
      <c r="D105" s="1419"/>
      <c r="E105" s="1419"/>
      <c r="F105" s="1413">
        <f>SUM(F108)</f>
        <v>2991904</v>
      </c>
    </row>
    <row r="106" spans="1:6" ht="12.6" customHeight="1" x14ac:dyDescent="0.2">
      <c r="A106" s="1418"/>
      <c r="B106" s="1419"/>
      <c r="C106" s="1419"/>
      <c r="D106" s="1419"/>
      <c r="E106" s="1419"/>
      <c r="F106" s="1414"/>
    </row>
    <row r="107" spans="1:6" ht="12.6" customHeight="1" x14ac:dyDescent="0.2">
      <c r="A107" s="1418"/>
      <c r="B107" s="1419"/>
      <c r="C107" s="1419"/>
      <c r="D107" s="1419"/>
      <c r="E107" s="1419"/>
      <c r="F107" s="1415"/>
    </row>
    <row r="108" spans="1:6" ht="15" x14ac:dyDescent="0.25">
      <c r="A108" s="1400">
        <v>2795</v>
      </c>
      <c r="B108" s="1400"/>
      <c r="C108" s="1394" t="s">
        <v>789</v>
      </c>
      <c r="D108" s="1395"/>
      <c r="E108" s="1396"/>
      <c r="F108" s="525">
        <f>'2.mell'!F438-F174-F206-F306</f>
        <v>2991904</v>
      </c>
    </row>
    <row r="109" spans="1:6" ht="13.15" customHeight="1" x14ac:dyDescent="0.2">
      <c r="A109" s="1418" t="s">
        <v>790</v>
      </c>
      <c r="B109" s="1419" t="s">
        <v>791</v>
      </c>
      <c r="C109" s="1419"/>
      <c r="D109" s="1419"/>
      <c r="E109" s="1419"/>
      <c r="F109" s="1413">
        <f>SUM(F112)</f>
        <v>8421</v>
      </c>
    </row>
    <row r="110" spans="1:6" ht="13.15" customHeight="1" x14ac:dyDescent="0.2">
      <c r="A110" s="1418"/>
      <c r="B110" s="1419"/>
      <c r="C110" s="1419"/>
      <c r="D110" s="1419"/>
      <c r="E110" s="1419"/>
      <c r="F110" s="1414"/>
    </row>
    <row r="111" spans="1:6" ht="13.15" customHeight="1" x14ac:dyDescent="0.2">
      <c r="A111" s="1418"/>
      <c r="B111" s="1419"/>
      <c r="C111" s="1419"/>
      <c r="D111" s="1419"/>
      <c r="E111" s="1419"/>
      <c r="F111" s="1415"/>
    </row>
    <row r="112" spans="1:6" ht="15" x14ac:dyDescent="0.25">
      <c r="A112" s="1400">
        <v>3356</v>
      </c>
      <c r="B112" s="1400"/>
      <c r="C112" s="1394" t="s">
        <v>792</v>
      </c>
      <c r="D112" s="1395"/>
      <c r="E112" s="1396"/>
      <c r="F112" s="525">
        <f>'3c.m.'!F693</f>
        <v>8421</v>
      </c>
    </row>
    <row r="113" spans="1:6" ht="12.6" customHeight="1" x14ac:dyDescent="0.2">
      <c r="A113" s="1418" t="s">
        <v>793</v>
      </c>
      <c r="B113" s="1419" t="s">
        <v>794</v>
      </c>
      <c r="C113" s="1419"/>
      <c r="D113" s="1419"/>
      <c r="E113" s="1419"/>
      <c r="F113" s="1413">
        <f>SUM(F116)</f>
        <v>973000</v>
      </c>
    </row>
    <row r="114" spans="1:6" ht="12.6" customHeight="1" x14ac:dyDescent="0.2">
      <c r="A114" s="1418"/>
      <c r="B114" s="1419"/>
      <c r="C114" s="1419"/>
      <c r="D114" s="1419"/>
      <c r="E114" s="1419"/>
      <c r="F114" s="1414"/>
    </row>
    <row r="115" spans="1:6" ht="12.6" customHeight="1" x14ac:dyDescent="0.2">
      <c r="A115" s="1418"/>
      <c r="B115" s="1419"/>
      <c r="C115" s="1419"/>
      <c r="D115" s="1419"/>
      <c r="E115" s="1419"/>
      <c r="F115" s="1415"/>
    </row>
    <row r="116" spans="1:6" ht="15" x14ac:dyDescent="0.25">
      <c r="A116" s="1400">
        <v>3941</v>
      </c>
      <c r="B116" s="1400"/>
      <c r="C116" s="1394" t="s">
        <v>795</v>
      </c>
      <c r="D116" s="1395"/>
      <c r="E116" s="1396"/>
      <c r="F116" s="525">
        <f>'3d.m.'!F31</f>
        <v>973000</v>
      </c>
    </row>
    <row r="117" spans="1:6" ht="13.15" customHeight="1" x14ac:dyDescent="0.2">
      <c r="A117" s="1418" t="s">
        <v>796</v>
      </c>
      <c r="B117" s="1419" t="s">
        <v>797</v>
      </c>
      <c r="C117" s="1419"/>
      <c r="D117" s="1419"/>
      <c r="E117" s="1419"/>
      <c r="F117" s="1413">
        <f>SUM(F120)</f>
        <v>40588</v>
      </c>
    </row>
    <row r="118" spans="1:6" ht="13.15" customHeight="1" x14ac:dyDescent="0.2">
      <c r="A118" s="1418"/>
      <c r="B118" s="1419"/>
      <c r="C118" s="1419"/>
      <c r="D118" s="1419"/>
      <c r="E118" s="1419"/>
      <c r="F118" s="1414"/>
    </row>
    <row r="119" spans="1:6" ht="13.15" customHeight="1" x14ac:dyDescent="0.2">
      <c r="A119" s="1418"/>
      <c r="B119" s="1419"/>
      <c r="C119" s="1419"/>
      <c r="D119" s="1419"/>
      <c r="E119" s="1419"/>
      <c r="F119" s="1415"/>
    </row>
    <row r="120" spans="1:6" ht="15" x14ac:dyDescent="0.25">
      <c r="A120" s="1400">
        <v>3207</v>
      </c>
      <c r="B120" s="1400"/>
      <c r="C120" s="1394" t="s">
        <v>243</v>
      </c>
      <c r="D120" s="1395"/>
      <c r="E120" s="1396"/>
      <c r="F120" s="525">
        <f>'3c.m.'!F297</f>
        <v>40588</v>
      </c>
    </row>
    <row r="121" spans="1:6" ht="13.15" customHeight="1" x14ac:dyDescent="0.2">
      <c r="A121" s="1418" t="s">
        <v>798</v>
      </c>
      <c r="B121" s="1419" t="s">
        <v>799</v>
      </c>
      <c r="C121" s="1419"/>
      <c r="D121" s="1419"/>
      <c r="E121" s="1419"/>
      <c r="F121" s="1413">
        <f>SUM(F124:F124)</f>
        <v>1408539</v>
      </c>
    </row>
    <row r="122" spans="1:6" ht="13.15" customHeight="1" x14ac:dyDescent="0.2">
      <c r="A122" s="1418"/>
      <c r="B122" s="1419"/>
      <c r="C122" s="1419"/>
      <c r="D122" s="1419"/>
      <c r="E122" s="1419"/>
      <c r="F122" s="1414"/>
    </row>
    <row r="123" spans="1:6" ht="13.15" customHeight="1" x14ac:dyDescent="0.2">
      <c r="A123" s="1418"/>
      <c r="B123" s="1419"/>
      <c r="C123" s="1419"/>
      <c r="D123" s="1419"/>
      <c r="E123" s="1419"/>
      <c r="F123" s="1415"/>
    </row>
    <row r="124" spans="1:6" ht="15" x14ac:dyDescent="0.25">
      <c r="A124" s="1400">
        <v>3212</v>
      </c>
      <c r="B124" s="1400"/>
      <c r="C124" s="1394" t="s">
        <v>800</v>
      </c>
      <c r="D124" s="1395"/>
      <c r="E124" s="1396"/>
      <c r="F124" s="525">
        <f>'3c.m.'!F345</f>
        <v>1408539</v>
      </c>
    </row>
    <row r="125" spans="1:6" ht="12.6" customHeight="1" x14ac:dyDescent="0.2">
      <c r="A125" s="1418" t="s">
        <v>801</v>
      </c>
      <c r="B125" s="1419" t="s">
        <v>802</v>
      </c>
      <c r="C125" s="1419"/>
      <c r="D125" s="1419"/>
      <c r="E125" s="1419"/>
      <c r="F125" s="1413">
        <f>SUM(F128)</f>
        <v>92923</v>
      </c>
    </row>
    <row r="126" spans="1:6" ht="12.6" customHeight="1" x14ac:dyDescent="0.2">
      <c r="A126" s="1418"/>
      <c r="B126" s="1419"/>
      <c r="C126" s="1419"/>
      <c r="D126" s="1419"/>
      <c r="E126" s="1419"/>
      <c r="F126" s="1414"/>
    </row>
    <row r="127" spans="1:6" ht="12.6" customHeight="1" x14ac:dyDescent="0.2">
      <c r="A127" s="1418"/>
      <c r="B127" s="1419"/>
      <c r="C127" s="1419"/>
      <c r="D127" s="1419"/>
      <c r="E127" s="1419"/>
      <c r="F127" s="1415"/>
    </row>
    <row r="128" spans="1:6" ht="15" x14ac:dyDescent="0.25">
      <c r="A128" s="1400">
        <v>3205</v>
      </c>
      <c r="B128" s="1400"/>
      <c r="C128" s="1394" t="s">
        <v>302</v>
      </c>
      <c r="D128" s="1395"/>
      <c r="E128" s="1396"/>
      <c r="F128" s="525">
        <f>'3c.m.'!F279</f>
        <v>92923</v>
      </c>
    </row>
    <row r="129" spans="1:6" ht="13.15" customHeight="1" x14ac:dyDescent="0.2">
      <c r="A129" s="1418" t="s">
        <v>803</v>
      </c>
      <c r="B129" s="1419" t="s">
        <v>804</v>
      </c>
      <c r="C129" s="1419"/>
      <c r="D129" s="1419"/>
      <c r="E129" s="1419"/>
      <c r="F129" s="1413">
        <f>SUM(F132)</f>
        <v>0</v>
      </c>
    </row>
    <row r="130" spans="1:6" ht="13.15" customHeight="1" x14ac:dyDescent="0.2">
      <c r="A130" s="1418"/>
      <c r="B130" s="1419"/>
      <c r="C130" s="1419"/>
      <c r="D130" s="1419"/>
      <c r="E130" s="1419"/>
      <c r="F130" s="1414"/>
    </row>
    <row r="131" spans="1:6" ht="13.15" customHeight="1" x14ac:dyDescent="0.2">
      <c r="A131" s="1418"/>
      <c r="B131" s="1419"/>
      <c r="C131" s="1419"/>
      <c r="D131" s="1419"/>
      <c r="E131" s="1419"/>
      <c r="F131" s="1415"/>
    </row>
    <row r="132" spans="1:6" ht="15" x14ac:dyDescent="0.25">
      <c r="A132" s="1400">
        <v>5037</v>
      </c>
      <c r="B132" s="1400"/>
      <c r="C132" s="1394" t="s">
        <v>805</v>
      </c>
      <c r="D132" s="1395"/>
      <c r="E132" s="1396"/>
      <c r="F132" s="525">
        <v>0</v>
      </c>
    </row>
    <row r="133" spans="1:6" ht="13.15" customHeight="1" x14ac:dyDescent="0.2">
      <c r="A133" s="1418" t="s">
        <v>806</v>
      </c>
      <c r="B133" s="1419" t="s">
        <v>807</v>
      </c>
      <c r="C133" s="1419"/>
      <c r="D133" s="1419"/>
      <c r="E133" s="1419"/>
      <c r="F133" s="1413">
        <f>SUM(F136)</f>
        <v>369910</v>
      </c>
    </row>
    <row r="134" spans="1:6" ht="13.15" customHeight="1" x14ac:dyDescent="0.2">
      <c r="A134" s="1418"/>
      <c r="B134" s="1419"/>
      <c r="C134" s="1419"/>
      <c r="D134" s="1419"/>
      <c r="E134" s="1419"/>
      <c r="F134" s="1414"/>
    </row>
    <row r="135" spans="1:6" ht="13.15" customHeight="1" x14ac:dyDescent="0.2">
      <c r="A135" s="1418"/>
      <c r="B135" s="1419"/>
      <c r="C135" s="1419"/>
      <c r="D135" s="1419"/>
      <c r="E135" s="1419"/>
      <c r="F135" s="1415"/>
    </row>
    <row r="136" spans="1:6" ht="15" x14ac:dyDescent="0.25">
      <c r="A136" s="1400">
        <v>3216</v>
      </c>
      <c r="B136" s="1400"/>
      <c r="C136" s="1394" t="s">
        <v>808</v>
      </c>
      <c r="D136" s="1395"/>
      <c r="E136" s="1396"/>
      <c r="F136" s="525">
        <f>'3c.m.'!F362</f>
        <v>369910</v>
      </c>
    </row>
    <row r="137" spans="1:6" ht="13.15" customHeight="1" x14ac:dyDescent="0.2">
      <c r="A137" s="1418" t="s">
        <v>809</v>
      </c>
      <c r="B137" s="1419" t="s">
        <v>810</v>
      </c>
      <c r="C137" s="1419"/>
      <c r="D137" s="1419"/>
      <c r="E137" s="1419"/>
      <c r="F137" s="1413">
        <f>SUM(F140:F174)</f>
        <v>5287007</v>
      </c>
    </row>
    <row r="138" spans="1:6" ht="13.15" customHeight="1" x14ac:dyDescent="0.2">
      <c r="A138" s="1418"/>
      <c r="B138" s="1419"/>
      <c r="C138" s="1419"/>
      <c r="D138" s="1419"/>
      <c r="E138" s="1419"/>
      <c r="F138" s="1414"/>
    </row>
    <row r="139" spans="1:6" ht="13.15" customHeight="1" x14ac:dyDescent="0.2">
      <c r="A139" s="1418"/>
      <c r="B139" s="1419"/>
      <c r="C139" s="1419"/>
      <c r="D139" s="1419"/>
      <c r="E139" s="1419"/>
      <c r="F139" s="1415"/>
    </row>
    <row r="140" spans="1:6" ht="15" x14ac:dyDescent="0.25">
      <c r="A140" s="1400">
        <v>3059</v>
      </c>
      <c r="B140" s="1400"/>
      <c r="C140" s="1394" t="s">
        <v>1060</v>
      </c>
      <c r="D140" s="1395"/>
      <c r="E140" s="1396"/>
      <c r="F140" s="525">
        <f>'3c.m.'!F61</f>
        <v>69740</v>
      </c>
    </row>
    <row r="141" spans="1:6" ht="15" x14ac:dyDescent="0.25">
      <c r="A141" s="1400">
        <v>3056</v>
      </c>
      <c r="B141" s="1400"/>
      <c r="C141" s="1394" t="s">
        <v>413</v>
      </c>
      <c r="D141" s="1395"/>
      <c r="E141" s="1396"/>
      <c r="F141" s="525">
        <f>'3c.m.'!F34</f>
        <v>10698</v>
      </c>
    </row>
    <row r="142" spans="1:6" ht="15" x14ac:dyDescent="0.25">
      <c r="A142" s="1400">
        <v>3057</v>
      </c>
      <c r="B142" s="1400"/>
      <c r="C142" s="1394" t="s">
        <v>966</v>
      </c>
      <c r="D142" s="1395"/>
      <c r="E142" s="1396"/>
      <c r="F142" s="525">
        <f>'3c.m.'!F43</f>
        <v>216800</v>
      </c>
    </row>
    <row r="143" spans="1:6" ht="15" x14ac:dyDescent="0.25">
      <c r="A143" s="1400">
        <v>3058</v>
      </c>
      <c r="B143" s="1400"/>
      <c r="C143" s="1394" t="s">
        <v>967</v>
      </c>
      <c r="D143" s="1395"/>
      <c r="E143" s="1396"/>
      <c r="F143" s="525">
        <f>'3c.m.'!F52</f>
        <v>23997</v>
      </c>
    </row>
    <row r="144" spans="1:6" ht="15" x14ac:dyDescent="0.25">
      <c r="A144" s="1400">
        <v>3061</v>
      </c>
      <c r="B144" s="1400"/>
      <c r="C144" s="1394" t="s">
        <v>98</v>
      </c>
      <c r="D144" s="1395"/>
      <c r="E144" s="1396"/>
      <c r="F144" s="525">
        <f>'3c.m.'!F70</f>
        <v>2110</v>
      </c>
    </row>
    <row r="145" spans="1:6" ht="15" x14ac:dyDescent="0.25">
      <c r="A145" s="1400">
        <v>3071</v>
      </c>
      <c r="B145" s="1400"/>
      <c r="C145" s="1394" t="s">
        <v>109</v>
      </c>
      <c r="D145" s="1395"/>
      <c r="E145" s="1396"/>
      <c r="F145" s="525">
        <f>'3c.m.'!F78</f>
        <v>25017</v>
      </c>
    </row>
    <row r="146" spans="1:6" ht="15" hidden="1" x14ac:dyDescent="0.25">
      <c r="A146" s="1400">
        <v>3072</v>
      </c>
      <c r="B146" s="1400"/>
      <c r="C146" s="631" t="s">
        <v>811</v>
      </c>
      <c r="D146" s="632"/>
      <c r="E146" s="633"/>
      <c r="F146" s="525"/>
    </row>
    <row r="147" spans="1:6" ht="15" hidden="1" x14ac:dyDescent="0.25">
      <c r="A147" s="1400">
        <v>3203</v>
      </c>
      <c r="B147" s="1400"/>
      <c r="C147" s="1394" t="s">
        <v>812</v>
      </c>
      <c r="D147" s="1395"/>
      <c r="E147" s="1396"/>
      <c r="F147" s="525"/>
    </row>
    <row r="148" spans="1:6" ht="15" x14ac:dyDescent="0.25">
      <c r="A148" s="1400">
        <v>3206</v>
      </c>
      <c r="B148" s="1400"/>
      <c r="C148" s="1394" t="s">
        <v>1061</v>
      </c>
      <c r="D148" s="1395"/>
      <c r="E148" s="1396"/>
      <c r="F148" s="525">
        <f>'3c.m.'!F289</f>
        <v>10000</v>
      </c>
    </row>
    <row r="149" spans="1:6" ht="15" x14ac:dyDescent="0.25">
      <c r="A149" s="1400">
        <v>3217</v>
      </c>
      <c r="B149" s="1400"/>
      <c r="C149" s="1394" t="s">
        <v>972</v>
      </c>
      <c r="D149" s="1395"/>
      <c r="E149" s="1396"/>
      <c r="F149" s="525">
        <f>'3c.m.'!F372</f>
        <v>235568</v>
      </c>
    </row>
    <row r="150" spans="1:6" ht="15" x14ac:dyDescent="0.25">
      <c r="A150" s="1400">
        <v>3433</v>
      </c>
      <c r="B150" s="1400"/>
      <c r="C150" s="1394" t="s">
        <v>1097</v>
      </c>
      <c r="D150" s="1395"/>
      <c r="E150" s="1396"/>
      <c r="F150" s="525">
        <f>'3c.m.'!F856</f>
        <v>54608</v>
      </c>
    </row>
    <row r="151" spans="1:6" ht="15" x14ac:dyDescent="0.25">
      <c r="A151" s="1400">
        <v>3928</v>
      </c>
      <c r="B151" s="1400"/>
      <c r="C151" s="1394" t="s">
        <v>123</v>
      </c>
      <c r="D151" s="1395"/>
      <c r="E151" s="1396"/>
      <c r="F151" s="525">
        <f>'3d.m.'!F18</f>
        <v>421765</v>
      </c>
    </row>
    <row r="152" spans="1:6" ht="15" x14ac:dyDescent="0.25">
      <c r="A152" s="1400">
        <v>3112</v>
      </c>
      <c r="B152" s="1400"/>
      <c r="C152" s="1394" t="s">
        <v>344</v>
      </c>
      <c r="D152" s="1395"/>
      <c r="E152" s="1396"/>
      <c r="F152" s="525">
        <f>'3c.m.'!F105</f>
        <v>60614</v>
      </c>
    </row>
    <row r="153" spans="1:6" ht="15" x14ac:dyDescent="0.25">
      <c r="A153" s="1400">
        <v>3911</v>
      </c>
      <c r="B153" s="1400"/>
      <c r="C153" s="1394" t="s">
        <v>813</v>
      </c>
      <c r="D153" s="1395"/>
      <c r="E153" s="1396"/>
      <c r="F153" s="528">
        <f>'3d.m.'!F10</f>
        <v>20135</v>
      </c>
    </row>
    <row r="154" spans="1:6" ht="15" x14ac:dyDescent="0.25">
      <c r="A154" s="1400">
        <v>3926</v>
      </c>
      <c r="B154" s="1400"/>
      <c r="C154" s="1394" t="s">
        <v>1046</v>
      </c>
      <c r="D154" s="1395"/>
      <c r="E154" s="1396"/>
      <c r="F154" s="528">
        <f>'3d.m.'!F16</f>
        <v>3700</v>
      </c>
    </row>
    <row r="155" spans="1:6" ht="15" x14ac:dyDescent="0.25">
      <c r="A155" s="1400">
        <v>4014.4014999999999</v>
      </c>
      <c r="B155" s="1400"/>
      <c r="C155" s="631" t="s">
        <v>1238</v>
      </c>
      <c r="D155" s="632"/>
      <c r="E155" s="633"/>
      <c r="F155" s="528">
        <f>SUM('4.mell.'!F17+'4.mell.'!F16)</f>
        <v>360307</v>
      </c>
    </row>
    <row r="156" spans="1:6" ht="15" x14ac:dyDescent="0.25">
      <c r="A156" s="1400">
        <v>4016</v>
      </c>
      <c r="B156" s="1400"/>
      <c r="C156" s="631" t="s">
        <v>1242</v>
      </c>
      <c r="D156" s="632"/>
      <c r="E156" s="633"/>
      <c r="F156" s="528">
        <f>SUM('4.mell.'!F18)</f>
        <v>10000</v>
      </c>
    </row>
    <row r="157" spans="1:6" ht="15" x14ac:dyDescent="0.25">
      <c r="A157" s="1400">
        <v>4019</v>
      </c>
      <c r="B157" s="1400"/>
      <c r="C157" s="1394" t="s">
        <v>441</v>
      </c>
      <c r="D157" s="1395"/>
      <c r="E157" s="1396"/>
      <c r="F157" s="525">
        <f>'4.mell.'!F20</f>
        <v>120000</v>
      </c>
    </row>
    <row r="158" spans="1:6" ht="15" x14ac:dyDescent="0.25">
      <c r="A158" s="1400">
        <v>4020</v>
      </c>
      <c r="B158" s="1400"/>
      <c r="C158" s="1394" t="s">
        <v>1000</v>
      </c>
      <c r="D158" s="1395"/>
      <c r="E158" s="1396"/>
      <c r="F158" s="525">
        <f>SUM('4.mell.'!F21)</f>
        <v>61988</v>
      </c>
    </row>
    <row r="159" spans="1:6" ht="15" x14ac:dyDescent="0.25">
      <c r="A159" s="1400">
        <v>4022</v>
      </c>
      <c r="B159" s="1400"/>
      <c r="C159" s="631" t="s">
        <v>1239</v>
      </c>
      <c r="D159" s="632"/>
      <c r="E159" s="633"/>
      <c r="F159" s="525">
        <f>SUM('4.mell.'!F29)</f>
        <v>60000</v>
      </c>
    </row>
    <row r="160" spans="1:6" ht="15" x14ac:dyDescent="0.25">
      <c r="A160" s="1400">
        <v>4132</v>
      </c>
      <c r="B160" s="1400"/>
      <c r="C160" s="1394" t="s">
        <v>101</v>
      </c>
      <c r="D160" s="1395"/>
      <c r="E160" s="1396"/>
      <c r="F160" s="525">
        <f>'4.mell.'!F68</f>
        <v>29999</v>
      </c>
    </row>
    <row r="161" spans="1:6" ht="15" x14ac:dyDescent="0.25">
      <c r="A161" s="1400">
        <v>4324</v>
      </c>
      <c r="B161" s="1400"/>
      <c r="C161" s="1394" t="s">
        <v>814</v>
      </c>
      <c r="D161" s="1395"/>
      <c r="E161" s="1396"/>
      <c r="F161" s="525">
        <f>'4.mell.'!F85</f>
        <v>1321049</v>
      </c>
    </row>
    <row r="162" spans="1:6" ht="15" x14ac:dyDescent="0.25">
      <c r="A162" s="1400">
        <v>5008</v>
      </c>
      <c r="B162" s="1400"/>
      <c r="C162" s="631" t="s">
        <v>1236</v>
      </c>
      <c r="D162" s="632"/>
      <c r="E162" s="633"/>
      <c r="F162" s="528">
        <f>SUM('5.mell. '!F18)</f>
        <v>35560</v>
      </c>
    </row>
    <row r="163" spans="1:6" ht="15" x14ac:dyDescent="0.25">
      <c r="A163" s="1400">
        <v>5009</v>
      </c>
      <c r="B163" s="1400"/>
      <c r="C163" s="631" t="s">
        <v>1247</v>
      </c>
      <c r="D163" s="632"/>
      <c r="E163" s="633"/>
      <c r="F163" s="528">
        <f>SUM('5.mell. '!F19)</f>
        <v>20000</v>
      </c>
    </row>
    <row r="164" spans="1:6" ht="15" x14ac:dyDescent="0.25">
      <c r="A164" s="1400">
        <v>5011</v>
      </c>
      <c r="B164" s="1400"/>
      <c r="C164" s="631" t="s">
        <v>1248</v>
      </c>
      <c r="D164" s="632"/>
      <c r="E164" s="633"/>
      <c r="F164" s="528">
        <f>SUM('5.mell. '!F21)</f>
        <v>67776</v>
      </c>
    </row>
    <row r="165" spans="1:6" ht="15" x14ac:dyDescent="0.25">
      <c r="A165" s="1400">
        <v>5013</v>
      </c>
      <c r="B165" s="1400"/>
      <c r="C165" s="530" t="s">
        <v>421</v>
      </c>
      <c r="D165" s="632"/>
      <c r="E165" s="633"/>
      <c r="F165" s="528">
        <f>'5.mell. '!F23</f>
        <v>8058</v>
      </c>
    </row>
    <row r="166" spans="1:6" ht="15" x14ac:dyDescent="0.25">
      <c r="A166" s="1400">
        <v>5012</v>
      </c>
      <c r="B166" s="1400"/>
      <c r="C166" s="530" t="s">
        <v>1246</v>
      </c>
      <c r="D166" s="632"/>
      <c r="E166" s="633"/>
      <c r="F166" s="528">
        <f>SUM('5.mell. '!F22)</f>
        <v>199000</v>
      </c>
    </row>
    <row r="167" spans="1:6" ht="15" x14ac:dyDescent="0.25">
      <c r="A167" s="1400" t="s">
        <v>1332</v>
      </c>
      <c r="B167" s="1400"/>
      <c r="C167" s="631" t="s">
        <v>1282</v>
      </c>
      <c r="D167" s="632"/>
      <c r="E167" s="633"/>
      <c r="F167" s="528">
        <f>SUM('5.mell. '!F12+'5.mell. '!F14+'5.mell. '!F15)+'5.mell. '!F11+'5.mell. '!F13</f>
        <v>210694</v>
      </c>
    </row>
    <row r="168" spans="1:6" ht="15" x14ac:dyDescent="0.25">
      <c r="A168" s="1400">
        <v>5014</v>
      </c>
      <c r="B168" s="1400"/>
      <c r="C168" s="1394" t="s">
        <v>423</v>
      </c>
      <c r="D168" s="1395"/>
      <c r="E168" s="1396"/>
      <c r="F168" s="528">
        <f>'5.mell. '!F25</f>
        <v>40000</v>
      </c>
    </row>
    <row r="169" spans="1:6" ht="15" x14ac:dyDescent="0.25">
      <c r="A169" s="1400">
        <v>3927</v>
      </c>
      <c r="B169" s="1400"/>
      <c r="C169" s="1394" t="s">
        <v>815</v>
      </c>
      <c r="D169" s="1395"/>
      <c r="E169" s="1396"/>
      <c r="F169" s="528">
        <f>'3d.m.'!F17</f>
        <v>5000</v>
      </c>
    </row>
    <row r="170" spans="1:6" ht="15" x14ac:dyDescent="0.25">
      <c r="A170" s="1400">
        <v>5015</v>
      </c>
      <c r="B170" s="1400"/>
      <c r="C170" s="1394" t="s">
        <v>425</v>
      </c>
      <c r="D170" s="1395"/>
      <c r="E170" s="1396"/>
      <c r="F170" s="528">
        <f>'5.mell. '!F26</f>
        <v>15124</v>
      </c>
    </row>
    <row r="171" spans="1:6" ht="15" x14ac:dyDescent="0.25">
      <c r="A171" s="1400">
        <v>5019</v>
      </c>
      <c r="B171" s="1400"/>
      <c r="C171" s="631" t="s">
        <v>1235</v>
      </c>
      <c r="D171" s="632"/>
      <c r="E171" s="633"/>
      <c r="F171" s="528">
        <f>SUM('5.mell. '!F31)</f>
        <v>364178</v>
      </c>
    </row>
    <row r="172" spans="1:6" ht="15" x14ac:dyDescent="0.25">
      <c r="A172" s="1400">
        <v>5023</v>
      </c>
      <c r="B172" s="1400"/>
      <c r="C172" s="1394" t="s">
        <v>1376</v>
      </c>
      <c r="D172" s="1395"/>
      <c r="E172" s="1396"/>
      <c r="F172" s="528">
        <f>'5.mell. '!F38</f>
        <v>1151312</v>
      </c>
    </row>
    <row r="173" spans="1:6" ht="15" x14ac:dyDescent="0.25">
      <c r="A173" s="1400">
        <v>5024</v>
      </c>
      <c r="B173" s="1400"/>
      <c r="C173" s="1394" t="s">
        <v>1283</v>
      </c>
      <c r="D173" s="1395"/>
      <c r="E173" s="1396"/>
      <c r="F173" s="528">
        <f>'5.mell. '!F41</f>
        <v>4660</v>
      </c>
    </row>
    <row r="174" spans="1:6" ht="15" x14ac:dyDescent="0.25">
      <c r="A174" s="1400">
        <v>2795</v>
      </c>
      <c r="B174" s="1400"/>
      <c r="C174" s="1394" t="s">
        <v>816</v>
      </c>
      <c r="D174" s="1395"/>
      <c r="E174" s="1396"/>
      <c r="F174" s="525">
        <v>47550</v>
      </c>
    </row>
    <row r="175" spans="1:6" ht="12.6" customHeight="1" x14ac:dyDescent="0.2">
      <c r="A175" s="1418" t="s">
        <v>817</v>
      </c>
      <c r="B175" s="1419" t="s">
        <v>818</v>
      </c>
      <c r="C175" s="1419"/>
      <c r="D175" s="1419"/>
      <c r="E175" s="1419"/>
      <c r="F175" s="1413">
        <f>SUM(F178:F179)</f>
        <v>2782363</v>
      </c>
    </row>
    <row r="176" spans="1:6" ht="12.6" customHeight="1" x14ac:dyDescent="0.2">
      <c r="A176" s="1418"/>
      <c r="B176" s="1419"/>
      <c r="C176" s="1419"/>
      <c r="D176" s="1419"/>
      <c r="E176" s="1419"/>
      <c r="F176" s="1414"/>
    </row>
    <row r="177" spans="1:6" ht="12.6" customHeight="1" x14ac:dyDescent="0.2">
      <c r="A177" s="1418"/>
      <c r="B177" s="1419"/>
      <c r="C177" s="1419"/>
      <c r="D177" s="1419"/>
      <c r="E177" s="1419"/>
      <c r="F177" s="1415"/>
    </row>
    <row r="178" spans="1:6" ht="15" x14ac:dyDescent="0.25">
      <c r="A178" s="1400">
        <v>3302</v>
      </c>
      <c r="B178" s="1400"/>
      <c r="C178" s="1394" t="s">
        <v>819</v>
      </c>
      <c r="D178" s="1395"/>
      <c r="E178" s="1396"/>
      <c r="F178" s="525">
        <f>'3c.m.'!F459</f>
        <v>134920</v>
      </c>
    </row>
    <row r="179" spans="1:6" ht="15" x14ac:dyDescent="0.25">
      <c r="A179" s="1400">
        <v>2987</v>
      </c>
      <c r="B179" s="1400"/>
      <c r="C179" s="1394" t="s">
        <v>1254</v>
      </c>
      <c r="D179" s="1395"/>
      <c r="E179" s="1396"/>
      <c r="F179" s="528">
        <f>SUM('2.mell'!F693)</f>
        <v>2647443</v>
      </c>
    </row>
    <row r="180" spans="1:6" ht="12.6" customHeight="1" x14ac:dyDescent="0.2">
      <c r="A180" s="1418" t="s">
        <v>820</v>
      </c>
      <c r="B180" s="1419" t="s">
        <v>821</v>
      </c>
      <c r="C180" s="1419"/>
      <c r="D180" s="1419"/>
      <c r="E180" s="1419"/>
      <c r="F180" s="1413">
        <f>SUM(F183)</f>
        <v>3330</v>
      </c>
    </row>
    <row r="181" spans="1:6" ht="12.6" customHeight="1" x14ac:dyDescent="0.2">
      <c r="A181" s="1418"/>
      <c r="B181" s="1419"/>
      <c r="C181" s="1419"/>
      <c r="D181" s="1419"/>
      <c r="E181" s="1419"/>
      <c r="F181" s="1414"/>
    </row>
    <row r="182" spans="1:6" ht="12.6" customHeight="1" x14ac:dyDescent="0.2">
      <c r="A182" s="1418"/>
      <c r="B182" s="1419"/>
      <c r="C182" s="1419"/>
      <c r="D182" s="1419"/>
      <c r="E182" s="1419"/>
      <c r="F182" s="1415"/>
    </row>
    <row r="183" spans="1:6" ht="12.6" customHeight="1" x14ac:dyDescent="0.25">
      <c r="A183" s="1400">
        <v>3357</v>
      </c>
      <c r="B183" s="1400"/>
      <c r="C183" s="1394" t="s">
        <v>822</v>
      </c>
      <c r="D183" s="1395"/>
      <c r="E183" s="1396"/>
      <c r="F183" s="525">
        <f>'3c.m.'!F701</f>
        <v>3330</v>
      </c>
    </row>
    <row r="184" spans="1:6" ht="13.15" customHeight="1" x14ac:dyDescent="0.2">
      <c r="A184" s="1418" t="s">
        <v>823</v>
      </c>
      <c r="B184" s="1419" t="s">
        <v>824</v>
      </c>
      <c r="C184" s="1419"/>
      <c r="D184" s="1419"/>
      <c r="E184" s="1419"/>
      <c r="F184" s="1413">
        <f>SUM(F187:F187)</f>
        <v>18679</v>
      </c>
    </row>
    <row r="185" spans="1:6" ht="13.15" customHeight="1" x14ac:dyDescent="0.2">
      <c r="A185" s="1418"/>
      <c r="B185" s="1419"/>
      <c r="C185" s="1419"/>
      <c r="D185" s="1419"/>
      <c r="E185" s="1419"/>
      <c r="F185" s="1414"/>
    </row>
    <row r="186" spans="1:6" ht="13.15" customHeight="1" x14ac:dyDescent="0.2">
      <c r="A186" s="1418"/>
      <c r="B186" s="1419"/>
      <c r="C186" s="1419"/>
      <c r="D186" s="1419"/>
      <c r="E186" s="1419"/>
      <c r="F186" s="1415"/>
    </row>
    <row r="187" spans="1:6" ht="15" x14ac:dyDescent="0.25">
      <c r="A187" s="1400">
        <v>3301</v>
      </c>
      <c r="B187" s="1400"/>
      <c r="C187" s="1394" t="s">
        <v>120</v>
      </c>
      <c r="D187" s="1395"/>
      <c r="E187" s="1396"/>
      <c r="F187" s="525">
        <f>'3c.m.'!F451</f>
        <v>18679</v>
      </c>
    </row>
    <row r="188" spans="1:6" ht="13.15" customHeight="1" x14ac:dyDescent="0.2">
      <c r="A188" s="1418" t="s">
        <v>825</v>
      </c>
      <c r="B188" s="1419" t="s">
        <v>826</v>
      </c>
      <c r="C188" s="1419"/>
      <c r="D188" s="1419"/>
      <c r="E188" s="1419"/>
      <c r="F188" s="1413">
        <f>SUM(F191:F191)</f>
        <v>20000</v>
      </c>
    </row>
    <row r="189" spans="1:6" ht="13.15" customHeight="1" x14ac:dyDescent="0.2">
      <c r="A189" s="1418"/>
      <c r="B189" s="1419"/>
      <c r="C189" s="1419"/>
      <c r="D189" s="1419"/>
      <c r="E189" s="1419"/>
      <c r="F189" s="1414"/>
    </row>
    <row r="190" spans="1:6" ht="13.15" customHeight="1" x14ac:dyDescent="0.2">
      <c r="A190" s="1418"/>
      <c r="B190" s="1419"/>
      <c r="C190" s="1419"/>
      <c r="D190" s="1419"/>
      <c r="E190" s="1419"/>
      <c r="F190" s="1415"/>
    </row>
    <row r="191" spans="1:6" ht="15" x14ac:dyDescent="0.25">
      <c r="A191" s="1400">
        <v>3416</v>
      </c>
      <c r="B191" s="1400"/>
      <c r="C191" s="1394" t="s">
        <v>138</v>
      </c>
      <c r="D191" s="1395"/>
      <c r="E191" s="1396"/>
      <c r="F191" s="525">
        <f>'3c.m.'!F765</f>
        <v>20000</v>
      </c>
    </row>
    <row r="192" spans="1:6" ht="13.15" customHeight="1" x14ac:dyDescent="0.2">
      <c r="A192" s="1418" t="s">
        <v>827</v>
      </c>
      <c r="B192" s="1419" t="s">
        <v>828</v>
      </c>
      <c r="C192" s="1419"/>
      <c r="D192" s="1419"/>
      <c r="E192" s="1419"/>
      <c r="F192" s="1413">
        <f>SUM(F195:F195)</f>
        <v>3187</v>
      </c>
    </row>
    <row r="193" spans="1:6" ht="13.15" customHeight="1" x14ac:dyDescent="0.2">
      <c r="A193" s="1418"/>
      <c r="B193" s="1419"/>
      <c r="C193" s="1419"/>
      <c r="D193" s="1419"/>
      <c r="E193" s="1419"/>
      <c r="F193" s="1414"/>
    </row>
    <row r="194" spans="1:6" ht="13.15" customHeight="1" x14ac:dyDescent="0.2">
      <c r="A194" s="1418"/>
      <c r="B194" s="1419"/>
      <c r="C194" s="1419"/>
      <c r="D194" s="1419"/>
      <c r="E194" s="1419"/>
      <c r="F194" s="1415"/>
    </row>
    <row r="195" spans="1:6" ht="15" x14ac:dyDescent="0.25">
      <c r="A195" s="1400">
        <v>3413</v>
      </c>
      <c r="B195" s="1400"/>
      <c r="C195" s="1394" t="s">
        <v>110</v>
      </c>
      <c r="D195" s="1395"/>
      <c r="E195" s="1396"/>
      <c r="F195" s="525">
        <f>'3c.m.'!E748</f>
        <v>3187</v>
      </c>
    </row>
    <row r="196" spans="1:6" ht="13.15" customHeight="1" x14ac:dyDescent="0.2">
      <c r="A196" s="1418" t="s">
        <v>829</v>
      </c>
      <c r="B196" s="1419" t="s">
        <v>830</v>
      </c>
      <c r="C196" s="1419"/>
      <c r="D196" s="1419"/>
      <c r="E196" s="1419"/>
      <c r="F196" s="1413">
        <f>SUM(F199:F202)</f>
        <v>63298</v>
      </c>
    </row>
    <row r="197" spans="1:6" ht="13.15" customHeight="1" x14ac:dyDescent="0.2">
      <c r="A197" s="1418"/>
      <c r="B197" s="1419"/>
      <c r="C197" s="1419"/>
      <c r="D197" s="1419"/>
      <c r="E197" s="1419"/>
      <c r="F197" s="1414"/>
    </row>
    <row r="198" spans="1:6" ht="13.15" customHeight="1" x14ac:dyDescent="0.2">
      <c r="A198" s="1418"/>
      <c r="B198" s="1419"/>
      <c r="C198" s="1419"/>
      <c r="D198" s="1419"/>
      <c r="E198" s="1419"/>
      <c r="F198" s="1415"/>
    </row>
    <row r="199" spans="1:6" ht="13.15" customHeight="1" x14ac:dyDescent="0.25">
      <c r="A199" s="1400">
        <v>3411</v>
      </c>
      <c r="B199" s="1400"/>
      <c r="C199" s="1394" t="s">
        <v>1104</v>
      </c>
      <c r="D199" s="1395"/>
      <c r="E199" s="1396"/>
      <c r="F199" s="525">
        <f>'3c.m.'!F730</f>
        <v>20000</v>
      </c>
    </row>
    <row r="200" spans="1:6" ht="15" x14ac:dyDescent="0.25">
      <c r="A200" s="1400">
        <v>3412</v>
      </c>
      <c r="B200" s="1400"/>
      <c r="C200" s="1394" t="s">
        <v>324</v>
      </c>
      <c r="D200" s="1395"/>
      <c r="E200" s="1396"/>
      <c r="F200" s="525">
        <f>'3c.m.'!F739</f>
        <v>36298</v>
      </c>
    </row>
    <row r="201" spans="1:6" ht="15" x14ac:dyDescent="0.25">
      <c r="A201" s="1400">
        <v>3414</v>
      </c>
      <c r="B201" s="1400"/>
      <c r="C201" s="1394" t="s">
        <v>60</v>
      </c>
      <c r="D201" s="1395"/>
      <c r="E201" s="1396"/>
      <c r="F201" s="525">
        <v>0</v>
      </c>
    </row>
    <row r="202" spans="1:6" ht="15" x14ac:dyDescent="0.25">
      <c r="A202" s="1400">
        <v>3415</v>
      </c>
      <c r="B202" s="1400"/>
      <c r="C202" s="1394" t="s">
        <v>1103</v>
      </c>
      <c r="D202" s="1395"/>
      <c r="E202" s="1396"/>
      <c r="F202" s="525">
        <f>'3c.m.'!F757</f>
        <v>7000</v>
      </c>
    </row>
    <row r="203" spans="1:6" ht="13.15" customHeight="1" x14ac:dyDescent="0.2">
      <c r="A203" s="1418" t="s">
        <v>831</v>
      </c>
      <c r="B203" s="1419" t="s">
        <v>832</v>
      </c>
      <c r="C203" s="1419"/>
      <c r="D203" s="1419"/>
      <c r="E203" s="1419"/>
      <c r="F203" s="1413">
        <f>SUM(F206)</f>
        <v>97773</v>
      </c>
    </row>
    <row r="204" spans="1:6" ht="13.15" customHeight="1" x14ac:dyDescent="0.2">
      <c r="A204" s="1418"/>
      <c r="B204" s="1419"/>
      <c r="C204" s="1419"/>
      <c r="D204" s="1419"/>
      <c r="E204" s="1419"/>
      <c r="F204" s="1414"/>
    </row>
    <row r="205" spans="1:6" ht="13.15" customHeight="1" x14ac:dyDescent="0.2">
      <c r="A205" s="1418"/>
      <c r="B205" s="1419"/>
      <c r="C205" s="1419"/>
      <c r="D205" s="1419"/>
      <c r="E205" s="1419"/>
      <c r="F205" s="1415"/>
    </row>
    <row r="206" spans="1:6" ht="15" x14ac:dyDescent="0.25">
      <c r="A206" s="1400">
        <v>2795</v>
      </c>
      <c r="B206" s="1400"/>
      <c r="C206" s="1394" t="s">
        <v>833</v>
      </c>
      <c r="D206" s="1395"/>
      <c r="E206" s="1396"/>
      <c r="F206" s="525">
        <v>97773</v>
      </c>
    </row>
    <row r="207" spans="1:6" ht="13.15" customHeight="1" x14ac:dyDescent="0.2">
      <c r="A207" s="1418" t="s">
        <v>834</v>
      </c>
      <c r="B207" s="1419" t="s">
        <v>835</v>
      </c>
      <c r="C207" s="1419"/>
      <c r="D207" s="1419"/>
      <c r="E207" s="1419"/>
      <c r="F207" s="1413">
        <f>SUM(F210:F213)</f>
        <v>73992</v>
      </c>
    </row>
    <row r="208" spans="1:6" ht="13.15" customHeight="1" x14ac:dyDescent="0.2">
      <c r="A208" s="1418"/>
      <c r="B208" s="1419"/>
      <c r="C208" s="1419"/>
      <c r="D208" s="1419"/>
      <c r="E208" s="1419"/>
      <c r="F208" s="1414"/>
    </row>
    <row r="209" spans="1:6" ht="13.15" customHeight="1" x14ac:dyDescent="0.2">
      <c r="A209" s="1418"/>
      <c r="B209" s="1419"/>
      <c r="C209" s="1419"/>
      <c r="D209" s="1419"/>
      <c r="E209" s="1419"/>
      <c r="F209" s="1415"/>
    </row>
    <row r="210" spans="1:6" ht="15" x14ac:dyDescent="0.25">
      <c r="A210" s="1400">
        <v>3421</v>
      </c>
      <c r="B210" s="1400"/>
      <c r="C210" s="1394" t="s">
        <v>335</v>
      </c>
      <c r="D210" s="1395"/>
      <c r="E210" s="1396"/>
      <c r="F210" s="525">
        <f>'3c.m.'!F774</f>
        <v>66492</v>
      </c>
    </row>
    <row r="211" spans="1:6" ht="15" x14ac:dyDescent="0.25">
      <c r="A211" s="1400">
        <v>3429</v>
      </c>
      <c r="B211" s="1400"/>
      <c r="C211" s="1394" t="s">
        <v>19</v>
      </c>
      <c r="D211" s="1395"/>
      <c r="E211" s="1396"/>
      <c r="F211" s="525">
        <f>'3c.m.'!F815</f>
        <v>2500</v>
      </c>
    </row>
    <row r="212" spans="1:6" ht="15" x14ac:dyDescent="0.25">
      <c r="A212" s="1400">
        <v>3431</v>
      </c>
      <c r="B212" s="1400"/>
      <c r="C212" s="1394" t="s">
        <v>836</v>
      </c>
      <c r="D212" s="1395"/>
      <c r="E212" s="1396"/>
      <c r="F212" s="525">
        <f>'3c.m.'!F823</f>
        <v>0</v>
      </c>
    </row>
    <row r="213" spans="1:6" ht="15" x14ac:dyDescent="0.25">
      <c r="A213" s="1400">
        <v>3432</v>
      </c>
      <c r="B213" s="1400"/>
      <c r="C213" s="1394" t="s">
        <v>837</v>
      </c>
      <c r="D213" s="1395"/>
      <c r="E213" s="1396"/>
      <c r="F213" s="525">
        <f>'3c.m.'!F831</f>
        <v>5000</v>
      </c>
    </row>
    <row r="214" spans="1:6" ht="13.15" customHeight="1" x14ac:dyDescent="0.2">
      <c r="A214" s="1418" t="s">
        <v>838</v>
      </c>
      <c r="B214" s="1419" t="s">
        <v>839</v>
      </c>
      <c r="C214" s="1419"/>
      <c r="D214" s="1419"/>
      <c r="E214" s="1419"/>
      <c r="F214" s="1413">
        <f>SUM(F217:F217)</f>
        <v>288755</v>
      </c>
    </row>
    <row r="215" spans="1:6" ht="13.15" customHeight="1" x14ac:dyDescent="0.2">
      <c r="A215" s="1418"/>
      <c r="B215" s="1419"/>
      <c r="C215" s="1419"/>
      <c r="D215" s="1419"/>
      <c r="E215" s="1419"/>
      <c r="F215" s="1414"/>
    </row>
    <row r="216" spans="1:6" ht="13.15" customHeight="1" x14ac:dyDescent="0.2">
      <c r="A216" s="1418"/>
      <c r="B216" s="1419"/>
      <c r="C216" s="1419"/>
      <c r="D216" s="1419"/>
      <c r="E216" s="1419"/>
      <c r="F216" s="1415"/>
    </row>
    <row r="217" spans="1:6" ht="15" x14ac:dyDescent="0.25">
      <c r="A217" s="1400">
        <v>2986</v>
      </c>
      <c r="B217" s="1400"/>
      <c r="C217" s="1394" t="s">
        <v>554</v>
      </c>
      <c r="D217" s="1395"/>
      <c r="E217" s="1396"/>
      <c r="F217" s="525">
        <f>'2.mell'!F657</f>
        <v>288755</v>
      </c>
    </row>
    <row r="218" spans="1:6" ht="12" customHeight="1" x14ac:dyDescent="0.2">
      <c r="A218" s="1418" t="s">
        <v>840</v>
      </c>
      <c r="B218" s="1419" t="s">
        <v>841</v>
      </c>
      <c r="C218" s="1419"/>
      <c r="D218" s="1419"/>
      <c r="E218" s="1419"/>
      <c r="F218" s="1413">
        <f>SUM(F222+F221)</f>
        <v>673514</v>
      </c>
    </row>
    <row r="219" spans="1:6" ht="12" customHeight="1" x14ac:dyDescent="0.2">
      <c r="A219" s="1418"/>
      <c r="B219" s="1419"/>
      <c r="C219" s="1419"/>
      <c r="D219" s="1419"/>
      <c r="E219" s="1419"/>
      <c r="F219" s="1414"/>
    </row>
    <row r="220" spans="1:6" ht="12.6" customHeight="1" x14ac:dyDescent="0.2">
      <c r="A220" s="1418"/>
      <c r="B220" s="1419"/>
      <c r="C220" s="1419"/>
      <c r="D220" s="1419"/>
      <c r="E220" s="1419"/>
      <c r="F220" s="1415"/>
    </row>
    <row r="221" spans="1:6" ht="12.6" customHeight="1" x14ac:dyDescent="0.25">
      <c r="A221" s="1400">
        <v>3961</v>
      </c>
      <c r="B221" s="1400"/>
      <c r="C221" s="1394" t="s">
        <v>330</v>
      </c>
      <c r="D221" s="1395"/>
      <c r="E221" s="1396"/>
      <c r="F221" s="525">
        <f>'3d.m.'!F39</f>
        <v>313826</v>
      </c>
    </row>
    <row r="222" spans="1:6" ht="15" x14ac:dyDescent="0.25">
      <c r="A222" s="1400">
        <v>2985</v>
      </c>
      <c r="B222" s="1400"/>
      <c r="C222" s="1394" t="s">
        <v>552</v>
      </c>
      <c r="D222" s="1395"/>
      <c r="E222" s="1396"/>
      <c r="F222" s="525">
        <f>'2.mell'!F621-F85-F226-F230</f>
        <v>359688</v>
      </c>
    </row>
    <row r="223" spans="1:6" ht="13.15" customHeight="1" x14ac:dyDescent="0.2">
      <c r="A223" s="1418" t="s">
        <v>842</v>
      </c>
      <c r="B223" s="1419" t="s">
        <v>843</v>
      </c>
      <c r="C223" s="1419"/>
      <c r="D223" s="1419"/>
      <c r="E223" s="1419"/>
      <c r="F223" s="1413">
        <f>SUM(F226)</f>
        <v>0</v>
      </c>
    </row>
    <row r="224" spans="1:6" ht="13.15" customHeight="1" x14ac:dyDescent="0.2">
      <c r="A224" s="1418"/>
      <c r="B224" s="1419"/>
      <c r="C224" s="1419"/>
      <c r="D224" s="1419"/>
      <c r="E224" s="1419"/>
      <c r="F224" s="1414"/>
    </row>
    <row r="225" spans="1:6" ht="13.15" customHeight="1" x14ac:dyDescent="0.2">
      <c r="A225" s="1418"/>
      <c r="B225" s="1419"/>
      <c r="C225" s="1419"/>
      <c r="D225" s="1419"/>
      <c r="E225" s="1419"/>
      <c r="F225" s="1415"/>
    </row>
    <row r="226" spans="1:6" ht="15" x14ac:dyDescent="0.25">
      <c r="A226" s="1400">
        <v>2985</v>
      </c>
      <c r="B226" s="1400"/>
      <c r="C226" s="1394" t="s">
        <v>552</v>
      </c>
      <c r="D226" s="1395"/>
      <c r="E226" s="1396"/>
      <c r="F226" s="525"/>
    </row>
    <row r="227" spans="1:6" ht="13.15" customHeight="1" x14ac:dyDescent="0.2">
      <c r="A227" s="1418" t="s">
        <v>844</v>
      </c>
      <c r="B227" s="1419" t="s">
        <v>845</v>
      </c>
      <c r="C227" s="1419"/>
      <c r="D227" s="1419"/>
      <c r="E227" s="1419"/>
      <c r="F227" s="1413">
        <f>SUM(F230:F231)</f>
        <v>3000</v>
      </c>
    </row>
    <row r="228" spans="1:6" ht="13.15" customHeight="1" x14ac:dyDescent="0.2">
      <c r="A228" s="1418"/>
      <c r="B228" s="1419"/>
      <c r="C228" s="1419"/>
      <c r="D228" s="1419"/>
      <c r="E228" s="1419"/>
      <c r="F228" s="1414"/>
    </row>
    <row r="229" spans="1:6" ht="13.15" customHeight="1" x14ac:dyDescent="0.2">
      <c r="A229" s="1418"/>
      <c r="B229" s="1419"/>
      <c r="C229" s="1419"/>
      <c r="D229" s="1419"/>
      <c r="E229" s="1419"/>
      <c r="F229" s="1415"/>
    </row>
    <row r="230" spans="1:6" ht="15" x14ac:dyDescent="0.25">
      <c r="A230" s="1400">
        <v>2985</v>
      </c>
      <c r="B230" s="1400"/>
      <c r="C230" s="1394" t="s">
        <v>552</v>
      </c>
      <c r="D230" s="1395"/>
      <c r="E230" s="1396"/>
      <c r="F230" s="525">
        <v>0</v>
      </c>
    </row>
    <row r="231" spans="1:6" ht="15" x14ac:dyDescent="0.25">
      <c r="A231" s="1400">
        <v>3428</v>
      </c>
      <c r="B231" s="1400"/>
      <c r="C231" s="1394" t="s">
        <v>7</v>
      </c>
      <c r="D231" s="1395"/>
      <c r="E231" s="1396"/>
      <c r="F231" s="528">
        <f>'3c.m.'!F807</f>
        <v>3000</v>
      </c>
    </row>
    <row r="232" spans="1:6" ht="13.15" customHeight="1" x14ac:dyDescent="0.2">
      <c r="A232" s="1418" t="s">
        <v>846</v>
      </c>
      <c r="B232" s="1419" t="s">
        <v>847</v>
      </c>
      <c r="C232" s="1419"/>
      <c r="D232" s="1419"/>
      <c r="E232" s="1419"/>
      <c r="F232" s="1413">
        <f>SUM(F235:F239)</f>
        <v>83638</v>
      </c>
    </row>
    <row r="233" spans="1:6" ht="13.15" customHeight="1" x14ac:dyDescent="0.2">
      <c r="A233" s="1418"/>
      <c r="B233" s="1419"/>
      <c r="C233" s="1419"/>
      <c r="D233" s="1419"/>
      <c r="E233" s="1419"/>
      <c r="F233" s="1414"/>
    </row>
    <row r="234" spans="1:6" ht="13.15" customHeight="1" x14ac:dyDescent="0.2">
      <c r="A234" s="1418"/>
      <c r="B234" s="1419"/>
      <c r="C234" s="1419"/>
      <c r="D234" s="1419"/>
      <c r="E234" s="1419"/>
      <c r="F234" s="1415"/>
    </row>
    <row r="235" spans="1:6" ht="13.15" customHeight="1" x14ac:dyDescent="0.25">
      <c r="A235" s="1441" t="s">
        <v>1120</v>
      </c>
      <c r="B235" s="1442"/>
      <c r="C235" s="1434" t="s">
        <v>1121</v>
      </c>
      <c r="D235" s="1435"/>
      <c r="E235" s="1436"/>
      <c r="F235" s="525">
        <f>'5.mell. '!F58</f>
        <v>8917</v>
      </c>
    </row>
    <row r="236" spans="1:6" ht="13.15" customHeight="1" x14ac:dyDescent="0.25">
      <c r="A236" s="1441" t="s">
        <v>1249</v>
      </c>
      <c r="B236" s="1442"/>
      <c r="C236" s="1434" t="s">
        <v>1229</v>
      </c>
      <c r="D236" s="1435"/>
      <c r="E236" s="1436"/>
      <c r="F236" s="866">
        <f>SUM('5.mell. '!F59)</f>
        <v>10000</v>
      </c>
    </row>
    <row r="237" spans="1:6" ht="15" x14ac:dyDescent="0.25">
      <c r="A237" s="1400">
        <v>3973</v>
      </c>
      <c r="B237" s="1400"/>
      <c r="C237" s="631" t="s">
        <v>1001</v>
      </c>
      <c r="D237" s="632"/>
      <c r="E237" s="633"/>
      <c r="F237" s="531">
        <f>'3d.m.'!F44</f>
        <v>5929</v>
      </c>
    </row>
    <row r="238" spans="1:6" ht="15" x14ac:dyDescent="0.25">
      <c r="A238" s="1400">
        <v>3422.3424</v>
      </c>
      <c r="B238" s="1400"/>
      <c r="C238" s="1394" t="s">
        <v>1062</v>
      </c>
      <c r="D238" s="1395"/>
      <c r="E238" s="1396"/>
      <c r="F238" s="525">
        <f>'3c.m.'!F782+'3c.m.'!F799</f>
        <v>58792</v>
      </c>
    </row>
    <row r="240" spans="1:6" ht="13.15" customHeight="1" x14ac:dyDescent="0.2">
      <c r="A240" s="1418" t="s">
        <v>848</v>
      </c>
      <c r="B240" s="1419" t="s">
        <v>849</v>
      </c>
      <c r="C240" s="1419"/>
      <c r="D240" s="1419"/>
      <c r="E240" s="1419"/>
      <c r="F240" s="1413">
        <f>SUM(F243)</f>
        <v>23430</v>
      </c>
    </row>
    <row r="241" spans="1:6" ht="13.15" customHeight="1" x14ac:dyDescent="0.2">
      <c r="A241" s="1418"/>
      <c r="B241" s="1419"/>
      <c r="C241" s="1419"/>
      <c r="D241" s="1419"/>
      <c r="E241" s="1419"/>
      <c r="F241" s="1414"/>
    </row>
    <row r="242" spans="1:6" ht="13.15" customHeight="1" x14ac:dyDescent="0.2">
      <c r="A242" s="1418"/>
      <c r="B242" s="1419"/>
      <c r="C242" s="1419"/>
      <c r="D242" s="1419"/>
      <c r="E242" s="1419"/>
      <c r="F242" s="1415"/>
    </row>
    <row r="243" spans="1:6" ht="15" x14ac:dyDescent="0.25">
      <c r="A243" s="1400">
        <v>3343</v>
      </c>
      <c r="B243" s="1400"/>
      <c r="C243" s="1394" t="s">
        <v>1055</v>
      </c>
      <c r="D243" s="1395"/>
      <c r="E243" s="1396"/>
      <c r="F243" s="525">
        <f>'3c.m.'!F603</f>
        <v>23430</v>
      </c>
    </row>
    <row r="244" spans="1:6" ht="13.15" customHeight="1" x14ac:dyDescent="0.2">
      <c r="A244" s="1418" t="s">
        <v>850</v>
      </c>
      <c r="B244" s="1419" t="s">
        <v>851</v>
      </c>
      <c r="C244" s="1419"/>
      <c r="D244" s="1419"/>
      <c r="E244" s="1419"/>
      <c r="F244" s="1413">
        <f>SUM(F247:F259)</f>
        <v>23159</v>
      </c>
    </row>
    <row r="245" spans="1:6" ht="13.15" customHeight="1" x14ac:dyDescent="0.2">
      <c r="A245" s="1418"/>
      <c r="B245" s="1419"/>
      <c r="C245" s="1419"/>
      <c r="D245" s="1419"/>
      <c r="E245" s="1419"/>
      <c r="F245" s="1414"/>
    </row>
    <row r="246" spans="1:6" ht="13.15" customHeight="1" x14ac:dyDescent="0.2">
      <c r="A246" s="1418"/>
      <c r="B246" s="1419"/>
      <c r="C246" s="1419"/>
      <c r="D246" s="1419"/>
      <c r="E246" s="1419"/>
      <c r="F246" s="1415"/>
    </row>
    <row r="247" spans="1:6" ht="15" x14ac:dyDescent="0.25">
      <c r="A247" s="1400">
        <v>3451</v>
      </c>
      <c r="B247" s="1400"/>
      <c r="C247" s="1394" t="s">
        <v>105</v>
      </c>
      <c r="D247" s="1395"/>
      <c r="E247" s="1396"/>
      <c r="F247" s="525">
        <f>'3c.m.'!F864</f>
        <v>3989</v>
      </c>
    </row>
    <row r="248" spans="1:6" ht="15" x14ac:dyDescent="0.25">
      <c r="A248" s="1400">
        <v>3987</v>
      </c>
      <c r="B248" s="1400"/>
      <c r="C248" s="1394" t="s">
        <v>1360</v>
      </c>
      <c r="D248" s="1395" t="s">
        <v>1360</v>
      </c>
      <c r="E248" s="1396" t="s">
        <v>1360</v>
      </c>
      <c r="F248" s="525">
        <f>'3d.m.'!F52</f>
        <v>225</v>
      </c>
    </row>
    <row r="249" spans="1:6" ht="15" x14ac:dyDescent="0.25">
      <c r="A249" s="1400">
        <v>3988</v>
      </c>
      <c r="B249" s="1400"/>
      <c r="C249" s="1394" t="s">
        <v>1361</v>
      </c>
      <c r="D249" s="1395" t="s">
        <v>1361</v>
      </c>
      <c r="E249" s="1396" t="s">
        <v>1361</v>
      </c>
      <c r="F249" s="525">
        <f>'3d.m.'!F53</f>
        <v>225</v>
      </c>
    </row>
    <row r="250" spans="1:6" ht="15" x14ac:dyDescent="0.25">
      <c r="A250" s="1400">
        <v>3989</v>
      </c>
      <c r="B250" s="1400"/>
      <c r="C250" s="1394" t="s">
        <v>303</v>
      </c>
      <c r="D250" s="1395"/>
      <c r="E250" s="1396"/>
      <c r="F250" s="525">
        <f>'3d.m.'!F51</f>
        <v>6000</v>
      </c>
    </row>
    <row r="251" spans="1:6" ht="15" x14ac:dyDescent="0.25">
      <c r="A251" s="1400">
        <v>3990</v>
      </c>
      <c r="B251" s="1400"/>
      <c r="C251" s="1394" t="s">
        <v>261</v>
      </c>
      <c r="D251" s="1395"/>
      <c r="E251" s="1396"/>
      <c r="F251" s="525">
        <f>'3d.m.'!F54</f>
        <v>1000</v>
      </c>
    </row>
    <row r="252" spans="1:6" ht="15" x14ac:dyDescent="0.25">
      <c r="A252" s="1400">
        <v>3991</v>
      </c>
      <c r="B252" s="1400"/>
      <c r="C252" s="1394" t="s">
        <v>300</v>
      </c>
      <c r="D252" s="1395"/>
      <c r="E252" s="1396"/>
      <c r="F252" s="525">
        <f>'3d.m.'!F55</f>
        <v>4820</v>
      </c>
    </row>
    <row r="253" spans="1:6" ht="15" x14ac:dyDescent="0.25">
      <c r="A253" s="1400">
        <v>3992</v>
      </c>
      <c r="B253" s="1400"/>
      <c r="C253" s="1394" t="s">
        <v>262</v>
      </c>
      <c r="D253" s="1395"/>
      <c r="E253" s="1396"/>
      <c r="F253" s="525">
        <f>'3d.m.'!F56</f>
        <v>1400</v>
      </c>
    </row>
    <row r="254" spans="1:6" ht="15" x14ac:dyDescent="0.25">
      <c r="A254" s="1400">
        <v>3993</v>
      </c>
      <c r="B254" s="1400"/>
      <c r="C254" s="1394" t="s">
        <v>263</v>
      </c>
      <c r="D254" s="1395"/>
      <c r="E254" s="1396"/>
      <c r="F254" s="525">
        <f>'3d.m.'!F57</f>
        <v>900</v>
      </c>
    </row>
    <row r="255" spans="1:6" ht="15" x14ac:dyDescent="0.25">
      <c r="A255" s="1400">
        <v>3994</v>
      </c>
      <c r="B255" s="1400"/>
      <c r="C255" s="1394" t="s">
        <v>80</v>
      </c>
      <c r="D255" s="1395"/>
      <c r="E255" s="1396"/>
      <c r="F255" s="525">
        <f>'3d.m.'!F58</f>
        <v>900</v>
      </c>
    </row>
    <row r="256" spans="1:6" ht="15" x14ac:dyDescent="0.25">
      <c r="A256" s="1400">
        <v>3995</v>
      </c>
      <c r="B256" s="1400"/>
      <c r="C256" s="1394" t="s">
        <v>81</v>
      </c>
      <c r="D256" s="1395"/>
      <c r="E256" s="1396"/>
      <c r="F256" s="525">
        <f>'3d.m.'!F59</f>
        <v>900</v>
      </c>
    </row>
    <row r="257" spans="1:6" ht="15" x14ac:dyDescent="0.25">
      <c r="A257" s="1400">
        <v>3997</v>
      </c>
      <c r="B257" s="1400"/>
      <c r="C257" s="1394" t="s">
        <v>82</v>
      </c>
      <c r="D257" s="1395"/>
      <c r="E257" s="1396"/>
      <c r="F257" s="525">
        <f>'3d.m.'!F60</f>
        <v>900</v>
      </c>
    </row>
    <row r="258" spans="1:6" ht="15" x14ac:dyDescent="0.25">
      <c r="A258" s="1400">
        <v>3998</v>
      </c>
      <c r="B258" s="1400"/>
      <c r="C258" s="1394" t="s">
        <v>83</v>
      </c>
      <c r="D258" s="1395"/>
      <c r="E258" s="1396"/>
      <c r="F258" s="525">
        <f>'3d.m.'!F61</f>
        <v>900</v>
      </c>
    </row>
    <row r="259" spans="1:6" ht="15" x14ac:dyDescent="0.25">
      <c r="A259" s="1400">
        <v>3999</v>
      </c>
      <c r="B259" s="1400"/>
      <c r="C259" s="1394" t="s">
        <v>84</v>
      </c>
      <c r="D259" s="1395"/>
      <c r="E259" s="1396"/>
      <c r="F259" s="525">
        <f>'3d.m.'!F62</f>
        <v>1000</v>
      </c>
    </row>
    <row r="260" spans="1:6" ht="13.5" customHeight="1" x14ac:dyDescent="0.2">
      <c r="A260" s="1418" t="s">
        <v>852</v>
      </c>
      <c r="B260" s="1419" t="s">
        <v>853</v>
      </c>
      <c r="C260" s="1419"/>
      <c r="D260" s="1419"/>
      <c r="E260" s="1419"/>
      <c r="F260" s="1413">
        <f>SUM(F263:F263)</f>
        <v>0</v>
      </c>
    </row>
    <row r="261" spans="1:6" s="532" customFormat="1" ht="11.45" customHeight="1" x14ac:dyDescent="0.2">
      <c r="A261" s="1418"/>
      <c r="B261" s="1419"/>
      <c r="C261" s="1419"/>
      <c r="D261" s="1419"/>
      <c r="E261" s="1419"/>
      <c r="F261" s="1414"/>
    </row>
    <row r="262" spans="1:6" ht="13.15" customHeight="1" x14ac:dyDescent="0.2">
      <c r="A262" s="1418"/>
      <c r="B262" s="1419"/>
      <c r="C262" s="1419"/>
      <c r="D262" s="1419"/>
      <c r="E262" s="1419"/>
      <c r="F262" s="1415"/>
    </row>
    <row r="263" spans="1:6" ht="15" x14ac:dyDescent="0.25">
      <c r="A263" s="1400"/>
      <c r="B263" s="1400"/>
      <c r="C263" s="1394"/>
      <c r="D263" s="1395"/>
      <c r="E263" s="1396"/>
      <c r="F263" s="525"/>
    </row>
    <row r="264" spans="1:6" ht="12.6" customHeight="1" x14ac:dyDescent="0.2">
      <c r="A264" s="1418" t="s">
        <v>854</v>
      </c>
      <c r="B264" s="1419" t="s">
        <v>855</v>
      </c>
      <c r="C264" s="1419"/>
      <c r="D264" s="1419"/>
      <c r="E264" s="1419"/>
      <c r="F264" s="1413">
        <f>SUM(F267:F272)</f>
        <v>80629</v>
      </c>
    </row>
    <row r="265" spans="1:6" ht="12.6" customHeight="1" x14ac:dyDescent="0.2">
      <c r="A265" s="1418"/>
      <c r="B265" s="1419"/>
      <c r="C265" s="1419"/>
      <c r="D265" s="1419"/>
      <c r="E265" s="1419"/>
      <c r="F265" s="1414"/>
    </row>
    <row r="266" spans="1:6" ht="12.6" customHeight="1" x14ac:dyDescent="0.2">
      <c r="A266" s="1418"/>
      <c r="B266" s="1419"/>
      <c r="C266" s="1419"/>
      <c r="D266" s="1419"/>
      <c r="E266" s="1419"/>
      <c r="F266" s="1415"/>
    </row>
    <row r="267" spans="1:6" ht="15" x14ac:dyDescent="0.25">
      <c r="A267" s="1400">
        <v>3923</v>
      </c>
      <c r="B267" s="1400"/>
      <c r="C267" s="1394" t="s">
        <v>1170</v>
      </c>
      <c r="D267" s="1395"/>
      <c r="E267" s="1396"/>
      <c r="F267" s="525">
        <f>'3d.m.'!F13</f>
        <v>5000</v>
      </c>
    </row>
    <row r="268" spans="1:6" ht="15" x14ac:dyDescent="0.25">
      <c r="A268" s="1400">
        <v>3931</v>
      </c>
      <c r="B268" s="1400"/>
      <c r="C268" s="1394" t="s">
        <v>126</v>
      </c>
      <c r="D268" s="1395"/>
      <c r="E268" s="1396"/>
      <c r="F268" s="525">
        <f>'3d.m.'!F25</f>
        <v>2000</v>
      </c>
    </row>
    <row r="269" spans="1:6" ht="15" x14ac:dyDescent="0.25">
      <c r="A269" s="1400">
        <v>3932</v>
      </c>
      <c r="B269" s="1400"/>
      <c r="C269" s="1394" t="s">
        <v>707</v>
      </c>
      <c r="D269" s="1395"/>
      <c r="E269" s="1396"/>
      <c r="F269" s="525">
        <f>'3d.m.'!F26</f>
        <v>15000</v>
      </c>
    </row>
    <row r="270" spans="1:6" ht="15" x14ac:dyDescent="0.25">
      <c r="A270" s="1400">
        <v>3934</v>
      </c>
      <c r="B270" s="1400"/>
      <c r="C270" s="1394" t="s">
        <v>1147</v>
      </c>
      <c r="D270" s="1395"/>
      <c r="E270" s="1396"/>
      <c r="F270" s="525">
        <v>0</v>
      </c>
    </row>
    <row r="271" spans="1:6" ht="15" x14ac:dyDescent="0.25">
      <c r="A271" s="1400">
        <v>3935</v>
      </c>
      <c r="B271" s="1400"/>
      <c r="C271" s="1394" t="s">
        <v>1168</v>
      </c>
      <c r="D271" s="1395"/>
      <c r="E271" s="1396"/>
      <c r="F271" s="525">
        <f>'3d.m.'!F28</f>
        <v>12154</v>
      </c>
    </row>
    <row r="272" spans="1:6" ht="15" x14ac:dyDescent="0.25">
      <c r="A272" s="1400">
        <v>3972</v>
      </c>
      <c r="B272" s="1400"/>
      <c r="C272" s="1394" t="s">
        <v>856</v>
      </c>
      <c r="D272" s="1395"/>
      <c r="E272" s="1396"/>
      <c r="F272" s="525">
        <f>'3d.m.'!F40</f>
        <v>46475</v>
      </c>
    </row>
    <row r="273" spans="1:6" ht="13.15" customHeight="1" x14ac:dyDescent="0.2">
      <c r="A273" s="1418" t="s">
        <v>857</v>
      </c>
      <c r="B273" s="1419" t="s">
        <v>858</v>
      </c>
      <c r="C273" s="1419"/>
      <c r="D273" s="1419"/>
      <c r="E273" s="1419"/>
      <c r="F273" s="1413">
        <f>SUM(F276:F278)</f>
        <v>5250</v>
      </c>
    </row>
    <row r="274" spans="1:6" ht="13.15" customHeight="1" x14ac:dyDescent="0.2">
      <c r="A274" s="1418"/>
      <c r="B274" s="1419"/>
      <c r="C274" s="1419"/>
      <c r="D274" s="1419"/>
      <c r="E274" s="1419"/>
      <c r="F274" s="1414"/>
    </row>
    <row r="275" spans="1:6" ht="13.15" customHeight="1" x14ac:dyDescent="0.2">
      <c r="A275" s="1418"/>
      <c r="B275" s="1419"/>
      <c r="C275" s="1419"/>
      <c r="D275" s="1419"/>
      <c r="E275" s="1419"/>
      <c r="F275" s="1415"/>
    </row>
    <row r="276" spans="1:6" ht="14.25" customHeight="1" x14ac:dyDescent="0.25">
      <c r="A276" s="1400">
        <v>3146</v>
      </c>
      <c r="B276" s="1400"/>
      <c r="C276" s="1394" t="s">
        <v>391</v>
      </c>
      <c r="D276" s="1395"/>
      <c r="E276" s="1396"/>
      <c r="F276" s="525">
        <f>'3c.m.'!F215</f>
        <v>5250</v>
      </c>
    </row>
    <row r="277" spans="1:6" ht="15" hidden="1" x14ac:dyDescent="0.25">
      <c r="A277" s="1400">
        <v>3921</v>
      </c>
      <c r="B277" s="1400"/>
      <c r="C277" s="1394" t="s">
        <v>393</v>
      </c>
      <c r="D277" s="1395"/>
      <c r="E277" s="1396"/>
      <c r="F277" s="525"/>
    </row>
    <row r="278" spans="1:6" ht="15" hidden="1" x14ac:dyDescent="0.25">
      <c r="A278" s="1400">
        <v>3929</v>
      </c>
      <c r="B278" s="1400"/>
      <c r="C278" s="1394" t="s">
        <v>859</v>
      </c>
      <c r="D278" s="1395"/>
      <c r="E278" s="1396"/>
      <c r="F278" s="525"/>
    </row>
    <row r="279" spans="1:6" ht="13.15" customHeight="1" x14ac:dyDescent="0.2">
      <c r="A279" s="1418" t="s">
        <v>860</v>
      </c>
      <c r="B279" s="1419" t="s">
        <v>861</v>
      </c>
      <c r="C279" s="1419"/>
      <c r="D279" s="1419"/>
      <c r="E279" s="1419"/>
      <c r="F279" s="1413">
        <f>SUM(F282:F283)</f>
        <v>19780</v>
      </c>
    </row>
    <row r="280" spans="1:6" ht="13.15" customHeight="1" x14ac:dyDescent="0.2">
      <c r="A280" s="1418"/>
      <c r="B280" s="1419"/>
      <c r="C280" s="1419"/>
      <c r="D280" s="1419"/>
      <c r="E280" s="1419"/>
      <c r="F280" s="1414"/>
    </row>
    <row r="281" spans="1:6" ht="13.15" customHeight="1" x14ac:dyDescent="0.2">
      <c r="A281" s="1418"/>
      <c r="B281" s="1419"/>
      <c r="C281" s="1419"/>
      <c r="D281" s="1419"/>
      <c r="E281" s="1419"/>
      <c r="F281" s="1415"/>
    </row>
    <row r="282" spans="1:6" ht="15" x14ac:dyDescent="0.25">
      <c r="A282" s="1400">
        <v>3145</v>
      </c>
      <c r="B282" s="1400"/>
      <c r="C282" s="1394" t="s">
        <v>862</v>
      </c>
      <c r="D282" s="1395"/>
      <c r="E282" s="1396"/>
      <c r="F282" s="525">
        <f>'3c.m.'!F206</f>
        <v>9780</v>
      </c>
    </row>
    <row r="283" spans="1:6" ht="15" x14ac:dyDescent="0.25">
      <c r="A283" s="1400">
        <v>3975</v>
      </c>
      <c r="B283" s="1400"/>
      <c r="C283" s="631" t="s">
        <v>1053</v>
      </c>
      <c r="D283" s="632"/>
      <c r="E283" s="633"/>
      <c r="F283" s="528">
        <f>'3d.m.'!F48</f>
        <v>10000</v>
      </c>
    </row>
    <row r="284" spans="1:6" ht="13.15" customHeight="1" x14ac:dyDescent="0.2">
      <c r="A284" s="1418" t="s">
        <v>863</v>
      </c>
      <c r="B284" s="1419" t="s">
        <v>864</v>
      </c>
      <c r="C284" s="1419"/>
      <c r="D284" s="1419"/>
      <c r="E284" s="1419"/>
      <c r="F284" s="1413">
        <f>SUM(F287)</f>
        <v>36180</v>
      </c>
    </row>
    <row r="285" spans="1:6" ht="13.15" customHeight="1" x14ac:dyDescent="0.2">
      <c r="A285" s="1418"/>
      <c r="B285" s="1419"/>
      <c r="C285" s="1419"/>
      <c r="D285" s="1419"/>
      <c r="E285" s="1419"/>
      <c r="F285" s="1414"/>
    </row>
    <row r="286" spans="1:6" ht="13.15" customHeight="1" x14ac:dyDescent="0.2">
      <c r="A286" s="1418"/>
      <c r="B286" s="1419"/>
      <c r="C286" s="1419"/>
      <c r="D286" s="1419"/>
      <c r="E286" s="1419"/>
      <c r="F286" s="1415"/>
    </row>
    <row r="287" spans="1:6" ht="15" x14ac:dyDescent="0.25">
      <c r="A287" s="1400">
        <v>3423</v>
      </c>
      <c r="B287" s="1400"/>
      <c r="C287" s="1394" t="s">
        <v>111</v>
      </c>
      <c r="D287" s="1395"/>
      <c r="E287" s="1396"/>
      <c r="F287" s="525">
        <f>'3c.m.'!F791</f>
        <v>36180</v>
      </c>
    </row>
    <row r="288" spans="1:6" ht="13.15" customHeight="1" x14ac:dyDescent="0.2">
      <c r="A288" s="1418" t="s">
        <v>865</v>
      </c>
      <c r="B288" s="1419" t="s">
        <v>866</v>
      </c>
      <c r="C288" s="1419"/>
      <c r="D288" s="1419"/>
      <c r="E288" s="1419"/>
      <c r="F288" s="1413">
        <f>SUM(F291:F292)</f>
        <v>1978566</v>
      </c>
    </row>
    <row r="289" spans="1:6" ht="13.15" customHeight="1" x14ac:dyDescent="0.2">
      <c r="A289" s="1418"/>
      <c r="B289" s="1419"/>
      <c r="C289" s="1419"/>
      <c r="D289" s="1419"/>
      <c r="E289" s="1419"/>
      <c r="F289" s="1414"/>
    </row>
    <row r="290" spans="1:6" ht="13.15" customHeight="1" x14ac:dyDescent="0.2">
      <c r="A290" s="1418"/>
      <c r="B290" s="1419"/>
      <c r="C290" s="1419"/>
      <c r="D290" s="1419"/>
      <c r="E290" s="1419"/>
      <c r="F290" s="1415"/>
    </row>
    <row r="291" spans="1:6" ht="15" x14ac:dyDescent="0.25">
      <c r="A291" s="1400">
        <v>2499</v>
      </c>
      <c r="B291" s="1400"/>
      <c r="C291" s="1394" t="s">
        <v>867</v>
      </c>
      <c r="D291" s="1395"/>
      <c r="E291" s="1396"/>
      <c r="F291" s="525">
        <f>'2.mell'!F351-F296</f>
        <v>1978566</v>
      </c>
    </row>
    <row r="292" spans="1:6" ht="15" x14ac:dyDescent="0.25">
      <c r="A292" s="1400"/>
      <c r="B292" s="1400"/>
      <c r="C292" s="1394"/>
      <c r="D292" s="1395"/>
      <c r="E292" s="1396"/>
      <c r="F292" s="528"/>
    </row>
    <row r="293" spans="1:6" ht="13.15" customHeight="1" x14ac:dyDescent="0.2">
      <c r="A293" s="1418" t="s">
        <v>868</v>
      </c>
      <c r="B293" s="1419" t="s">
        <v>869</v>
      </c>
      <c r="C293" s="1419"/>
      <c r="D293" s="1419"/>
      <c r="E293" s="1419"/>
      <c r="F293" s="1413">
        <f>SUM(F296:F298)</f>
        <v>111350</v>
      </c>
    </row>
    <row r="294" spans="1:6" ht="13.15" customHeight="1" x14ac:dyDescent="0.2">
      <c r="A294" s="1418"/>
      <c r="B294" s="1419"/>
      <c r="C294" s="1419"/>
      <c r="D294" s="1419"/>
      <c r="E294" s="1419"/>
      <c r="F294" s="1414"/>
    </row>
    <row r="295" spans="1:6" ht="13.15" customHeight="1" x14ac:dyDescent="0.2">
      <c r="A295" s="1418"/>
      <c r="B295" s="1419"/>
      <c r="C295" s="1419"/>
      <c r="D295" s="1419"/>
      <c r="E295" s="1419"/>
      <c r="F295" s="1415"/>
    </row>
    <row r="296" spans="1:6" ht="15" x14ac:dyDescent="0.25">
      <c r="A296" s="1400">
        <v>2499</v>
      </c>
      <c r="B296" s="1400"/>
      <c r="C296" s="1394" t="s">
        <v>867</v>
      </c>
      <c r="D296" s="1395"/>
      <c r="E296" s="1396"/>
      <c r="F296" s="525">
        <v>53399</v>
      </c>
    </row>
    <row r="297" spans="1:6" ht="15" x14ac:dyDescent="0.25">
      <c r="A297" s="1400">
        <v>3147</v>
      </c>
      <c r="B297" s="1400"/>
      <c r="C297" s="1394" t="s">
        <v>1038</v>
      </c>
      <c r="D297" s="1395"/>
      <c r="E297" s="1396"/>
      <c r="F297" s="528">
        <f>'3c.m.'!F224</f>
        <v>55951</v>
      </c>
    </row>
    <row r="298" spans="1:6" ht="15" x14ac:dyDescent="0.25">
      <c r="A298" s="1400">
        <v>3148</v>
      </c>
      <c r="B298" s="1400"/>
      <c r="C298" s="1394" t="s">
        <v>1169</v>
      </c>
      <c r="D298" s="1395"/>
      <c r="E298" s="1396"/>
      <c r="F298" s="528">
        <f>'3c.m.'!F233</f>
        <v>2000</v>
      </c>
    </row>
    <row r="299" spans="1:6" ht="13.15" customHeight="1" x14ac:dyDescent="0.2">
      <c r="A299" s="1418" t="s">
        <v>870</v>
      </c>
      <c r="B299" s="1419" t="s">
        <v>871</v>
      </c>
      <c r="C299" s="1419"/>
      <c r="D299" s="1419"/>
      <c r="E299" s="1419"/>
      <c r="F299" s="1413">
        <f>SUM(F302)</f>
        <v>12500</v>
      </c>
    </row>
    <row r="300" spans="1:6" ht="13.15" customHeight="1" x14ac:dyDescent="0.2">
      <c r="A300" s="1418"/>
      <c r="B300" s="1419"/>
      <c r="C300" s="1419"/>
      <c r="D300" s="1419"/>
      <c r="E300" s="1419"/>
      <c r="F300" s="1414"/>
    </row>
    <row r="301" spans="1:6" ht="13.15" customHeight="1" x14ac:dyDescent="0.2">
      <c r="A301" s="1418"/>
      <c r="B301" s="1419"/>
      <c r="C301" s="1419"/>
      <c r="D301" s="1419"/>
      <c r="E301" s="1419"/>
      <c r="F301" s="1415"/>
    </row>
    <row r="302" spans="1:6" ht="15" x14ac:dyDescent="0.25">
      <c r="A302" s="1400">
        <v>3141</v>
      </c>
      <c r="B302" s="1400"/>
      <c r="C302" s="1394" t="s">
        <v>968</v>
      </c>
      <c r="D302" s="1395"/>
      <c r="E302" s="1396"/>
      <c r="F302" s="525">
        <f>'3c.m.'!F181</f>
        <v>12500</v>
      </c>
    </row>
    <row r="303" spans="1:6" ht="12.6" customHeight="1" x14ac:dyDescent="0.2">
      <c r="A303" s="1397" t="s">
        <v>872</v>
      </c>
      <c r="B303" s="1404" t="s">
        <v>873</v>
      </c>
      <c r="C303" s="1405"/>
      <c r="D303" s="1405"/>
      <c r="E303" s="1406"/>
      <c r="F303" s="1413">
        <f>SUM(F306:F306)</f>
        <v>661487</v>
      </c>
    </row>
    <row r="304" spans="1:6" ht="12.6" customHeight="1" x14ac:dyDescent="0.2">
      <c r="A304" s="1398"/>
      <c r="B304" s="1407"/>
      <c r="C304" s="1408"/>
      <c r="D304" s="1408"/>
      <c r="E304" s="1409"/>
      <c r="F304" s="1416"/>
    </row>
    <row r="305" spans="1:6" ht="12.6" customHeight="1" x14ac:dyDescent="0.2">
      <c r="A305" s="1399"/>
      <c r="B305" s="1410"/>
      <c r="C305" s="1411"/>
      <c r="D305" s="1411"/>
      <c r="E305" s="1412"/>
      <c r="F305" s="1417"/>
    </row>
    <row r="306" spans="1:6" ht="15" x14ac:dyDescent="0.25">
      <c r="A306" s="1428">
        <v>2795</v>
      </c>
      <c r="B306" s="1429"/>
      <c r="C306" s="1394" t="s">
        <v>833</v>
      </c>
      <c r="D306" s="1395"/>
      <c r="E306" s="1396"/>
      <c r="F306" s="525">
        <v>661487</v>
      </c>
    </row>
    <row r="307" spans="1:6" ht="13.15" customHeight="1" x14ac:dyDescent="0.2">
      <c r="A307" s="1418" t="s">
        <v>874</v>
      </c>
      <c r="B307" s="1419" t="s">
        <v>875</v>
      </c>
      <c r="C307" s="1419"/>
      <c r="D307" s="1419"/>
      <c r="E307" s="1419"/>
      <c r="F307" s="1413">
        <f>SUM(F310:F311)</f>
        <v>18008</v>
      </c>
    </row>
    <row r="308" spans="1:6" ht="13.15" customHeight="1" x14ac:dyDescent="0.2">
      <c r="A308" s="1418"/>
      <c r="B308" s="1419"/>
      <c r="C308" s="1419"/>
      <c r="D308" s="1419"/>
      <c r="E308" s="1419"/>
      <c r="F308" s="1414"/>
    </row>
    <row r="309" spans="1:6" ht="13.15" customHeight="1" x14ac:dyDescent="0.2">
      <c r="A309" s="1418"/>
      <c r="B309" s="1419"/>
      <c r="C309" s="1419"/>
      <c r="D309" s="1419"/>
      <c r="E309" s="1419"/>
      <c r="F309" s="1415"/>
    </row>
    <row r="310" spans="1:6" ht="15" x14ac:dyDescent="0.25">
      <c r="A310" s="1400">
        <v>3142</v>
      </c>
      <c r="B310" s="1400"/>
      <c r="C310" s="1394" t="s">
        <v>18</v>
      </c>
      <c r="D310" s="1395"/>
      <c r="E310" s="1396"/>
      <c r="F310" s="525">
        <f>'3c.m.'!F190</f>
        <v>11838</v>
      </c>
    </row>
    <row r="311" spans="1:6" ht="15" x14ac:dyDescent="0.25">
      <c r="A311" s="1400">
        <v>3143</v>
      </c>
      <c r="B311" s="1400"/>
      <c r="C311" s="1394" t="s">
        <v>26</v>
      </c>
      <c r="D311" s="1395"/>
      <c r="E311" s="1396"/>
      <c r="F311" s="525">
        <f>'3c.m.'!F198</f>
        <v>6170</v>
      </c>
    </row>
    <row r="312" spans="1:6" ht="13.15" customHeight="1" x14ac:dyDescent="0.2">
      <c r="A312" s="1418" t="s">
        <v>876</v>
      </c>
      <c r="B312" s="1419" t="s">
        <v>877</v>
      </c>
      <c r="C312" s="1419"/>
      <c r="D312" s="1419"/>
      <c r="E312" s="1419"/>
      <c r="F312" s="1413">
        <f>SUM(F315)</f>
        <v>7200</v>
      </c>
    </row>
    <row r="313" spans="1:6" ht="13.15" customHeight="1" x14ac:dyDescent="0.2">
      <c r="A313" s="1418"/>
      <c r="B313" s="1419"/>
      <c r="C313" s="1419"/>
      <c r="D313" s="1419"/>
      <c r="E313" s="1419"/>
      <c r="F313" s="1414"/>
    </row>
    <row r="314" spans="1:6" ht="13.15" customHeight="1" x14ac:dyDescent="0.2">
      <c r="A314" s="1418"/>
      <c r="B314" s="1419"/>
      <c r="C314" s="1419"/>
      <c r="D314" s="1419"/>
      <c r="E314" s="1419"/>
      <c r="F314" s="1415"/>
    </row>
    <row r="315" spans="1:6" ht="15" x14ac:dyDescent="0.25">
      <c r="A315" s="1400">
        <v>3349</v>
      </c>
      <c r="B315" s="1400"/>
      <c r="C315" s="1394" t="s">
        <v>878</v>
      </c>
      <c r="D315" s="1395"/>
      <c r="E315" s="1396"/>
      <c r="F315" s="525">
        <f>'3c.m.'!F651</f>
        <v>7200</v>
      </c>
    </row>
    <row r="316" spans="1:6" ht="13.15" customHeight="1" x14ac:dyDescent="0.2">
      <c r="A316" s="1418" t="s">
        <v>879</v>
      </c>
      <c r="B316" s="1419" t="s">
        <v>880</v>
      </c>
      <c r="C316" s="1419"/>
      <c r="D316" s="1419"/>
      <c r="E316" s="1419"/>
      <c r="F316" s="1413">
        <f>SUM(F319:F319)</f>
        <v>800</v>
      </c>
    </row>
    <row r="317" spans="1:6" ht="13.15" customHeight="1" x14ac:dyDescent="0.2">
      <c r="A317" s="1418"/>
      <c r="B317" s="1419"/>
      <c r="C317" s="1419"/>
      <c r="D317" s="1419"/>
      <c r="E317" s="1419"/>
      <c r="F317" s="1414"/>
    </row>
    <row r="318" spans="1:6" ht="13.15" customHeight="1" x14ac:dyDescent="0.2">
      <c r="A318" s="1418"/>
      <c r="B318" s="1419"/>
      <c r="C318" s="1419"/>
      <c r="D318" s="1419"/>
      <c r="E318" s="1419"/>
      <c r="F318" s="1415"/>
    </row>
    <row r="319" spans="1:6" ht="15" x14ac:dyDescent="0.25">
      <c r="A319" s="1400">
        <v>3348</v>
      </c>
      <c r="B319" s="1400"/>
      <c r="C319" s="1394" t="s">
        <v>139</v>
      </c>
      <c r="D319" s="1395"/>
      <c r="E319" s="1396"/>
      <c r="F319" s="525">
        <f>'3c.m.'!F643</f>
        <v>800</v>
      </c>
    </row>
    <row r="320" spans="1:6" ht="13.15" customHeight="1" x14ac:dyDescent="0.2">
      <c r="A320" s="1418" t="s">
        <v>881</v>
      </c>
      <c r="B320" s="1419" t="s">
        <v>882</v>
      </c>
      <c r="C320" s="1419"/>
      <c r="D320" s="1419"/>
      <c r="E320" s="1419"/>
      <c r="F320" s="1413">
        <f>SUM(F323:F326)</f>
        <v>18736</v>
      </c>
    </row>
    <row r="321" spans="1:6" ht="13.15" customHeight="1" x14ac:dyDescent="0.2">
      <c r="A321" s="1418"/>
      <c r="B321" s="1419"/>
      <c r="C321" s="1419"/>
      <c r="D321" s="1419"/>
      <c r="E321" s="1419"/>
      <c r="F321" s="1414"/>
    </row>
    <row r="322" spans="1:6" ht="13.15" customHeight="1" x14ac:dyDescent="0.2">
      <c r="A322" s="1418"/>
      <c r="B322" s="1419"/>
      <c r="C322" s="1419"/>
      <c r="D322" s="1419"/>
      <c r="E322" s="1419"/>
      <c r="F322" s="1415"/>
    </row>
    <row r="323" spans="1:6" ht="15" x14ac:dyDescent="0.25">
      <c r="A323" s="1400">
        <v>3341</v>
      </c>
      <c r="B323" s="1400"/>
      <c r="C323" s="1394" t="s">
        <v>323</v>
      </c>
      <c r="D323" s="1395"/>
      <c r="E323" s="1396"/>
      <c r="F323" s="525">
        <f>'3c.m.'!F585</f>
        <v>3000</v>
      </c>
    </row>
    <row r="324" spans="1:6" ht="15" x14ac:dyDescent="0.25">
      <c r="A324" s="1400">
        <v>3342</v>
      </c>
      <c r="B324" s="1400"/>
      <c r="C324" s="1394" t="s">
        <v>382</v>
      </c>
      <c r="D324" s="1395"/>
      <c r="E324" s="1396"/>
      <c r="F324" s="525">
        <f>'3c.m.'!F594</f>
        <v>880</v>
      </c>
    </row>
    <row r="325" spans="1:6" ht="15" x14ac:dyDescent="0.25">
      <c r="A325" s="1400">
        <v>3347</v>
      </c>
      <c r="B325" s="1400"/>
      <c r="C325" s="1394" t="s">
        <v>95</v>
      </c>
      <c r="D325" s="1395"/>
      <c r="E325" s="1396"/>
      <c r="F325" s="525">
        <f>'3c.m.'!F635</f>
        <v>2756</v>
      </c>
    </row>
    <row r="326" spans="1:6" ht="15" x14ac:dyDescent="0.25">
      <c r="A326" s="1400">
        <v>3350</v>
      </c>
      <c r="B326" s="1400"/>
      <c r="C326" s="1394" t="s">
        <v>883</v>
      </c>
      <c r="D326" s="1395"/>
      <c r="E326" s="1396"/>
      <c r="F326" s="528">
        <f>'3c.m.'!F659</f>
        <v>12100</v>
      </c>
    </row>
    <row r="327" spans="1:6" ht="13.15" customHeight="1" x14ac:dyDescent="0.2">
      <c r="A327" s="1418" t="s">
        <v>884</v>
      </c>
      <c r="B327" s="1419" t="s">
        <v>885</v>
      </c>
      <c r="C327" s="1419"/>
      <c r="D327" s="1419"/>
      <c r="E327" s="1419"/>
      <c r="F327" s="1413">
        <f>SUM(F330)</f>
        <v>300</v>
      </c>
    </row>
    <row r="328" spans="1:6" ht="13.15" customHeight="1" x14ac:dyDescent="0.2">
      <c r="A328" s="1418"/>
      <c r="B328" s="1419"/>
      <c r="C328" s="1419"/>
      <c r="D328" s="1419"/>
      <c r="E328" s="1419"/>
      <c r="F328" s="1414"/>
    </row>
    <row r="329" spans="1:6" ht="13.15" customHeight="1" x14ac:dyDescent="0.2">
      <c r="A329" s="1418"/>
      <c r="B329" s="1419"/>
      <c r="C329" s="1419"/>
      <c r="D329" s="1419"/>
      <c r="E329" s="1419"/>
      <c r="F329" s="1415"/>
    </row>
    <row r="330" spans="1:6" ht="15" x14ac:dyDescent="0.25">
      <c r="A330" s="1400">
        <v>3345</v>
      </c>
      <c r="B330" s="1400"/>
      <c r="C330" s="1394" t="s">
        <v>886</v>
      </c>
      <c r="D330" s="1395"/>
      <c r="E330" s="1396"/>
      <c r="F330" s="525">
        <f>'3c.m.'!F619</f>
        <v>300</v>
      </c>
    </row>
    <row r="331" spans="1:6" ht="13.15" customHeight="1" x14ac:dyDescent="0.2">
      <c r="A331" s="1418" t="s">
        <v>887</v>
      </c>
      <c r="B331" s="1419" t="s">
        <v>888</v>
      </c>
      <c r="C331" s="1419"/>
      <c r="D331" s="1419"/>
      <c r="E331" s="1419"/>
      <c r="F331" s="1413">
        <f>SUM(F334:F334)</f>
        <v>1503816</v>
      </c>
    </row>
    <row r="332" spans="1:6" ht="13.15" customHeight="1" x14ac:dyDescent="0.2">
      <c r="A332" s="1418"/>
      <c r="B332" s="1419"/>
      <c r="C332" s="1419"/>
      <c r="D332" s="1419"/>
      <c r="E332" s="1419"/>
      <c r="F332" s="1414"/>
    </row>
    <row r="333" spans="1:6" ht="13.15" customHeight="1" x14ac:dyDescent="0.2">
      <c r="A333" s="1418"/>
      <c r="B333" s="1419"/>
      <c r="C333" s="1419"/>
      <c r="D333" s="1419"/>
      <c r="E333" s="1419"/>
      <c r="F333" s="1415"/>
    </row>
    <row r="334" spans="1:6" ht="15" x14ac:dyDescent="0.25">
      <c r="A334" s="1400">
        <v>2875</v>
      </c>
      <c r="B334" s="1400"/>
      <c r="C334" s="1394" t="s">
        <v>260</v>
      </c>
      <c r="D334" s="1395"/>
      <c r="E334" s="1396"/>
      <c r="F334" s="525">
        <f>'2.mell'!F547</f>
        <v>1503816</v>
      </c>
    </row>
    <row r="335" spans="1:6" ht="13.15" customHeight="1" x14ac:dyDescent="0.2">
      <c r="A335" s="1418" t="s">
        <v>889</v>
      </c>
      <c r="B335" s="1419" t="s">
        <v>890</v>
      </c>
      <c r="C335" s="1419"/>
      <c r="D335" s="1419"/>
      <c r="E335" s="1419"/>
      <c r="F335" s="1413">
        <f>SUM(F338)</f>
        <v>27847</v>
      </c>
    </row>
    <row r="336" spans="1:6" ht="13.15" customHeight="1" x14ac:dyDescent="0.2">
      <c r="A336" s="1418"/>
      <c r="B336" s="1419"/>
      <c r="C336" s="1419"/>
      <c r="D336" s="1419"/>
      <c r="E336" s="1419"/>
      <c r="F336" s="1414"/>
    </row>
    <row r="337" spans="1:6" ht="13.15" customHeight="1" x14ac:dyDescent="0.2">
      <c r="A337" s="1418"/>
      <c r="B337" s="1419"/>
      <c r="C337" s="1419"/>
      <c r="D337" s="1419"/>
      <c r="E337" s="1419"/>
      <c r="F337" s="1415"/>
    </row>
    <row r="338" spans="1:6" ht="15" x14ac:dyDescent="0.25">
      <c r="A338" s="1400">
        <v>3355</v>
      </c>
      <c r="B338" s="1400"/>
      <c r="C338" s="1394" t="s">
        <v>27</v>
      </c>
      <c r="D338" s="1395"/>
      <c r="E338" s="1396"/>
      <c r="F338" s="525">
        <f>'3c.m.'!F685</f>
        <v>27847</v>
      </c>
    </row>
    <row r="339" spans="1:6" ht="12.6" customHeight="1" x14ac:dyDescent="0.2">
      <c r="A339" s="1418" t="s">
        <v>891</v>
      </c>
      <c r="B339" s="1419" t="s">
        <v>892</v>
      </c>
      <c r="C339" s="1419"/>
      <c r="D339" s="1419"/>
      <c r="E339" s="1419"/>
      <c r="F339" s="1413">
        <f>SUM(F342)</f>
        <v>1080225</v>
      </c>
    </row>
    <row r="340" spans="1:6" ht="12.6" customHeight="1" x14ac:dyDescent="0.2">
      <c r="A340" s="1418"/>
      <c r="B340" s="1419"/>
      <c r="C340" s="1419"/>
      <c r="D340" s="1419"/>
      <c r="E340" s="1419"/>
      <c r="F340" s="1414"/>
    </row>
    <row r="341" spans="1:6" ht="12.6" customHeight="1" x14ac:dyDescent="0.2">
      <c r="A341" s="1418"/>
      <c r="B341" s="1419"/>
      <c r="C341" s="1419"/>
      <c r="D341" s="1419"/>
      <c r="E341" s="1419"/>
      <c r="F341" s="1415"/>
    </row>
    <row r="342" spans="1:6" ht="15" x14ac:dyDescent="0.25">
      <c r="A342" s="1400">
        <v>2850</v>
      </c>
      <c r="B342" s="1400"/>
      <c r="C342" s="1394" t="s">
        <v>893</v>
      </c>
      <c r="D342" s="1395"/>
      <c r="E342" s="1396"/>
      <c r="F342" s="525">
        <f>'2.mell'!F512-F346</f>
        <v>1080225</v>
      </c>
    </row>
    <row r="343" spans="1:6" ht="13.15" customHeight="1" x14ac:dyDescent="0.2">
      <c r="A343" s="1418" t="s">
        <v>894</v>
      </c>
      <c r="B343" s="1419" t="s">
        <v>895</v>
      </c>
      <c r="C343" s="1419"/>
      <c r="D343" s="1419"/>
      <c r="E343" s="1419"/>
      <c r="F343" s="1413">
        <f>SUM(F346:F346)</f>
        <v>34847</v>
      </c>
    </row>
    <row r="344" spans="1:6" ht="13.15" customHeight="1" x14ac:dyDescent="0.2">
      <c r="A344" s="1418"/>
      <c r="B344" s="1419"/>
      <c r="C344" s="1419"/>
      <c r="D344" s="1419"/>
      <c r="E344" s="1419"/>
      <c r="F344" s="1414"/>
    </row>
    <row r="345" spans="1:6" ht="13.15" customHeight="1" x14ac:dyDescent="0.2">
      <c r="A345" s="1418"/>
      <c r="B345" s="1419"/>
      <c r="C345" s="1419"/>
      <c r="D345" s="1419"/>
      <c r="E345" s="1419"/>
      <c r="F345" s="1415"/>
    </row>
    <row r="346" spans="1:6" ht="15" x14ac:dyDescent="0.25">
      <c r="A346" s="1400">
        <v>2850</v>
      </c>
      <c r="B346" s="1400"/>
      <c r="C346" s="1394" t="s">
        <v>893</v>
      </c>
      <c r="D346" s="1395"/>
      <c r="E346" s="1396"/>
      <c r="F346" s="525">
        <v>34847</v>
      </c>
    </row>
    <row r="347" spans="1:6" ht="13.15" customHeight="1" x14ac:dyDescent="0.2">
      <c r="A347" s="1418" t="s">
        <v>896</v>
      </c>
      <c r="B347" s="1419" t="s">
        <v>897</v>
      </c>
      <c r="C347" s="1419"/>
      <c r="D347" s="1419"/>
      <c r="E347" s="1419"/>
      <c r="F347" s="1413">
        <f>SUM(F350)</f>
        <v>0</v>
      </c>
    </row>
    <row r="348" spans="1:6" ht="13.15" customHeight="1" x14ac:dyDescent="0.2">
      <c r="A348" s="1418"/>
      <c r="B348" s="1419"/>
      <c r="C348" s="1419"/>
      <c r="D348" s="1419"/>
      <c r="E348" s="1419"/>
      <c r="F348" s="1414"/>
    </row>
    <row r="349" spans="1:6" ht="13.15" customHeight="1" x14ac:dyDescent="0.2">
      <c r="A349" s="1418"/>
      <c r="B349" s="1419"/>
      <c r="C349" s="1419"/>
      <c r="D349" s="1419"/>
      <c r="E349" s="1419"/>
      <c r="F349" s="1415"/>
    </row>
    <row r="350" spans="1:6" ht="15" x14ac:dyDescent="0.25">
      <c r="A350" s="1400">
        <v>2850</v>
      </c>
      <c r="B350" s="1400"/>
      <c r="C350" s="1394" t="s">
        <v>893</v>
      </c>
      <c r="D350" s="1395"/>
      <c r="E350" s="1396"/>
      <c r="F350" s="525">
        <v>0</v>
      </c>
    </row>
    <row r="351" spans="1:6" ht="13.15" customHeight="1" x14ac:dyDescent="0.2">
      <c r="A351" s="1418" t="s">
        <v>898</v>
      </c>
      <c r="B351" s="1419" t="s">
        <v>899</v>
      </c>
      <c r="C351" s="1419"/>
      <c r="D351" s="1419"/>
      <c r="E351" s="1419"/>
      <c r="F351" s="1413">
        <f>SUM(F354:F357)</f>
        <v>6563</v>
      </c>
    </row>
    <row r="352" spans="1:6" ht="13.15" customHeight="1" x14ac:dyDescent="0.2">
      <c r="A352" s="1418"/>
      <c r="B352" s="1419"/>
      <c r="C352" s="1419"/>
      <c r="D352" s="1419"/>
      <c r="E352" s="1419"/>
      <c r="F352" s="1414"/>
    </row>
    <row r="353" spans="1:6" ht="13.15" customHeight="1" x14ac:dyDescent="0.2">
      <c r="A353" s="1418"/>
      <c r="B353" s="1419"/>
      <c r="C353" s="1419"/>
      <c r="D353" s="1419"/>
      <c r="E353" s="1419"/>
      <c r="F353" s="1415"/>
    </row>
    <row r="354" spans="1:6" ht="15" x14ac:dyDescent="0.25">
      <c r="A354" s="1400">
        <v>3307</v>
      </c>
      <c r="B354" s="1400"/>
      <c r="C354" s="1394" t="s">
        <v>165</v>
      </c>
      <c r="D354" s="1395"/>
      <c r="E354" s="1396"/>
      <c r="F354" s="525">
        <f>'3c.m.'!F488</f>
        <v>1563</v>
      </c>
    </row>
    <row r="355" spans="1:6" ht="15" hidden="1" x14ac:dyDescent="0.25">
      <c r="A355" s="1400">
        <v>3319</v>
      </c>
      <c r="B355" s="1400"/>
      <c r="C355" s="1394" t="s">
        <v>900</v>
      </c>
      <c r="D355" s="1395"/>
      <c r="E355" s="1396"/>
      <c r="F355" s="525"/>
    </row>
    <row r="356" spans="1:6" ht="15" hidden="1" x14ac:dyDescent="0.25">
      <c r="A356" s="1400">
        <v>3320</v>
      </c>
      <c r="B356" s="1400"/>
      <c r="C356" s="1394" t="s">
        <v>8</v>
      </c>
      <c r="D356" s="1395"/>
      <c r="E356" s="1396"/>
      <c r="F356" s="525"/>
    </row>
    <row r="357" spans="1:6" ht="15" x14ac:dyDescent="0.25">
      <c r="A357" s="1428">
        <v>3323</v>
      </c>
      <c r="B357" s="1429"/>
      <c r="C357" s="1394" t="s">
        <v>304</v>
      </c>
      <c r="D357" s="1395"/>
      <c r="E357" s="1396"/>
      <c r="F357" s="525">
        <f>'3c.m.'!F553</f>
        <v>5000</v>
      </c>
    </row>
    <row r="358" spans="1:6" ht="13.15" customHeight="1" x14ac:dyDescent="0.2">
      <c r="A358" s="1418" t="s">
        <v>901</v>
      </c>
      <c r="B358" s="1419" t="s">
        <v>902</v>
      </c>
      <c r="C358" s="1419"/>
      <c r="D358" s="1419"/>
      <c r="E358" s="1419"/>
      <c r="F358" s="1413">
        <f>SUM(F361:F368)</f>
        <v>54688</v>
      </c>
    </row>
    <row r="359" spans="1:6" ht="13.15" customHeight="1" x14ac:dyDescent="0.2">
      <c r="A359" s="1418"/>
      <c r="B359" s="1419"/>
      <c r="C359" s="1419"/>
      <c r="D359" s="1419"/>
      <c r="E359" s="1419"/>
      <c r="F359" s="1414"/>
    </row>
    <row r="360" spans="1:6" ht="12" customHeight="1" x14ac:dyDescent="0.2">
      <c r="A360" s="1418"/>
      <c r="B360" s="1419"/>
      <c r="C360" s="1419"/>
      <c r="D360" s="1419"/>
      <c r="E360" s="1419"/>
      <c r="F360" s="1415"/>
    </row>
    <row r="361" spans="1:6" ht="0.75" hidden="1" customHeight="1" x14ac:dyDescent="0.25">
      <c r="A361" s="1400">
        <v>3305</v>
      </c>
      <c r="B361" s="1400"/>
      <c r="C361" s="1394" t="s">
        <v>164</v>
      </c>
      <c r="D361" s="1395"/>
      <c r="E361" s="1396"/>
      <c r="F361" s="525"/>
    </row>
    <row r="362" spans="1:6" ht="13.5" customHeight="1" x14ac:dyDescent="0.25">
      <c r="A362" s="1400">
        <v>3309</v>
      </c>
      <c r="B362" s="1400"/>
      <c r="C362" s="1394" t="s">
        <v>458</v>
      </c>
      <c r="D362" s="1395"/>
      <c r="E362" s="1396"/>
      <c r="F362" s="525">
        <f>'3c.m.'!F505</f>
        <v>42176</v>
      </c>
    </row>
    <row r="363" spans="1:6" ht="0.75" hidden="1" customHeight="1" x14ac:dyDescent="0.25">
      <c r="A363" s="1400">
        <v>3310</v>
      </c>
      <c r="B363" s="1400"/>
      <c r="C363" s="1394" t="s">
        <v>333</v>
      </c>
      <c r="D363" s="1395"/>
      <c r="E363" s="1396"/>
      <c r="F363" s="525"/>
    </row>
    <row r="364" spans="1:6" ht="14.25" customHeight="1" x14ac:dyDescent="0.25">
      <c r="A364" s="1400">
        <v>3311</v>
      </c>
      <c r="B364" s="1400"/>
      <c r="C364" s="1394" t="s">
        <v>107</v>
      </c>
      <c r="D364" s="1395"/>
      <c r="E364" s="1396"/>
      <c r="F364" s="525">
        <f>'3c.m.'!F513</f>
        <v>8500</v>
      </c>
    </row>
    <row r="365" spans="1:6" ht="15" hidden="1" x14ac:dyDescent="0.25">
      <c r="A365" s="1400">
        <v>3315</v>
      </c>
      <c r="B365" s="1400"/>
      <c r="C365" s="1394" t="s">
        <v>11</v>
      </c>
      <c r="D365" s="1395"/>
      <c r="E365" s="1396"/>
      <c r="F365" s="525"/>
    </row>
    <row r="366" spans="1:6" ht="15" x14ac:dyDescent="0.25">
      <c r="A366" s="1400">
        <v>3353</v>
      </c>
      <c r="B366" s="1400"/>
      <c r="C366" s="1394" t="s">
        <v>990</v>
      </c>
      <c r="D366" s="1395"/>
      <c r="E366" s="1396"/>
      <c r="F366" s="525">
        <f>'3c.m.'!F677</f>
        <v>1500</v>
      </c>
    </row>
    <row r="367" spans="1:6" ht="15" x14ac:dyDescent="0.25">
      <c r="A367" s="1400">
        <v>3316</v>
      </c>
      <c r="B367" s="1400"/>
      <c r="C367" s="1394" t="s">
        <v>108</v>
      </c>
      <c r="D367" s="1395"/>
      <c r="E367" s="1396"/>
      <c r="F367" s="525">
        <f>'3c.m.'!F537</f>
        <v>2512</v>
      </c>
    </row>
    <row r="368" spans="1:6" ht="15" x14ac:dyDescent="0.25">
      <c r="A368" s="1400">
        <v>3330</v>
      </c>
      <c r="B368" s="1400"/>
      <c r="C368" s="1394" t="s">
        <v>1111</v>
      </c>
      <c r="D368" s="1395"/>
      <c r="E368" s="1396"/>
      <c r="F368" s="525">
        <f>'3c.m.'!F569</f>
        <v>0</v>
      </c>
    </row>
    <row r="369" spans="1:6" ht="13.15" customHeight="1" x14ac:dyDescent="0.2">
      <c r="A369" s="1418" t="s">
        <v>903</v>
      </c>
      <c r="B369" s="1419" t="s">
        <v>904</v>
      </c>
      <c r="C369" s="1419"/>
      <c r="D369" s="1419"/>
      <c r="E369" s="1419"/>
      <c r="F369" s="1413">
        <f>SUM(F372:F372)</f>
        <v>0</v>
      </c>
    </row>
    <row r="370" spans="1:6" ht="13.15" customHeight="1" x14ac:dyDescent="0.2">
      <c r="A370" s="1418"/>
      <c r="B370" s="1419"/>
      <c r="C370" s="1419"/>
      <c r="D370" s="1419"/>
      <c r="E370" s="1419"/>
      <c r="F370" s="1414"/>
    </row>
    <row r="371" spans="1:6" ht="13.15" customHeight="1" x14ac:dyDescent="0.2">
      <c r="A371" s="1418"/>
      <c r="B371" s="1419"/>
      <c r="C371" s="1419"/>
      <c r="D371" s="1419"/>
      <c r="E371" s="1419"/>
      <c r="F371" s="1415"/>
    </row>
    <row r="372" spans="1:6" ht="15" x14ac:dyDescent="0.25">
      <c r="A372" s="1400"/>
      <c r="B372" s="1400"/>
      <c r="C372" s="1394"/>
      <c r="D372" s="1395"/>
      <c r="E372" s="1396"/>
      <c r="F372" s="525"/>
    </row>
    <row r="373" spans="1:6" ht="12.6" customHeight="1" x14ac:dyDescent="0.2">
      <c r="A373" s="1418" t="s">
        <v>905</v>
      </c>
      <c r="B373" s="1419" t="s">
        <v>906</v>
      </c>
      <c r="C373" s="1419"/>
      <c r="D373" s="1419"/>
      <c r="E373" s="1419"/>
      <c r="F373" s="1413">
        <f>SUM(F376:F376)</f>
        <v>1540</v>
      </c>
    </row>
    <row r="374" spans="1:6" ht="12.6" customHeight="1" x14ac:dyDescent="0.2">
      <c r="A374" s="1418"/>
      <c r="B374" s="1419"/>
      <c r="C374" s="1419"/>
      <c r="D374" s="1419"/>
      <c r="E374" s="1419"/>
      <c r="F374" s="1414"/>
    </row>
    <row r="375" spans="1:6" ht="12.6" customHeight="1" x14ac:dyDescent="0.2">
      <c r="A375" s="1418"/>
      <c r="B375" s="1419"/>
      <c r="C375" s="1419"/>
      <c r="D375" s="1419"/>
      <c r="E375" s="1419"/>
      <c r="F375" s="1415"/>
    </row>
    <row r="376" spans="1:6" ht="15" x14ac:dyDescent="0.25">
      <c r="A376" s="1400">
        <v>3344</v>
      </c>
      <c r="B376" s="1400"/>
      <c r="C376" s="1394" t="s">
        <v>229</v>
      </c>
      <c r="D376" s="1395"/>
      <c r="E376" s="1396"/>
      <c r="F376" s="525">
        <f>'3c.m.'!F611</f>
        <v>1540</v>
      </c>
    </row>
    <row r="377" spans="1:6" ht="13.15" customHeight="1" x14ac:dyDescent="0.2">
      <c r="A377" s="1418" t="s">
        <v>907</v>
      </c>
      <c r="B377" s="1419" t="s">
        <v>908</v>
      </c>
      <c r="C377" s="1419"/>
      <c r="D377" s="1419"/>
      <c r="E377" s="1419"/>
      <c r="F377" s="1413">
        <f>SUM(F380:F380)</f>
        <v>5310</v>
      </c>
    </row>
    <row r="378" spans="1:6" ht="13.15" customHeight="1" x14ac:dyDescent="0.2">
      <c r="A378" s="1418"/>
      <c r="B378" s="1419"/>
      <c r="C378" s="1419"/>
      <c r="D378" s="1419"/>
      <c r="E378" s="1419"/>
      <c r="F378" s="1414"/>
    </row>
    <row r="379" spans="1:6" ht="13.15" customHeight="1" x14ac:dyDescent="0.2">
      <c r="A379" s="1418"/>
      <c r="B379" s="1419"/>
      <c r="C379" s="1419"/>
      <c r="D379" s="1419"/>
      <c r="E379" s="1419"/>
      <c r="F379" s="1415"/>
    </row>
    <row r="380" spans="1:6" ht="15" x14ac:dyDescent="0.25">
      <c r="A380" s="1400">
        <v>3346</v>
      </c>
      <c r="B380" s="1400"/>
      <c r="C380" s="1394" t="s">
        <v>94</v>
      </c>
      <c r="D380" s="1395"/>
      <c r="E380" s="1396"/>
      <c r="F380" s="525">
        <f>'3c.m.'!F627</f>
        <v>5310</v>
      </c>
    </row>
    <row r="381" spans="1:6" ht="13.15" customHeight="1" x14ac:dyDescent="0.2">
      <c r="A381" s="1418" t="s">
        <v>909</v>
      </c>
      <c r="B381" s="1419" t="s">
        <v>392</v>
      </c>
      <c r="C381" s="1419"/>
      <c r="D381" s="1419"/>
      <c r="E381" s="1419"/>
      <c r="F381" s="1413">
        <f>SUM(F384)</f>
        <v>9892</v>
      </c>
    </row>
    <row r="382" spans="1:6" ht="13.15" customHeight="1" x14ac:dyDescent="0.2">
      <c r="A382" s="1418"/>
      <c r="B382" s="1419"/>
      <c r="C382" s="1419"/>
      <c r="D382" s="1419"/>
      <c r="E382" s="1419"/>
      <c r="F382" s="1414"/>
    </row>
    <row r="383" spans="1:6" ht="13.15" customHeight="1" x14ac:dyDescent="0.2">
      <c r="A383" s="1418"/>
      <c r="B383" s="1419"/>
      <c r="C383" s="1419"/>
      <c r="D383" s="1419"/>
      <c r="E383" s="1419"/>
      <c r="F383" s="1415"/>
    </row>
    <row r="384" spans="1:6" ht="15" x14ac:dyDescent="0.25">
      <c r="A384" s="1400">
        <v>3340</v>
      </c>
      <c r="B384" s="1400"/>
      <c r="C384" s="1394" t="s">
        <v>392</v>
      </c>
      <c r="D384" s="1395"/>
      <c r="E384" s="1396"/>
      <c r="F384" s="525">
        <f>'3c.m.'!F577</f>
        <v>9892</v>
      </c>
    </row>
    <row r="385" spans="1:6" ht="13.15" customHeight="1" x14ac:dyDescent="0.2">
      <c r="A385" s="1418" t="s">
        <v>910</v>
      </c>
      <c r="B385" s="1419" t="s">
        <v>911</v>
      </c>
      <c r="C385" s="1419"/>
      <c r="D385" s="1419"/>
      <c r="E385" s="1419"/>
      <c r="F385" s="1413">
        <f>SUM(F388:F400)</f>
        <v>200936</v>
      </c>
    </row>
    <row r="386" spans="1:6" ht="13.15" customHeight="1" x14ac:dyDescent="0.2">
      <c r="A386" s="1418"/>
      <c r="B386" s="1419"/>
      <c r="C386" s="1419"/>
      <c r="D386" s="1419"/>
      <c r="E386" s="1419"/>
      <c r="F386" s="1414"/>
    </row>
    <row r="387" spans="1:6" ht="13.15" customHeight="1" x14ac:dyDescent="0.2">
      <c r="A387" s="1418"/>
      <c r="B387" s="1419"/>
      <c r="C387" s="1419"/>
      <c r="D387" s="1419"/>
      <c r="E387" s="1419"/>
      <c r="F387" s="1415"/>
    </row>
    <row r="388" spans="1:6" ht="15" x14ac:dyDescent="0.25">
      <c r="A388" s="1400">
        <v>3081</v>
      </c>
      <c r="B388" s="1400"/>
      <c r="C388" s="1394" t="s">
        <v>113</v>
      </c>
      <c r="D388" s="1395"/>
      <c r="E388" s="1396"/>
      <c r="F388" s="525">
        <f>'3c.m.'!F87</f>
        <v>31418</v>
      </c>
    </row>
    <row r="389" spans="1:6" ht="15" x14ac:dyDescent="0.25">
      <c r="A389" s="1400">
        <v>3304</v>
      </c>
      <c r="B389" s="1400"/>
      <c r="C389" s="1394" t="s">
        <v>1258</v>
      </c>
      <c r="D389" s="1395"/>
      <c r="E389" s="1396"/>
      <c r="F389" s="525">
        <f>'3c.m.'!F470</f>
        <v>2296</v>
      </c>
    </row>
    <row r="390" spans="1:6" ht="15" x14ac:dyDescent="0.25">
      <c r="A390" s="1400">
        <v>3306</v>
      </c>
      <c r="B390" s="1400"/>
      <c r="C390" s="1394" t="s">
        <v>969</v>
      </c>
      <c r="D390" s="1395"/>
      <c r="E390" s="1396"/>
      <c r="F390" s="525">
        <f>'3c.m.'!F479</f>
        <v>26089</v>
      </c>
    </row>
    <row r="391" spans="1:6" ht="15" x14ac:dyDescent="0.25">
      <c r="A391" s="1400">
        <v>3308</v>
      </c>
      <c r="B391" s="1400"/>
      <c r="C391" s="1394" t="s">
        <v>1148</v>
      </c>
      <c r="D391" s="1395"/>
      <c r="E391" s="1396"/>
      <c r="F391" s="525">
        <f>'3c.m.'!F497</f>
        <v>30000</v>
      </c>
    </row>
    <row r="392" spans="1:6" ht="15" x14ac:dyDescent="0.25">
      <c r="A392" s="1400">
        <v>3312</v>
      </c>
      <c r="B392" s="1400"/>
      <c r="C392" s="1394" t="s">
        <v>321</v>
      </c>
      <c r="D392" s="1395"/>
      <c r="E392" s="1396"/>
      <c r="F392" s="525">
        <f>'3c.m.'!F521</f>
        <v>29033</v>
      </c>
    </row>
    <row r="393" spans="1:6" ht="15" x14ac:dyDescent="0.25">
      <c r="A393" s="1400">
        <v>3313</v>
      </c>
      <c r="B393" s="1400"/>
      <c r="C393" s="1394" t="s">
        <v>10</v>
      </c>
      <c r="D393" s="1395"/>
      <c r="E393" s="1396"/>
      <c r="F393" s="525">
        <f>'3c.m.'!F529</f>
        <v>11695</v>
      </c>
    </row>
    <row r="394" spans="1:6" ht="15" x14ac:dyDescent="0.25">
      <c r="A394" s="1400">
        <v>3317</v>
      </c>
      <c r="B394" s="1400"/>
      <c r="C394" s="1394" t="s">
        <v>970</v>
      </c>
      <c r="D394" s="1395"/>
      <c r="E394" s="1396"/>
      <c r="F394" s="525">
        <f>'3c.m.'!F545</f>
        <v>30721</v>
      </c>
    </row>
    <row r="395" spans="1:6" ht="15" hidden="1" x14ac:dyDescent="0.25">
      <c r="A395" s="1400">
        <v>3322</v>
      </c>
      <c r="B395" s="1400"/>
      <c r="C395" s="1394" t="s">
        <v>332</v>
      </c>
      <c r="D395" s="1395"/>
      <c r="E395" s="1396"/>
      <c r="F395" s="525"/>
    </row>
    <row r="396" spans="1:6" ht="15" x14ac:dyDescent="0.25">
      <c r="A396" s="1400">
        <v>3325</v>
      </c>
      <c r="B396" s="1400"/>
      <c r="C396" s="1394" t="s">
        <v>971</v>
      </c>
      <c r="D396" s="1395"/>
      <c r="E396" s="1396"/>
      <c r="F396" s="525">
        <f>'3c.m.'!F561</f>
        <v>7618</v>
      </c>
    </row>
    <row r="397" spans="1:6" ht="15" hidden="1" x14ac:dyDescent="0.25">
      <c r="A397" s="1400">
        <v>3326</v>
      </c>
      <c r="B397" s="1400"/>
      <c r="C397" s="631" t="s">
        <v>415</v>
      </c>
      <c r="D397" s="632"/>
      <c r="E397" s="633"/>
      <c r="F397" s="525"/>
    </row>
    <row r="398" spans="1:6" ht="15" hidden="1" x14ac:dyDescent="0.25">
      <c r="A398" s="1400">
        <v>3327</v>
      </c>
      <c r="B398" s="1400"/>
      <c r="C398" s="631" t="s">
        <v>416</v>
      </c>
      <c r="D398" s="632"/>
      <c r="E398" s="633"/>
      <c r="F398" s="525"/>
    </row>
    <row r="399" spans="1:6" ht="15" x14ac:dyDescent="0.25">
      <c r="A399" s="1400">
        <v>3352</v>
      </c>
      <c r="B399" s="1400"/>
      <c r="C399" s="1394" t="s">
        <v>704</v>
      </c>
      <c r="D399" s="1395"/>
      <c r="E399" s="1396"/>
      <c r="F399" s="525">
        <f>'3c.m.'!F668</f>
        <v>32066</v>
      </c>
    </row>
    <row r="400" spans="1:6" ht="15" x14ac:dyDescent="0.25">
      <c r="A400" s="1400">
        <v>3943</v>
      </c>
      <c r="B400" s="1400"/>
      <c r="C400" s="1394" t="s">
        <v>6</v>
      </c>
      <c r="D400" s="1395"/>
      <c r="E400" s="1396"/>
      <c r="F400" s="525">
        <f>'3d.m.'!F32</f>
        <v>0</v>
      </c>
    </row>
    <row r="401" spans="1:6" ht="12" customHeight="1" x14ac:dyDescent="0.2">
      <c r="A401" s="1397" t="s">
        <v>912</v>
      </c>
      <c r="B401" s="1404" t="s">
        <v>913</v>
      </c>
      <c r="C401" s="1405"/>
      <c r="D401" s="1405"/>
      <c r="E401" s="1406"/>
      <c r="F401" s="1413">
        <f>SUM(F404)</f>
        <v>6100</v>
      </c>
    </row>
    <row r="402" spans="1:6" ht="12.6" customHeight="1" x14ac:dyDescent="0.2">
      <c r="A402" s="1398"/>
      <c r="B402" s="1407"/>
      <c r="C402" s="1408"/>
      <c r="D402" s="1408"/>
      <c r="E402" s="1409"/>
      <c r="F402" s="1414"/>
    </row>
    <row r="403" spans="1:6" ht="12.6" customHeight="1" x14ac:dyDescent="0.2">
      <c r="A403" s="1399"/>
      <c r="B403" s="1410"/>
      <c r="C403" s="1411"/>
      <c r="D403" s="1411"/>
      <c r="E403" s="1412"/>
      <c r="F403" s="1415"/>
    </row>
    <row r="404" spans="1:6" ht="15" x14ac:dyDescent="0.25">
      <c r="A404" s="1400">
        <v>3202</v>
      </c>
      <c r="B404" s="1400"/>
      <c r="C404" s="1394" t="s">
        <v>1032</v>
      </c>
      <c r="D404" s="1395"/>
      <c r="E404" s="1396"/>
      <c r="F404" s="525">
        <f>'3c.m.'!F261</f>
        <v>6100</v>
      </c>
    </row>
    <row r="405" spans="1:6" ht="14.1" customHeight="1" x14ac:dyDescent="0.2">
      <c r="A405" s="1397" t="s">
        <v>914</v>
      </c>
      <c r="B405" s="1404" t="s">
        <v>915</v>
      </c>
      <c r="C405" s="1405"/>
      <c r="D405" s="1405"/>
      <c r="E405" s="1406"/>
      <c r="F405" s="1413">
        <f>F408</f>
        <v>12000</v>
      </c>
    </row>
    <row r="406" spans="1:6" ht="14.1" customHeight="1" x14ac:dyDescent="0.2">
      <c r="A406" s="1398"/>
      <c r="B406" s="1407"/>
      <c r="C406" s="1408"/>
      <c r="D406" s="1408"/>
      <c r="E406" s="1409"/>
      <c r="F406" s="1416"/>
    </row>
    <row r="407" spans="1:6" ht="14.1" customHeight="1" x14ac:dyDescent="0.2">
      <c r="A407" s="1399"/>
      <c r="B407" s="1410"/>
      <c r="C407" s="1411"/>
      <c r="D407" s="1411"/>
      <c r="E407" s="1412"/>
      <c r="F407" s="1417"/>
    </row>
    <row r="408" spans="1:6" ht="14.1" customHeight="1" x14ac:dyDescent="0.25">
      <c r="A408" s="1400">
        <v>1851</v>
      </c>
      <c r="B408" s="1400"/>
      <c r="C408" s="1394" t="s">
        <v>380</v>
      </c>
      <c r="D408" s="1395"/>
      <c r="E408" s="1396"/>
      <c r="F408" s="528">
        <f>'1c.mell '!F106</f>
        <v>12000</v>
      </c>
    </row>
    <row r="409" spans="1:6" ht="13.15" customHeight="1" x14ac:dyDescent="0.2">
      <c r="A409" s="1397" t="s">
        <v>759</v>
      </c>
      <c r="B409" s="1404" t="s">
        <v>760</v>
      </c>
      <c r="C409" s="1405"/>
      <c r="D409" s="1405"/>
      <c r="E409" s="1406"/>
      <c r="F409" s="1413">
        <f>SUM(F412:F418)</f>
        <v>1284010</v>
      </c>
    </row>
    <row r="410" spans="1:6" ht="13.15" customHeight="1" x14ac:dyDescent="0.2">
      <c r="A410" s="1398"/>
      <c r="B410" s="1407"/>
      <c r="C410" s="1408"/>
      <c r="D410" s="1408"/>
      <c r="E410" s="1409"/>
      <c r="F410" s="1414"/>
    </row>
    <row r="411" spans="1:6" ht="13.15" customHeight="1" x14ac:dyDescent="0.2">
      <c r="A411" s="1399"/>
      <c r="B411" s="1410"/>
      <c r="C411" s="1411"/>
      <c r="D411" s="1411"/>
      <c r="E411" s="1412"/>
      <c r="F411" s="1415"/>
    </row>
    <row r="412" spans="1:6" ht="15" x14ac:dyDescent="0.25">
      <c r="A412" s="1400">
        <v>1843</v>
      </c>
      <c r="B412" s="1400"/>
      <c r="C412" s="1394" t="s">
        <v>916</v>
      </c>
      <c r="D412" s="1395"/>
      <c r="E412" s="1396"/>
      <c r="F412" s="531">
        <f>'1c.mell '!F98</f>
        <v>131554</v>
      </c>
    </row>
    <row r="413" spans="1:6" ht="15" x14ac:dyDescent="0.25">
      <c r="A413" s="1400">
        <v>1973</v>
      </c>
      <c r="B413" s="1400"/>
      <c r="C413" s="1394" t="s">
        <v>937</v>
      </c>
      <c r="D413" s="1395"/>
      <c r="E413" s="1396"/>
      <c r="F413" s="531">
        <f>'1c.mell '!F141</f>
        <v>1053866</v>
      </c>
    </row>
    <row r="414" spans="1:6" ht="15" x14ac:dyDescent="0.25">
      <c r="A414" s="1400">
        <v>6125</v>
      </c>
      <c r="B414" s="1400"/>
      <c r="C414" s="1401" t="s">
        <v>1202</v>
      </c>
      <c r="D414" s="1402"/>
      <c r="E414" s="1403"/>
      <c r="F414" s="531">
        <v>0</v>
      </c>
    </row>
    <row r="415" spans="1:6" ht="15" x14ac:dyDescent="0.25">
      <c r="A415" s="1400">
        <v>6137</v>
      </c>
      <c r="B415" s="1400"/>
      <c r="C415" s="1401" t="s">
        <v>1208</v>
      </c>
      <c r="D415" s="1402"/>
      <c r="E415" s="1403"/>
      <c r="F415" s="531">
        <v>0</v>
      </c>
    </row>
    <row r="416" spans="1:6" ht="15" x14ac:dyDescent="0.25">
      <c r="A416" s="1400">
        <v>6142</v>
      </c>
      <c r="B416" s="1400"/>
      <c r="C416" s="1401" t="s">
        <v>1207</v>
      </c>
      <c r="D416" s="1402"/>
      <c r="E416" s="1403"/>
      <c r="F416" s="531">
        <f>'6.mell. '!F24</f>
        <v>0</v>
      </c>
    </row>
    <row r="417" spans="1:6" ht="15" x14ac:dyDescent="0.25">
      <c r="A417" s="1400">
        <v>6141</v>
      </c>
      <c r="B417" s="1400"/>
      <c r="C417" s="1401" t="s">
        <v>1101</v>
      </c>
      <c r="D417" s="1402"/>
      <c r="E417" s="1403"/>
      <c r="F417" s="531">
        <f>'6.mell. '!F23</f>
        <v>48590</v>
      </c>
    </row>
    <row r="418" spans="1:6" ht="15" x14ac:dyDescent="0.25">
      <c r="A418" s="1400">
        <v>6110</v>
      </c>
      <c r="B418" s="1400"/>
      <c r="C418" s="1394" t="s">
        <v>917</v>
      </c>
      <c r="D418" s="1395"/>
      <c r="E418" s="1396"/>
      <c r="F418" s="525">
        <f>'6.mell. '!F12</f>
        <v>50000</v>
      </c>
    </row>
    <row r="419" spans="1:6" ht="12.95" customHeight="1" x14ac:dyDescent="0.2">
      <c r="A419" s="1420" t="s">
        <v>121</v>
      </c>
      <c r="B419" s="1421"/>
      <c r="C419" s="1421"/>
      <c r="D419" s="1421"/>
      <c r="E419" s="1422"/>
      <c r="F419" s="1426">
        <f>SUM(F409+F401+F385+F381+F377+F373+F369+F358+F351+F339+F335+F331+F327+F320+F316+F312+F307+F299+F293+F288+F284+F279+F273+F264+F260+F244+F240+F232+F207+F196+F192+F188+F184+F180+F175+F137+F133+F125+F121+F117+F113+F109+F105+F101+F94+F32+F5+F303+F203+F227+F223+F218+F214+F82+F90+F343+F347+F405+F129+F86+F28)</f>
        <v>39826007</v>
      </c>
    </row>
    <row r="420" spans="1:6" ht="12.95" customHeight="1" x14ac:dyDescent="0.2">
      <c r="A420" s="1423"/>
      <c r="B420" s="1424"/>
      <c r="C420" s="1424"/>
      <c r="D420" s="1424"/>
      <c r="E420" s="1425"/>
      <c r="F420" s="1427"/>
    </row>
  </sheetData>
  <autoFilter ref="A1:F420" xr:uid="{00000000-0009-0000-0000-000013000000}">
    <filterColumn colId="0" showButton="0"/>
    <filterColumn colId="1" showButton="0"/>
    <filterColumn colId="2" showButton="0"/>
    <filterColumn colId="3" showButton="0"/>
    <filterColumn colId="4" showButton="0"/>
  </autoFilter>
  <mergeCells count="624">
    <mergeCell ref="A249:B249"/>
    <mergeCell ref="C249:E249"/>
    <mergeCell ref="A254:B254"/>
    <mergeCell ref="C254:E254"/>
    <mergeCell ref="A253:B253"/>
    <mergeCell ref="A19:B19"/>
    <mergeCell ref="C19:E19"/>
    <mergeCell ref="C71:E71"/>
    <mergeCell ref="A163:B163"/>
    <mergeCell ref="A147:B147"/>
    <mergeCell ref="C147:E147"/>
    <mergeCell ref="A148:B148"/>
    <mergeCell ref="A81:B81"/>
    <mergeCell ref="C81:E81"/>
    <mergeCell ref="A82:A84"/>
    <mergeCell ref="C72:E72"/>
    <mergeCell ref="C142:E142"/>
    <mergeCell ref="B82:E84"/>
    <mergeCell ref="C145:E145"/>
    <mergeCell ref="A142:B142"/>
    <mergeCell ref="A143:B143"/>
    <mergeCell ref="A140:B140"/>
    <mergeCell ref="C140:E140"/>
    <mergeCell ref="C143:E143"/>
    <mergeCell ref="C236:E236"/>
    <mergeCell ref="A156:B156"/>
    <mergeCell ref="A158:B158"/>
    <mergeCell ref="C158:E158"/>
    <mergeCell ref="A178:B178"/>
    <mergeCell ref="C178:E178"/>
    <mergeCell ref="C172:E172"/>
    <mergeCell ref="A248:B248"/>
    <mergeCell ref="C248:E248"/>
    <mergeCell ref="C202:E202"/>
    <mergeCell ref="C267:E267"/>
    <mergeCell ref="A113:A115"/>
    <mergeCell ref="B113:E115"/>
    <mergeCell ref="C124:E124"/>
    <mergeCell ref="A125:A127"/>
    <mergeCell ref="B125:E127"/>
    <mergeCell ref="A235:B235"/>
    <mergeCell ref="C235:E235"/>
    <mergeCell ref="A238:B238"/>
    <mergeCell ref="C238:E238"/>
    <mergeCell ref="A237:B237"/>
    <mergeCell ref="A149:B149"/>
    <mergeCell ref="A153:B153"/>
    <mergeCell ref="C153:E153"/>
    <mergeCell ref="A151:B151"/>
    <mergeCell ref="C151:E151"/>
    <mergeCell ref="A152:B152"/>
    <mergeCell ref="C152:E152"/>
    <mergeCell ref="A150:B150"/>
    <mergeCell ref="C150:E150"/>
    <mergeCell ref="A252:B252"/>
    <mergeCell ref="C252:E252"/>
    <mergeCell ref="C257:E257"/>
    <mergeCell ref="C250:E250"/>
    <mergeCell ref="A250:B250"/>
    <mergeCell ref="A256:B256"/>
    <mergeCell ref="C256:E256"/>
    <mergeCell ref="A257:B257"/>
    <mergeCell ref="A255:B255"/>
    <mergeCell ref="C255:E255"/>
    <mergeCell ref="A90:A92"/>
    <mergeCell ref="B90:E92"/>
    <mergeCell ref="A101:A103"/>
    <mergeCell ref="B101:E103"/>
    <mergeCell ref="A173:B173"/>
    <mergeCell ref="C173:E173"/>
    <mergeCell ref="A179:B179"/>
    <mergeCell ref="C179:E179"/>
    <mergeCell ref="A166:B166"/>
    <mergeCell ref="C253:E253"/>
    <mergeCell ref="A112:B112"/>
    <mergeCell ref="C112:E112"/>
    <mergeCell ref="C144:E144"/>
    <mergeCell ref="A145:B145"/>
    <mergeCell ref="C174:E174"/>
    <mergeCell ref="A202:B202"/>
    <mergeCell ref="A174:B174"/>
    <mergeCell ref="A236:B236"/>
    <mergeCell ref="C65:E65"/>
    <mergeCell ref="A191:B191"/>
    <mergeCell ref="C191:E191"/>
    <mergeCell ref="A55:B55"/>
    <mergeCell ref="A67:B67"/>
    <mergeCell ref="C149:E149"/>
    <mergeCell ref="A141:B141"/>
    <mergeCell ref="C148:E148"/>
    <mergeCell ref="A53:B53"/>
    <mergeCell ref="A54:B54"/>
    <mergeCell ref="A68:B68"/>
    <mergeCell ref="A146:B146"/>
    <mergeCell ref="C53:E53"/>
    <mergeCell ref="C54:E54"/>
    <mergeCell ref="A56:B56"/>
    <mergeCell ref="A72:B72"/>
    <mergeCell ref="A80:B80"/>
    <mergeCell ref="C80:E80"/>
    <mergeCell ref="A73:B73"/>
    <mergeCell ref="A164:B164"/>
    <mergeCell ref="C141:E141"/>
    <mergeCell ref="A144:B144"/>
    <mergeCell ref="A71:B71"/>
    <mergeCell ref="A65:B65"/>
    <mergeCell ref="A15:B15"/>
    <mergeCell ref="A251:B251"/>
    <mergeCell ref="C251:E251"/>
    <mergeCell ref="C16:E16"/>
    <mergeCell ref="A17:B17"/>
    <mergeCell ref="C17:E17"/>
    <mergeCell ref="A20:B20"/>
    <mergeCell ref="C20:E20"/>
    <mergeCell ref="A43:B43"/>
    <mergeCell ref="C43:E43"/>
    <mergeCell ref="A31:B31"/>
    <mergeCell ref="C31:E31"/>
    <mergeCell ref="A18:B18"/>
    <mergeCell ref="C18:E18"/>
    <mergeCell ref="A28:A30"/>
    <mergeCell ref="C40:E40"/>
    <mergeCell ref="A22:B22"/>
    <mergeCell ref="C22:E22"/>
    <mergeCell ref="A49:B49"/>
    <mergeCell ref="C49:E49"/>
    <mergeCell ref="A69:B69"/>
    <mergeCell ref="A70:B70"/>
    <mergeCell ref="C69:E69"/>
    <mergeCell ref="C70:E70"/>
    <mergeCell ref="C12:E12"/>
    <mergeCell ref="F32:F34"/>
    <mergeCell ref="A51:B51"/>
    <mergeCell ref="C51:E51"/>
    <mergeCell ref="C45:E45"/>
    <mergeCell ref="A66:B66"/>
    <mergeCell ref="C66:E66"/>
    <mergeCell ref="A62:B62"/>
    <mergeCell ref="C62:E62"/>
    <mergeCell ref="A63:B63"/>
    <mergeCell ref="C63:E63"/>
    <mergeCell ref="C46:E46"/>
    <mergeCell ref="A35:B35"/>
    <mergeCell ref="C35:E35"/>
    <mergeCell ref="A36:B36"/>
    <mergeCell ref="C36:E36"/>
    <mergeCell ref="A37:B37"/>
    <mergeCell ref="C37:E37"/>
    <mergeCell ref="A48:B48"/>
    <mergeCell ref="A39:B39"/>
    <mergeCell ref="C39:E39"/>
    <mergeCell ref="A57:B57"/>
    <mergeCell ref="A47:B47"/>
    <mergeCell ref="A44:B44"/>
    <mergeCell ref="C15:E15"/>
    <mergeCell ref="A21:B21"/>
    <mergeCell ref="C21:E21"/>
    <mergeCell ref="A16:B16"/>
    <mergeCell ref="B32:E34"/>
    <mergeCell ref="A38:B38"/>
    <mergeCell ref="A1:F1"/>
    <mergeCell ref="A2:F2"/>
    <mergeCell ref="A3:F3"/>
    <mergeCell ref="A5:A7"/>
    <mergeCell ref="B5:E7"/>
    <mergeCell ref="F5:F7"/>
    <mergeCell ref="A11:B11"/>
    <mergeCell ref="C11:E11"/>
    <mergeCell ref="A14:B14"/>
    <mergeCell ref="C14:E14"/>
    <mergeCell ref="A8:B8"/>
    <mergeCell ref="C8:E8"/>
    <mergeCell ref="A9:B9"/>
    <mergeCell ref="C9:E9"/>
    <mergeCell ref="A10:B10"/>
    <mergeCell ref="C10:E10"/>
    <mergeCell ref="A13:B13"/>
    <mergeCell ref="A12:B12"/>
    <mergeCell ref="A60:B60"/>
    <mergeCell ref="C60:E60"/>
    <mergeCell ref="A32:A34"/>
    <mergeCell ref="A27:B27"/>
    <mergeCell ref="C27:E27"/>
    <mergeCell ref="A23:B23"/>
    <mergeCell ref="C23:E23"/>
    <mergeCell ref="A42:B42"/>
    <mergeCell ref="C42:E42"/>
    <mergeCell ref="A25:B25"/>
    <mergeCell ref="C38:E38"/>
    <mergeCell ref="C44:E44"/>
    <mergeCell ref="C56:E56"/>
    <mergeCell ref="A58:B58"/>
    <mergeCell ref="C58:E58"/>
    <mergeCell ref="C47:E47"/>
    <mergeCell ref="C48:E48"/>
    <mergeCell ref="C50:E50"/>
    <mergeCell ref="A50:B50"/>
    <mergeCell ref="A52:B52"/>
    <mergeCell ref="C52:E52"/>
    <mergeCell ref="A45:B45"/>
    <mergeCell ref="A26:B26"/>
    <mergeCell ref="C26:E26"/>
    <mergeCell ref="A89:B89"/>
    <mergeCell ref="C89:E89"/>
    <mergeCell ref="C98:E98"/>
    <mergeCell ref="F82:F84"/>
    <mergeCell ref="B28:E30"/>
    <mergeCell ref="A24:B24"/>
    <mergeCell ref="C24:E24"/>
    <mergeCell ref="A41:B41"/>
    <mergeCell ref="C41:E41"/>
    <mergeCell ref="A77:B77"/>
    <mergeCell ref="C55:E55"/>
    <mergeCell ref="A74:B74"/>
    <mergeCell ref="C74:E74"/>
    <mergeCell ref="A75:B75"/>
    <mergeCell ref="C75:E75"/>
    <mergeCell ref="A76:B76"/>
    <mergeCell ref="C76:E76"/>
    <mergeCell ref="A78:B78"/>
    <mergeCell ref="A79:B79"/>
    <mergeCell ref="A64:B64"/>
    <mergeCell ref="A40:B40"/>
    <mergeCell ref="A61:B61"/>
    <mergeCell ref="C61:E61"/>
    <mergeCell ref="F28:F30"/>
    <mergeCell ref="C64:E64"/>
    <mergeCell ref="A59:B59"/>
    <mergeCell ref="C59:E59"/>
    <mergeCell ref="A46:B46"/>
    <mergeCell ref="F101:F103"/>
    <mergeCell ref="A104:B104"/>
    <mergeCell ref="A94:A96"/>
    <mergeCell ref="B94:E96"/>
    <mergeCell ref="F94:F96"/>
    <mergeCell ref="A97:B97"/>
    <mergeCell ref="C97:E97"/>
    <mergeCell ref="A100:B100"/>
    <mergeCell ref="C100:E100"/>
    <mergeCell ref="F90:F92"/>
    <mergeCell ref="A93:B93"/>
    <mergeCell ref="C93:E93"/>
    <mergeCell ref="A98:B98"/>
    <mergeCell ref="A99:B99"/>
    <mergeCell ref="C99:E99"/>
    <mergeCell ref="A85:B85"/>
    <mergeCell ref="C85:E85"/>
    <mergeCell ref="A86:A88"/>
    <mergeCell ref="B86:E88"/>
    <mergeCell ref="F86:F88"/>
    <mergeCell ref="F113:F115"/>
    <mergeCell ref="A116:B116"/>
    <mergeCell ref="C116:E116"/>
    <mergeCell ref="A105:A107"/>
    <mergeCell ref="B105:E107"/>
    <mergeCell ref="F105:F107"/>
    <mergeCell ref="A108:B108"/>
    <mergeCell ref="C108:E108"/>
    <mergeCell ref="A109:A111"/>
    <mergeCell ref="B109:E111"/>
    <mergeCell ref="F109:F111"/>
    <mergeCell ref="F125:F127"/>
    <mergeCell ref="A128:B128"/>
    <mergeCell ref="C128:E128"/>
    <mergeCell ref="A117:A119"/>
    <mergeCell ref="B117:E119"/>
    <mergeCell ref="F117:F119"/>
    <mergeCell ref="A120:B120"/>
    <mergeCell ref="C120:E120"/>
    <mergeCell ref="A121:A123"/>
    <mergeCell ref="B121:E123"/>
    <mergeCell ref="F121:F123"/>
    <mergeCell ref="A124:B124"/>
    <mergeCell ref="F137:F139"/>
    <mergeCell ref="A129:A131"/>
    <mergeCell ref="B129:E131"/>
    <mergeCell ref="F129:F131"/>
    <mergeCell ref="A132:B132"/>
    <mergeCell ref="C132:E132"/>
    <mergeCell ref="A133:A135"/>
    <mergeCell ref="B133:E135"/>
    <mergeCell ref="F133:F135"/>
    <mergeCell ref="A136:B136"/>
    <mergeCell ref="C136:E136"/>
    <mergeCell ref="A137:A139"/>
    <mergeCell ref="B137:E139"/>
    <mergeCell ref="F175:F177"/>
    <mergeCell ref="A154:B154"/>
    <mergeCell ref="A160:B160"/>
    <mergeCell ref="C160:E160"/>
    <mergeCell ref="A161:B161"/>
    <mergeCell ref="C161:E161"/>
    <mergeCell ref="A165:B165"/>
    <mergeCell ref="C170:E170"/>
    <mergeCell ref="C168:E168"/>
    <mergeCell ref="C169:E169"/>
    <mergeCell ref="A175:A177"/>
    <mergeCell ref="B175:E177"/>
    <mergeCell ref="C154:E154"/>
    <mergeCell ref="A157:B157"/>
    <mergeCell ref="C157:E157"/>
    <mergeCell ref="A171:B171"/>
    <mergeCell ref="A167:B167"/>
    <mergeCell ref="A162:B162"/>
    <mergeCell ref="A155:B155"/>
    <mergeCell ref="A159:B159"/>
    <mergeCell ref="A168:B168"/>
    <mergeCell ref="A169:B169"/>
    <mergeCell ref="A170:B170"/>
    <mergeCell ref="A172:B172"/>
    <mergeCell ref="F184:F186"/>
    <mergeCell ref="A187:B187"/>
    <mergeCell ref="C187:E187"/>
    <mergeCell ref="A188:A190"/>
    <mergeCell ref="B188:E190"/>
    <mergeCell ref="F188:F190"/>
    <mergeCell ref="F180:F182"/>
    <mergeCell ref="A183:B183"/>
    <mergeCell ref="C183:E183"/>
    <mergeCell ref="A184:A186"/>
    <mergeCell ref="B184:E186"/>
    <mergeCell ref="A180:A182"/>
    <mergeCell ref="B180:E182"/>
    <mergeCell ref="F196:F198"/>
    <mergeCell ref="A200:B200"/>
    <mergeCell ref="C200:E200"/>
    <mergeCell ref="A201:B201"/>
    <mergeCell ref="C201:E201"/>
    <mergeCell ref="F192:F194"/>
    <mergeCell ref="A195:B195"/>
    <mergeCell ref="C195:E195"/>
    <mergeCell ref="A192:A194"/>
    <mergeCell ref="B192:E194"/>
    <mergeCell ref="A199:B199"/>
    <mergeCell ref="C199:E199"/>
    <mergeCell ref="A196:A198"/>
    <mergeCell ref="B196:E198"/>
    <mergeCell ref="F203:F205"/>
    <mergeCell ref="A203:A205"/>
    <mergeCell ref="B203:E205"/>
    <mergeCell ref="C212:E212"/>
    <mergeCell ref="B218:E220"/>
    <mergeCell ref="A207:A209"/>
    <mergeCell ref="B207:E209"/>
    <mergeCell ref="A218:A220"/>
    <mergeCell ref="F207:F209"/>
    <mergeCell ref="C210:E210"/>
    <mergeCell ref="A211:B211"/>
    <mergeCell ref="C211:E211"/>
    <mergeCell ref="A212:B212"/>
    <mergeCell ref="F218:F220"/>
    <mergeCell ref="A213:B213"/>
    <mergeCell ref="A210:B210"/>
    <mergeCell ref="C213:E213"/>
    <mergeCell ref="A206:B206"/>
    <mergeCell ref="C206:E206"/>
    <mergeCell ref="F232:F234"/>
    <mergeCell ref="A226:B226"/>
    <mergeCell ref="C226:E226"/>
    <mergeCell ref="A227:A229"/>
    <mergeCell ref="B227:E229"/>
    <mergeCell ref="F227:F229"/>
    <mergeCell ref="A230:B230"/>
    <mergeCell ref="F214:F216"/>
    <mergeCell ref="A217:B217"/>
    <mergeCell ref="C217:E217"/>
    <mergeCell ref="A221:B221"/>
    <mergeCell ref="C221:E221"/>
    <mergeCell ref="C222:E222"/>
    <mergeCell ref="A223:A225"/>
    <mergeCell ref="B223:E225"/>
    <mergeCell ref="F223:F225"/>
    <mergeCell ref="A231:B231"/>
    <mergeCell ref="C231:E231"/>
    <mergeCell ref="A232:A234"/>
    <mergeCell ref="B232:E234"/>
    <mergeCell ref="A222:B222"/>
    <mergeCell ref="C230:E230"/>
    <mergeCell ref="B214:E216"/>
    <mergeCell ref="A214:A216"/>
    <mergeCell ref="F244:F246"/>
    <mergeCell ref="A247:B247"/>
    <mergeCell ref="C247:E247"/>
    <mergeCell ref="A240:A242"/>
    <mergeCell ref="B240:E242"/>
    <mergeCell ref="F240:F242"/>
    <mergeCell ref="A243:B243"/>
    <mergeCell ref="C243:E243"/>
    <mergeCell ref="A244:A246"/>
    <mergeCell ref="B244:E246"/>
    <mergeCell ref="F260:F262"/>
    <mergeCell ref="A263:B263"/>
    <mergeCell ref="C263:E263"/>
    <mergeCell ref="A258:B258"/>
    <mergeCell ref="C258:E258"/>
    <mergeCell ref="A259:B259"/>
    <mergeCell ref="C259:E259"/>
    <mergeCell ref="A260:A262"/>
    <mergeCell ref="B260:E262"/>
    <mergeCell ref="F273:F275"/>
    <mergeCell ref="A276:B276"/>
    <mergeCell ref="C276:E276"/>
    <mergeCell ref="A277:B277"/>
    <mergeCell ref="C277:E277"/>
    <mergeCell ref="A278:B278"/>
    <mergeCell ref="C278:E278"/>
    <mergeCell ref="A283:B283"/>
    <mergeCell ref="B264:E266"/>
    <mergeCell ref="F264:F266"/>
    <mergeCell ref="A268:B268"/>
    <mergeCell ref="C268:E268"/>
    <mergeCell ref="A271:B271"/>
    <mergeCell ref="C271:E271"/>
    <mergeCell ref="A270:B270"/>
    <mergeCell ref="C270:E270"/>
    <mergeCell ref="A273:A275"/>
    <mergeCell ref="B273:E275"/>
    <mergeCell ref="A264:A266"/>
    <mergeCell ref="A269:B269"/>
    <mergeCell ref="C269:E269"/>
    <mergeCell ref="A272:B272"/>
    <mergeCell ref="C272:E272"/>
    <mergeCell ref="A267:B267"/>
    <mergeCell ref="F288:F290"/>
    <mergeCell ref="A291:B291"/>
    <mergeCell ref="C291:E291"/>
    <mergeCell ref="A279:A281"/>
    <mergeCell ref="B279:E281"/>
    <mergeCell ref="F279:F281"/>
    <mergeCell ref="A282:B282"/>
    <mergeCell ref="C282:E282"/>
    <mergeCell ref="A284:A286"/>
    <mergeCell ref="B284:E286"/>
    <mergeCell ref="F284:F286"/>
    <mergeCell ref="A287:B287"/>
    <mergeCell ref="C287:E287"/>
    <mergeCell ref="A288:A290"/>
    <mergeCell ref="B288:E290"/>
    <mergeCell ref="A299:A301"/>
    <mergeCell ref="B299:E301"/>
    <mergeCell ref="F299:F301"/>
    <mergeCell ref="A302:B302"/>
    <mergeCell ref="C302:E302"/>
    <mergeCell ref="A303:A305"/>
    <mergeCell ref="B303:E305"/>
    <mergeCell ref="F303:F305"/>
    <mergeCell ref="A292:B292"/>
    <mergeCell ref="C292:E292"/>
    <mergeCell ref="A293:A295"/>
    <mergeCell ref="B293:E295"/>
    <mergeCell ref="F293:F295"/>
    <mergeCell ref="A296:B296"/>
    <mergeCell ref="C296:E296"/>
    <mergeCell ref="A298:B298"/>
    <mergeCell ref="C298:E298"/>
    <mergeCell ref="A297:B297"/>
    <mergeCell ref="C297:E297"/>
    <mergeCell ref="A311:B311"/>
    <mergeCell ref="C311:E311"/>
    <mergeCell ref="A312:A314"/>
    <mergeCell ref="B312:E314"/>
    <mergeCell ref="A306:B306"/>
    <mergeCell ref="C306:E306"/>
    <mergeCell ref="A307:A309"/>
    <mergeCell ref="B307:E309"/>
    <mergeCell ref="F307:F309"/>
    <mergeCell ref="A310:B310"/>
    <mergeCell ref="C310:E310"/>
    <mergeCell ref="A319:B319"/>
    <mergeCell ref="C319:E319"/>
    <mergeCell ref="A320:A322"/>
    <mergeCell ref="B320:E322"/>
    <mergeCell ref="F320:F322"/>
    <mergeCell ref="A323:B323"/>
    <mergeCell ref="C323:E323"/>
    <mergeCell ref="F312:F314"/>
    <mergeCell ref="A315:B315"/>
    <mergeCell ref="C315:E315"/>
    <mergeCell ref="A316:A318"/>
    <mergeCell ref="B316:E318"/>
    <mergeCell ref="F316:F318"/>
    <mergeCell ref="A327:A329"/>
    <mergeCell ref="B327:E329"/>
    <mergeCell ref="F327:F329"/>
    <mergeCell ref="A330:B330"/>
    <mergeCell ref="C330:E330"/>
    <mergeCell ref="A331:A333"/>
    <mergeCell ref="B331:E333"/>
    <mergeCell ref="F331:F333"/>
    <mergeCell ref="A324:B324"/>
    <mergeCell ref="C324:E324"/>
    <mergeCell ref="A325:B325"/>
    <mergeCell ref="C325:E325"/>
    <mergeCell ref="A326:B326"/>
    <mergeCell ref="C326:E326"/>
    <mergeCell ref="F339:F341"/>
    <mergeCell ref="A342:B342"/>
    <mergeCell ref="C342:E342"/>
    <mergeCell ref="A343:A345"/>
    <mergeCell ref="B343:E345"/>
    <mergeCell ref="F343:F345"/>
    <mergeCell ref="A334:B334"/>
    <mergeCell ref="C334:E334"/>
    <mergeCell ref="A335:A337"/>
    <mergeCell ref="B335:E337"/>
    <mergeCell ref="F335:F337"/>
    <mergeCell ref="A338:B338"/>
    <mergeCell ref="C338:E338"/>
    <mergeCell ref="F351:F353"/>
    <mergeCell ref="A354:B354"/>
    <mergeCell ref="C354:E354"/>
    <mergeCell ref="A355:B355"/>
    <mergeCell ref="C355:E355"/>
    <mergeCell ref="A346:B346"/>
    <mergeCell ref="C346:E346"/>
    <mergeCell ref="A347:A349"/>
    <mergeCell ref="B347:E349"/>
    <mergeCell ref="F347:F349"/>
    <mergeCell ref="A350:B350"/>
    <mergeCell ref="C350:E350"/>
    <mergeCell ref="F358:F360"/>
    <mergeCell ref="A361:B361"/>
    <mergeCell ref="C361:E361"/>
    <mergeCell ref="A363:B363"/>
    <mergeCell ref="C363:E363"/>
    <mergeCell ref="A364:B364"/>
    <mergeCell ref="C364:E364"/>
    <mergeCell ref="A356:B356"/>
    <mergeCell ref="C356:E356"/>
    <mergeCell ref="A357:B357"/>
    <mergeCell ref="C357:E357"/>
    <mergeCell ref="A358:A360"/>
    <mergeCell ref="B358:E360"/>
    <mergeCell ref="A362:B362"/>
    <mergeCell ref="C362:E362"/>
    <mergeCell ref="A365:B365"/>
    <mergeCell ref="C365:E365"/>
    <mergeCell ref="A368:B368"/>
    <mergeCell ref="C368:E368"/>
    <mergeCell ref="A369:A371"/>
    <mergeCell ref="B369:E371"/>
    <mergeCell ref="A367:B367"/>
    <mergeCell ref="C367:E367"/>
    <mergeCell ref="A366:B366"/>
    <mergeCell ref="C366:E366"/>
    <mergeCell ref="A373:A375"/>
    <mergeCell ref="B373:E375"/>
    <mergeCell ref="F373:F375"/>
    <mergeCell ref="C394:E394"/>
    <mergeCell ref="A397:B397"/>
    <mergeCell ref="A392:B392"/>
    <mergeCell ref="C392:E392"/>
    <mergeCell ref="F381:F383"/>
    <mergeCell ref="A384:B384"/>
    <mergeCell ref="C384:E384"/>
    <mergeCell ref="A385:A387"/>
    <mergeCell ref="B385:E387"/>
    <mergeCell ref="F385:F387"/>
    <mergeCell ref="B377:E379"/>
    <mergeCell ref="F377:F379"/>
    <mergeCell ref="A380:B380"/>
    <mergeCell ref="C380:E380"/>
    <mergeCell ref="C389:E389"/>
    <mergeCell ref="A376:B376"/>
    <mergeCell ref="C376:E376"/>
    <mergeCell ref="A377:A379"/>
    <mergeCell ref="A388:B388"/>
    <mergeCell ref="C388:E388"/>
    <mergeCell ref="A391:B391"/>
    <mergeCell ref="A419:E420"/>
    <mergeCell ref="F419:F420"/>
    <mergeCell ref="A413:B413"/>
    <mergeCell ref="C413:E413"/>
    <mergeCell ref="A418:B418"/>
    <mergeCell ref="C418:E418"/>
    <mergeCell ref="F409:F411"/>
    <mergeCell ref="A412:B412"/>
    <mergeCell ref="C412:E412"/>
    <mergeCell ref="A409:A411"/>
    <mergeCell ref="B409:E411"/>
    <mergeCell ref="A414:B414"/>
    <mergeCell ref="C414:E414"/>
    <mergeCell ref="A417:B417"/>
    <mergeCell ref="C417:E417"/>
    <mergeCell ref="A415:B415"/>
    <mergeCell ref="F401:F403"/>
    <mergeCell ref="F405:F407"/>
    <mergeCell ref="C393:E393"/>
    <mergeCell ref="A394:B394"/>
    <mergeCell ref="C25:E25"/>
    <mergeCell ref="A408:B408"/>
    <mergeCell ref="C408:E408"/>
    <mergeCell ref="A405:A407"/>
    <mergeCell ref="B405:E407"/>
    <mergeCell ref="A395:B395"/>
    <mergeCell ref="C395:E395"/>
    <mergeCell ref="A339:A341"/>
    <mergeCell ref="B339:E341"/>
    <mergeCell ref="A396:B396"/>
    <mergeCell ref="A390:B390"/>
    <mergeCell ref="C390:E390"/>
    <mergeCell ref="A381:A383"/>
    <mergeCell ref="B381:E383"/>
    <mergeCell ref="A351:A353"/>
    <mergeCell ref="B351:E353"/>
    <mergeCell ref="A393:B393"/>
    <mergeCell ref="F369:F371"/>
    <mergeCell ref="A372:B372"/>
    <mergeCell ref="C372:E372"/>
    <mergeCell ref="C391:E391"/>
    <mergeCell ref="A401:A403"/>
    <mergeCell ref="C396:E396"/>
    <mergeCell ref="A389:B389"/>
    <mergeCell ref="A416:B416"/>
    <mergeCell ref="C415:E415"/>
    <mergeCell ref="C416:E416"/>
    <mergeCell ref="A400:B400"/>
    <mergeCell ref="C400:E400"/>
    <mergeCell ref="A398:B398"/>
    <mergeCell ref="A399:B399"/>
    <mergeCell ref="C399:E399"/>
    <mergeCell ref="C404:E404"/>
    <mergeCell ref="B401:E403"/>
    <mergeCell ref="A404:B404"/>
  </mergeCells>
  <pageMargins left="0.70866141732283472" right="0.70866141732283472" top="0.74803149606299213" bottom="0.74803149606299213" header="0.31496062992125984" footer="0.31496062992125984"/>
  <pageSetup paperSize="9" scale="83" firstPageNumber="60" orientation="portrait" useFirstPageNumber="1" r:id="rId1"/>
  <headerFooter>
    <oddFooter>&amp;C&amp;P.oldal</oddFooter>
  </headerFooter>
  <rowBreaks count="6" manualBreakCount="6">
    <brk id="62" max="16383" man="1"/>
    <brk id="128" max="16383" man="1"/>
    <brk id="191" max="16383" man="1"/>
    <brk id="256" max="16383" man="1"/>
    <brk id="324" max="16383" man="1"/>
    <brk id="398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112"/>
  <sheetViews>
    <sheetView view="pageBreakPreview" topLeftCell="A55" zoomScale="60" zoomScaleNormal="100" workbookViewId="0">
      <selection activeCell="C77" sqref="C77:E77"/>
    </sheetView>
  </sheetViews>
  <sheetFormatPr defaultRowHeight="12.75" x14ac:dyDescent="0.2"/>
  <cols>
    <col min="2" max="2" width="9" customWidth="1"/>
    <col min="3" max="3" width="19" customWidth="1"/>
    <col min="4" max="4" width="20.42578125" customWidth="1"/>
    <col min="5" max="5" width="23" customWidth="1"/>
    <col min="6" max="6" width="12.85546875" customWidth="1"/>
  </cols>
  <sheetData>
    <row r="1" spans="1:6" x14ac:dyDescent="0.2">
      <c r="A1" s="1181" t="s">
        <v>918</v>
      </c>
      <c r="B1" s="1181"/>
      <c r="C1" s="1181"/>
      <c r="D1" s="1181"/>
      <c r="E1" s="1181"/>
      <c r="F1" s="1181"/>
    </row>
    <row r="2" spans="1:6" x14ac:dyDescent="0.2">
      <c r="A2" s="1181" t="s">
        <v>919</v>
      </c>
      <c r="B2" s="1181"/>
      <c r="C2" s="1181"/>
      <c r="D2" s="1181"/>
      <c r="E2" s="1181"/>
      <c r="F2" s="1181"/>
    </row>
    <row r="3" spans="1:6" x14ac:dyDescent="0.2">
      <c r="A3" s="1181" t="s">
        <v>1176</v>
      </c>
      <c r="B3" s="1181"/>
      <c r="C3" s="1181"/>
      <c r="D3" s="1181"/>
      <c r="E3" s="1181"/>
      <c r="F3" s="1181"/>
    </row>
    <row r="4" spans="1:6" x14ac:dyDescent="0.2">
      <c r="F4" s="524" t="s">
        <v>456</v>
      </c>
    </row>
    <row r="5" spans="1:6" ht="13.15" customHeight="1" x14ac:dyDescent="0.2">
      <c r="A5" s="1418" t="s">
        <v>759</v>
      </c>
      <c r="B5" s="1419" t="s">
        <v>760</v>
      </c>
      <c r="C5" s="1419"/>
      <c r="D5" s="1419"/>
      <c r="E5" s="1419"/>
      <c r="F5" s="1455">
        <f>SUM(F8:F58)</f>
        <v>4990465</v>
      </c>
    </row>
    <row r="6" spans="1:6" ht="13.15" customHeight="1" x14ac:dyDescent="0.2">
      <c r="A6" s="1418"/>
      <c r="B6" s="1419"/>
      <c r="C6" s="1419"/>
      <c r="D6" s="1419"/>
      <c r="E6" s="1419"/>
      <c r="F6" s="1456"/>
    </row>
    <row r="7" spans="1:6" ht="13.15" customHeight="1" x14ac:dyDescent="0.2">
      <c r="A7" s="1418"/>
      <c r="B7" s="1419"/>
      <c r="C7" s="1419"/>
      <c r="D7" s="1419"/>
      <c r="E7" s="1419"/>
      <c r="F7" s="1457"/>
    </row>
    <row r="8" spans="1:6" ht="15" x14ac:dyDescent="0.25">
      <c r="A8" s="1433" t="s">
        <v>1033</v>
      </c>
      <c r="B8" s="1433"/>
      <c r="C8" s="1434" t="s">
        <v>347</v>
      </c>
      <c r="D8" s="1435"/>
      <c r="E8" s="1436"/>
      <c r="F8" s="1132">
        <f>'1b.mell '!F18+'1b.mell '!F20+'1b.mell '!F21+'1b.mell '!F19</f>
        <v>13885</v>
      </c>
    </row>
    <row r="9" spans="1:6" ht="15" x14ac:dyDescent="0.2">
      <c r="A9" s="1433">
        <v>1020</v>
      </c>
      <c r="B9" s="1433"/>
      <c r="C9" s="1434" t="s">
        <v>920</v>
      </c>
      <c r="D9" s="1435"/>
      <c r="E9" s="1436"/>
      <c r="F9" s="531">
        <f>'1b.mell '!F17</f>
        <v>0</v>
      </c>
    </row>
    <row r="10" spans="1:6" ht="15" x14ac:dyDescent="0.2">
      <c r="A10" s="1433">
        <v>1016</v>
      </c>
      <c r="B10" s="1433"/>
      <c r="C10" s="1434" t="s">
        <v>1092</v>
      </c>
      <c r="D10" s="1435"/>
      <c r="E10" s="1436"/>
      <c r="F10" s="531">
        <f>'1b.mell '!F16</f>
        <v>25299</v>
      </c>
    </row>
    <row r="11" spans="1:6" ht="15" x14ac:dyDescent="0.25">
      <c r="A11" s="1433">
        <v>1071</v>
      </c>
      <c r="B11" s="1433"/>
      <c r="C11" s="1434" t="s">
        <v>921</v>
      </c>
      <c r="D11" s="1435"/>
      <c r="E11" s="1436"/>
      <c r="F11" s="1132">
        <f>'1b.mell '!F32</f>
        <v>400</v>
      </c>
    </row>
    <row r="12" spans="1:6" ht="15" x14ac:dyDescent="0.25">
      <c r="A12" s="1433">
        <v>1072</v>
      </c>
      <c r="B12" s="1433"/>
      <c r="C12" s="1434" t="s">
        <v>1349</v>
      </c>
      <c r="D12" s="1435"/>
      <c r="E12" s="1436"/>
      <c r="F12" s="1132">
        <f>'1b.mell '!F33</f>
        <v>1780</v>
      </c>
    </row>
    <row r="13" spans="1:6" ht="15" x14ac:dyDescent="0.25">
      <c r="A13" s="1433">
        <v>1073</v>
      </c>
      <c r="B13" s="1433"/>
      <c r="C13" s="1434" t="s">
        <v>922</v>
      </c>
      <c r="D13" s="1435"/>
      <c r="E13" s="1436"/>
      <c r="F13" s="1132">
        <f>'1b.mell '!F34</f>
        <v>0</v>
      </c>
    </row>
    <row r="14" spans="1:6" ht="15" x14ac:dyDescent="0.25">
      <c r="A14" s="1433">
        <v>1074</v>
      </c>
      <c r="B14" s="1433"/>
      <c r="C14" s="1434" t="s">
        <v>923</v>
      </c>
      <c r="D14" s="1435"/>
      <c r="E14" s="1436"/>
      <c r="F14" s="1132">
        <f>'1b.mell '!F35</f>
        <v>0</v>
      </c>
    </row>
    <row r="15" spans="1:6" ht="15" x14ac:dyDescent="0.25">
      <c r="A15" s="1433">
        <v>1078</v>
      </c>
      <c r="B15" s="1433"/>
      <c r="C15" s="1434" t="s">
        <v>924</v>
      </c>
      <c r="D15" s="1435"/>
      <c r="E15" s="1436"/>
      <c r="F15" s="1132">
        <f>'1b.mell '!F39</f>
        <v>1300</v>
      </c>
    </row>
    <row r="16" spans="1:6" ht="15" x14ac:dyDescent="0.25">
      <c r="A16" s="1433">
        <v>1093</v>
      </c>
      <c r="B16" s="1433"/>
      <c r="C16" s="1434" t="s">
        <v>925</v>
      </c>
      <c r="D16" s="1435"/>
      <c r="E16" s="1436"/>
      <c r="F16" s="1132">
        <f>'1b.mell '!F48</f>
        <v>8000</v>
      </c>
    </row>
    <row r="17" spans="1:6" ht="15" x14ac:dyDescent="0.25">
      <c r="A17" s="1433">
        <v>1101</v>
      </c>
      <c r="B17" s="1433"/>
      <c r="C17" s="1434" t="s">
        <v>926</v>
      </c>
      <c r="D17" s="1435"/>
      <c r="E17" s="1436"/>
      <c r="F17" s="1132">
        <f>'1b.mell '!F56</f>
        <v>10000</v>
      </c>
    </row>
    <row r="18" spans="1:6" ht="15" x14ac:dyDescent="0.25">
      <c r="A18" s="1433">
        <v>1110</v>
      </c>
      <c r="B18" s="1433"/>
      <c r="C18" s="1434" t="s">
        <v>927</v>
      </c>
      <c r="D18" s="1435"/>
      <c r="E18" s="1436"/>
      <c r="F18" s="1132">
        <f>'1b.mell '!F60</f>
        <v>0</v>
      </c>
    </row>
    <row r="19" spans="1:6" ht="15" x14ac:dyDescent="0.25">
      <c r="A19" s="1433">
        <v>1121</v>
      </c>
      <c r="B19" s="1433"/>
      <c r="C19" s="1434" t="s">
        <v>928</v>
      </c>
      <c r="D19" s="1435"/>
      <c r="E19" s="1436"/>
      <c r="F19" s="1133">
        <f>'1b.mell '!F62</f>
        <v>19845</v>
      </c>
    </row>
    <row r="20" spans="1:6" ht="15" x14ac:dyDescent="0.25">
      <c r="A20" s="1433">
        <v>1122</v>
      </c>
      <c r="B20" s="1433"/>
      <c r="C20" s="1434" t="s">
        <v>929</v>
      </c>
      <c r="D20" s="1435"/>
      <c r="E20" s="1436"/>
      <c r="F20" s="1133">
        <f>'1b.mell '!F63</f>
        <v>216000</v>
      </c>
    </row>
    <row r="21" spans="1:6" ht="15" x14ac:dyDescent="0.25">
      <c r="A21" s="1433">
        <v>1123</v>
      </c>
      <c r="B21" s="1433"/>
      <c r="C21" s="1434" t="s">
        <v>930</v>
      </c>
      <c r="D21" s="1435"/>
      <c r="E21" s="1436"/>
      <c r="F21" s="1133">
        <f>'1b.mell '!F64</f>
        <v>331111</v>
      </c>
    </row>
    <row r="22" spans="1:6" ht="15" x14ac:dyDescent="0.25">
      <c r="A22" s="1433">
        <v>1141</v>
      </c>
      <c r="B22" s="1433"/>
      <c r="C22" s="1434" t="s">
        <v>373</v>
      </c>
      <c r="D22" s="1435"/>
      <c r="E22" s="1436"/>
      <c r="F22" s="1133">
        <f>'1b.mell '!F67</f>
        <v>271332</v>
      </c>
    </row>
    <row r="23" spans="1:6" ht="15" x14ac:dyDescent="0.25">
      <c r="A23" s="1433">
        <v>1150</v>
      </c>
      <c r="B23" s="1433"/>
      <c r="C23" s="1434" t="s">
        <v>190</v>
      </c>
      <c r="D23" s="1435"/>
      <c r="E23" s="1436"/>
      <c r="F23" s="1133">
        <f>'1b.mell '!F68</f>
        <v>10000</v>
      </c>
    </row>
    <row r="24" spans="1:6" ht="15" x14ac:dyDescent="0.25">
      <c r="A24" s="1433">
        <v>1151</v>
      </c>
      <c r="B24" s="1433"/>
      <c r="C24" s="1434" t="s">
        <v>352</v>
      </c>
      <c r="D24" s="1435"/>
      <c r="E24" s="1436"/>
      <c r="F24" s="1133">
        <f>'1b.mell '!F69</f>
        <v>28816</v>
      </c>
    </row>
    <row r="25" spans="1:6" ht="15" x14ac:dyDescent="0.25">
      <c r="A25" s="1433">
        <v>1160</v>
      </c>
      <c r="B25" s="1433"/>
      <c r="C25" s="1434" t="s">
        <v>191</v>
      </c>
      <c r="D25" s="1435"/>
      <c r="E25" s="1436"/>
      <c r="F25" s="1132">
        <f>'1b.mell '!F72</f>
        <v>0</v>
      </c>
    </row>
    <row r="26" spans="1:6" ht="15" x14ac:dyDescent="0.25">
      <c r="A26" s="1433">
        <v>1166</v>
      </c>
      <c r="B26" s="1433"/>
      <c r="C26" s="1434" t="s">
        <v>1034</v>
      </c>
      <c r="D26" s="1435"/>
      <c r="E26" s="1436"/>
      <c r="F26" s="1132">
        <f>'1b.mell '!F84</f>
        <v>0</v>
      </c>
    </row>
    <row r="27" spans="1:6" ht="15" x14ac:dyDescent="0.25">
      <c r="A27" s="1433">
        <v>1180</v>
      </c>
      <c r="B27" s="1433"/>
      <c r="C27" s="1434" t="s">
        <v>334</v>
      </c>
      <c r="D27" s="1435"/>
      <c r="E27" s="1436"/>
      <c r="F27" s="1132">
        <f>'1b.mell '!F86</f>
        <v>6638</v>
      </c>
    </row>
    <row r="28" spans="1:6" ht="15" x14ac:dyDescent="0.25">
      <c r="A28" s="1433">
        <v>1185</v>
      </c>
      <c r="B28" s="1433"/>
      <c r="C28" s="1434" t="s">
        <v>376</v>
      </c>
      <c r="D28" s="1435"/>
      <c r="E28" s="1436"/>
      <c r="F28" s="1132">
        <f>'1b.mell '!F91</f>
        <v>0</v>
      </c>
    </row>
    <row r="29" spans="1:6" ht="15" x14ac:dyDescent="0.25">
      <c r="A29" s="1433">
        <v>1187</v>
      </c>
      <c r="B29" s="1433"/>
      <c r="C29" s="1434" t="s">
        <v>1351</v>
      </c>
      <c r="D29" s="1435"/>
      <c r="E29" s="1436"/>
      <c r="F29" s="1132">
        <f>'1b.mell '!F90</f>
        <v>7987</v>
      </c>
    </row>
    <row r="30" spans="1:6" ht="15" x14ac:dyDescent="0.25">
      <c r="A30" s="1433">
        <v>1162</v>
      </c>
      <c r="B30" s="1433"/>
      <c r="C30" s="1434" t="s">
        <v>1350</v>
      </c>
      <c r="D30" s="1435"/>
      <c r="E30" s="1436"/>
      <c r="F30" s="1132">
        <f>'1b.mell '!F74</f>
        <v>17820</v>
      </c>
    </row>
    <row r="31" spans="1:6" ht="15" x14ac:dyDescent="0.25">
      <c r="A31" s="1433">
        <v>1164</v>
      </c>
      <c r="B31" s="1433"/>
      <c r="C31" s="1462" t="s">
        <v>1115</v>
      </c>
      <c r="D31" s="1463"/>
      <c r="E31" s="1464"/>
      <c r="F31" s="1132">
        <f>'1b.mell '!F76</f>
        <v>0</v>
      </c>
    </row>
    <row r="32" spans="1:6" ht="15" x14ac:dyDescent="0.25">
      <c r="A32" s="1459">
        <v>1165</v>
      </c>
      <c r="B32" s="1460"/>
      <c r="C32" s="1461" t="s">
        <v>1016</v>
      </c>
      <c r="D32" s="1461"/>
      <c r="E32" s="1461"/>
      <c r="F32" s="1132">
        <f>'1b.mell '!F77</f>
        <v>0</v>
      </c>
    </row>
    <row r="33" spans="1:6" ht="15" x14ac:dyDescent="0.25">
      <c r="A33" s="1459">
        <v>1169</v>
      </c>
      <c r="B33" s="1460"/>
      <c r="C33" s="1461" t="s">
        <v>1123</v>
      </c>
      <c r="D33" s="1461"/>
      <c r="E33" s="1461"/>
      <c r="F33" s="1132">
        <f>'1b.mell '!F78</f>
        <v>22306</v>
      </c>
    </row>
    <row r="34" spans="1:6" ht="15" x14ac:dyDescent="0.25">
      <c r="A34" s="1459">
        <v>1209</v>
      </c>
      <c r="B34" s="1460"/>
      <c r="C34" s="1461" t="s">
        <v>1205</v>
      </c>
      <c r="D34" s="1461"/>
      <c r="E34" s="1461"/>
      <c r="F34" s="1132">
        <f>'1b.mell '!F102</f>
        <v>400000</v>
      </c>
    </row>
    <row r="35" spans="1:6" ht="15" x14ac:dyDescent="0.25">
      <c r="A35" s="1459">
        <v>1210</v>
      </c>
      <c r="B35" s="1460"/>
      <c r="C35" s="1458" t="s">
        <v>200</v>
      </c>
      <c r="D35" s="1458"/>
      <c r="E35" s="1458"/>
      <c r="F35" s="1132">
        <f>'1b.mell '!F103</f>
        <v>100000</v>
      </c>
    </row>
    <row r="36" spans="1:6" ht="15" x14ac:dyDescent="0.25">
      <c r="A36" s="1433">
        <v>1211</v>
      </c>
      <c r="B36" s="1433"/>
      <c r="C36" s="1458" t="s">
        <v>931</v>
      </c>
      <c r="D36" s="1458"/>
      <c r="E36" s="1458"/>
      <c r="F36" s="1132">
        <f>'1b.mell '!F104</f>
        <v>0</v>
      </c>
    </row>
    <row r="37" spans="1:6" ht="15" x14ac:dyDescent="0.25">
      <c r="A37" s="1433">
        <v>1231</v>
      </c>
      <c r="B37" s="1433"/>
      <c r="C37" s="1434" t="s">
        <v>932</v>
      </c>
      <c r="D37" s="1435"/>
      <c r="E37" s="1436"/>
      <c r="F37" s="1132">
        <f>'1b.mell '!F122-F73</f>
        <v>0</v>
      </c>
    </row>
    <row r="38" spans="1:6" ht="15" x14ac:dyDescent="0.25">
      <c r="A38" s="1433">
        <v>1241</v>
      </c>
      <c r="B38" s="1433"/>
      <c r="C38" s="1434" t="s">
        <v>925</v>
      </c>
      <c r="D38" s="1435"/>
      <c r="E38" s="1436"/>
      <c r="F38" s="1132">
        <f>'1b.mell '!F129</f>
        <v>7000</v>
      </c>
    </row>
    <row r="39" spans="1:6" ht="15" x14ac:dyDescent="0.25">
      <c r="A39" s="1433">
        <v>1250</v>
      </c>
      <c r="B39" s="1433"/>
      <c r="C39" s="1434" t="s">
        <v>184</v>
      </c>
      <c r="D39" s="1435"/>
      <c r="E39" s="1436"/>
      <c r="F39" s="1132">
        <f>'1b.mell '!F131</f>
        <v>20000</v>
      </c>
    </row>
    <row r="40" spans="1:6" ht="15" x14ac:dyDescent="0.25">
      <c r="A40" s="1433">
        <v>1260</v>
      </c>
      <c r="B40" s="1433"/>
      <c r="C40" s="1434" t="s">
        <v>188</v>
      </c>
      <c r="D40" s="1435"/>
      <c r="E40" s="1436"/>
      <c r="F40" s="1132">
        <f>'1b.mell '!F133</f>
        <v>7290</v>
      </c>
    </row>
    <row r="41" spans="1:6" ht="15" x14ac:dyDescent="0.25">
      <c r="A41" s="1433">
        <v>1262</v>
      </c>
      <c r="B41" s="1433"/>
      <c r="C41" s="1434" t="s">
        <v>373</v>
      </c>
      <c r="D41" s="1435"/>
      <c r="E41" s="1436"/>
      <c r="F41" s="1132">
        <f>'1b.mell '!F135</f>
        <v>0</v>
      </c>
    </row>
    <row r="42" spans="1:6" ht="15" x14ac:dyDescent="0.25">
      <c r="A42" s="1433">
        <v>1270</v>
      </c>
      <c r="B42" s="1433"/>
      <c r="C42" s="1434" t="s">
        <v>190</v>
      </c>
      <c r="D42" s="1435"/>
      <c r="E42" s="1436"/>
      <c r="F42" s="1132">
        <f>'1b.mell '!F136</f>
        <v>450</v>
      </c>
    </row>
    <row r="43" spans="1:6" ht="15" x14ac:dyDescent="0.25">
      <c r="A43" s="1433">
        <v>1290</v>
      </c>
      <c r="B43" s="1433"/>
      <c r="C43" s="1434" t="s">
        <v>203</v>
      </c>
      <c r="D43" s="1435"/>
      <c r="E43" s="1436"/>
      <c r="F43" s="1132">
        <f>'1b.mell '!F148</f>
        <v>0</v>
      </c>
    </row>
    <row r="44" spans="1:6" ht="15" x14ac:dyDescent="0.25">
      <c r="A44" s="1433">
        <v>1560</v>
      </c>
      <c r="B44" s="1433"/>
      <c r="C44" s="533" t="s">
        <v>933</v>
      </c>
      <c r="D44" s="534"/>
      <c r="E44" s="535"/>
      <c r="F44" s="1132">
        <f>'1b.mell '!F241</f>
        <v>19000</v>
      </c>
    </row>
    <row r="45" spans="1:6" ht="15" x14ac:dyDescent="0.25">
      <c r="A45" s="1433">
        <v>1401</v>
      </c>
      <c r="B45" s="1433"/>
      <c r="C45" s="1434" t="s">
        <v>934</v>
      </c>
      <c r="D45" s="1435"/>
      <c r="E45" s="1436"/>
      <c r="F45" s="1132">
        <f>'1b.mell '!F167</f>
        <v>2007193</v>
      </c>
    </row>
    <row r="46" spans="1:6" ht="15" x14ac:dyDescent="0.25">
      <c r="A46" s="1433">
        <v>1409</v>
      </c>
      <c r="B46" s="1433"/>
      <c r="C46" s="1434" t="s">
        <v>342</v>
      </c>
      <c r="D46" s="1435"/>
      <c r="E46" s="1436"/>
      <c r="F46" s="1132">
        <f>'1b.mell '!F169</f>
        <v>21</v>
      </c>
    </row>
    <row r="47" spans="1:6" ht="15" x14ac:dyDescent="0.25">
      <c r="A47" s="1433">
        <v>1163</v>
      </c>
      <c r="B47" s="1433"/>
      <c r="C47" s="1434" t="s">
        <v>1080</v>
      </c>
      <c r="D47" s="1435"/>
      <c r="E47" s="1436"/>
      <c r="F47" s="1133">
        <f>'1b.mell '!F75</f>
        <v>0</v>
      </c>
    </row>
    <row r="48" spans="1:6" ht="15" x14ac:dyDescent="0.25">
      <c r="A48" s="1433">
        <v>1430</v>
      </c>
      <c r="B48" s="1433"/>
      <c r="C48" s="1434" t="s">
        <v>191</v>
      </c>
      <c r="D48" s="1435"/>
      <c r="E48" s="1436"/>
      <c r="F48" s="1132">
        <f>'1b.mell '!F182</f>
        <v>6619</v>
      </c>
    </row>
    <row r="49" spans="1:6" ht="15" x14ac:dyDescent="0.25">
      <c r="A49" s="1433">
        <v>1436</v>
      </c>
      <c r="B49" s="1433"/>
      <c r="C49" s="1434" t="s">
        <v>935</v>
      </c>
      <c r="D49" s="1435"/>
      <c r="E49" s="1436"/>
      <c r="F49" s="1132">
        <f>'1b.mell '!F187</f>
        <v>0</v>
      </c>
    </row>
    <row r="50" spans="1:6" ht="15" x14ac:dyDescent="0.25">
      <c r="A50" s="1433">
        <v>1440</v>
      </c>
      <c r="B50" s="1433"/>
      <c r="C50" s="1434" t="s">
        <v>203</v>
      </c>
      <c r="D50" s="1435"/>
      <c r="E50" s="1436"/>
      <c r="F50" s="1132">
        <f>'1b.mell '!F190</f>
        <v>750</v>
      </c>
    </row>
    <row r="51" spans="1:6" ht="15" x14ac:dyDescent="0.25">
      <c r="A51" s="1433">
        <v>1445</v>
      </c>
      <c r="B51" s="1433"/>
      <c r="C51" s="1434" t="s">
        <v>200</v>
      </c>
      <c r="D51" s="1435"/>
      <c r="E51" s="1436"/>
      <c r="F51" s="1132">
        <f>'1b.mell '!F193</f>
        <v>0</v>
      </c>
    </row>
    <row r="52" spans="1:6" ht="15" x14ac:dyDescent="0.25">
      <c r="A52" s="1433">
        <v>1411</v>
      </c>
      <c r="B52" s="1433"/>
      <c r="C52" s="1434" t="s">
        <v>925</v>
      </c>
      <c r="D52" s="1435"/>
      <c r="E52" s="1436"/>
      <c r="F52" s="1132">
        <f>'1b.mell '!F171</f>
        <v>182919</v>
      </c>
    </row>
    <row r="53" spans="1:6" ht="15" x14ac:dyDescent="0.25">
      <c r="A53" s="1433">
        <v>1420</v>
      </c>
      <c r="B53" s="1433"/>
      <c r="C53" s="1434" t="s">
        <v>184</v>
      </c>
      <c r="D53" s="1435"/>
      <c r="E53" s="1436"/>
      <c r="F53" s="1132">
        <f>'1b.mell '!F173</f>
        <v>32285</v>
      </c>
    </row>
    <row r="54" spans="1:6" ht="15" x14ac:dyDescent="0.25">
      <c r="A54" s="1433">
        <v>1422</v>
      </c>
      <c r="B54" s="1433"/>
      <c r="C54" s="1434" t="s">
        <v>188</v>
      </c>
      <c r="D54" s="1435"/>
      <c r="E54" s="1436"/>
      <c r="F54" s="1132">
        <f>'1b.mell '!F175</f>
        <v>100598</v>
      </c>
    </row>
    <row r="55" spans="1:6" ht="15" x14ac:dyDescent="0.25">
      <c r="A55" s="1433">
        <v>1424</v>
      </c>
      <c r="B55" s="1433"/>
      <c r="C55" s="1434" t="s">
        <v>373</v>
      </c>
      <c r="D55" s="1435"/>
      <c r="E55" s="1436"/>
      <c r="F55" s="1132">
        <f>'1b.mell '!F177</f>
        <v>200</v>
      </c>
    </row>
    <row r="56" spans="1:6" ht="15" x14ac:dyDescent="0.25">
      <c r="A56" s="1433">
        <v>1425</v>
      </c>
      <c r="B56" s="1433"/>
      <c r="C56" s="1434" t="s">
        <v>936</v>
      </c>
      <c r="D56" s="1435"/>
      <c r="E56" s="1436"/>
      <c r="F56" s="1132">
        <f>'1b.mell '!F178</f>
        <v>37811</v>
      </c>
    </row>
    <row r="57" spans="1:6" ht="15" x14ac:dyDescent="0.25">
      <c r="A57" s="1433">
        <v>1572</v>
      </c>
      <c r="B57" s="1433"/>
      <c r="C57" s="1434" t="s">
        <v>937</v>
      </c>
      <c r="D57" s="1435"/>
      <c r="E57" s="1436"/>
      <c r="F57" s="1132">
        <f>'1b.mell '!F248</f>
        <v>1053866</v>
      </c>
    </row>
    <row r="58" spans="1:6" ht="15" x14ac:dyDescent="0.25">
      <c r="A58" s="1433">
        <v>1423</v>
      </c>
      <c r="B58" s="1433"/>
      <c r="C58" s="1434" t="s">
        <v>189</v>
      </c>
      <c r="D58" s="1435"/>
      <c r="E58" s="1436"/>
      <c r="F58" s="1132">
        <f>'1b.mell '!F176</f>
        <v>21944</v>
      </c>
    </row>
    <row r="59" spans="1:6" ht="18" customHeight="1" x14ac:dyDescent="0.2">
      <c r="A59" s="1418" t="s">
        <v>938</v>
      </c>
      <c r="B59" s="1419" t="s">
        <v>939</v>
      </c>
      <c r="C59" s="1419"/>
      <c r="D59" s="1419"/>
      <c r="E59" s="1419"/>
      <c r="F59" s="1446">
        <f>SUM(F62:F69)</f>
        <v>15355587</v>
      </c>
    </row>
    <row r="60" spans="1:6" ht="18.95" customHeight="1" x14ac:dyDescent="0.2">
      <c r="A60" s="1418"/>
      <c r="B60" s="1419"/>
      <c r="C60" s="1419"/>
      <c r="D60" s="1419"/>
      <c r="E60" s="1419"/>
      <c r="F60" s="1447"/>
    </row>
    <row r="61" spans="1:6" ht="21.95" customHeight="1" x14ac:dyDescent="0.2">
      <c r="A61" s="1418"/>
      <c r="B61" s="1419"/>
      <c r="C61" s="1419"/>
      <c r="D61" s="1419"/>
      <c r="E61" s="1419"/>
      <c r="F61" s="1448"/>
    </row>
    <row r="62" spans="1:6" ht="15" x14ac:dyDescent="0.25">
      <c r="A62" s="1433">
        <v>1041</v>
      </c>
      <c r="B62" s="1433"/>
      <c r="C62" s="1434" t="s">
        <v>563</v>
      </c>
      <c r="D62" s="1435"/>
      <c r="E62" s="1436"/>
      <c r="F62" s="1132">
        <f>'1b.mell '!F25</f>
        <v>4638980</v>
      </c>
    </row>
    <row r="63" spans="1:6" ht="15" x14ac:dyDescent="0.25">
      <c r="A63" s="1433">
        <v>1042</v>
      </c>
      <c r="B63" s="1433"/>
      <c r="C63" s="1434" t="s">
        <v>566</v>
      </c>
      <c r="D63" s="1435"/>
      <c r="E63" s="1436"/>
      <c r="F63" s="1132">
        <f>'1b.mell '!E26</f>
        <v>738441</v>
      </c>
    </row>
    <row r="64" spans="1:6" ht="15" x14ac:dyDescent="0.25">
      <c r="A64" s="1433">
        <v>1051</v>
      </c>
      <c r="B64" s="1433"/>
      <c r="C64" s="1434" t="s">
        <v>940</v>
      </c>
      <c r="D64" s="1435"/>
      <c r="E64" s="1436"/>
      <c r="F64" s="1132">
        <f>'1b.mell '!F28</f>
        <v>9357538</v>
      </c>
    </row>
    <row r="65" spans="1:6" ht="15" x14ac:dyDescent="0.25">
      <c r="A65" s="1433">
        <v>1052</v>
      </c>
      <c r="B65" s="1433"/>
      <c r="C65" s="1434" t="s">
        <v>941</v>
      </c>
      <c r="D65" s="1435"/>
      <c r="E65" s="1436"/>
      <c r="F65" s="1132">
        <f>'1b.mell '!F29</f>
        <v>0</v>
      </c>
    </row>
    <row r="66" spans="1:6" ht="15" x14ac:dyDescent="0.25">
      <c r="A66" s="1433">
        <v>1053</v>
      </c>
      <c r="B66" s="1433"/>
      <c r="C66" s="1434" t="s">
        <v>942</v>
      </c>
      <c r="D66" s="1435"/>
      <c r="E66" s="1436"/>
      <c r="F66" s="1132">
        <f>'1b.mell '!F30</f>
        <v>576000</v>
      </c>
    </row>
    <row r="67" spans="1:6" ht="15" x14ac:dyDescent="0.25">
      <c r="A67" s="1433">
        <v>1075</v>
      </c>
      <c r="B67" s="1433"/>
      <c r="C67" s="1434" t="s">
        <v>943</v>
      </c>
      <c r="D67" s="1435"/>
      <c r="E67" s="1436"/>
      <c r="F67" s="1132">
        <f>'1b.mell '!F36</f>
        <v>22000</v>
      </c>
    </row>
    <row r="68" spans="1:6" ht="15" x14ac:dyDescent="0.25">
      <c r="A68" s="1433">
        <v>1076</v>
      </c>
      <c r="B68" s="1433"/>
      <c r="C68" s="1434" t="s">
        <v>944</v>
      </c>
      <c r="D68" s="1435"/>
      <c r="E68" s="1436"/>
      <c r="F68" s="1132">
        <f>'1b.mell '!F37</f>
        <v>12628</v>
      </c>
    </row>
    <row r="69" spans="1:6" ht="15" x14ac:dyDescent="0.25">
      <c r="A69" s="1433">
        <v>1205</v>
      </c>
      <c r="B69" s="1433"/>
      <c r="C69" s="1434" t="s">
        <v>9</v>
      </c>
      <c r="D69" s="1435"/>
      <c r="E69" s="1436"/>
      <c r="F69" s="1132">
        <f>'1b.mell '!F125</f>
        <v>10000</v>
      </c>
    </row>
    <row r="70" spans="1:6" ht="13.15" customHeight="1" x14ac:dyDescent="0.2">
      <c r="A70" s="1418" t="s">
        <v>1107</v>
      </c>
      <c r="B70" s="1419" t="s">
        <v>1108</v>
      </c>
      <c r="C70" s="1419"/>
      <c r="D70" s="1419"/>
      <c r="E70" s="1419"/>
      <c r="F70" s="1446">
        <f>F73</f>
        <v>38503</v>
      </c>
    </row>
    <row r="71" spans="1:6" ht="13.15" customHeight="1" x14ac:dyDescent="0.2">
      <c r="A71" s="1418"/>
      <c r="B71" s="1419"/>
      <c r="C71" s="1419"/>
      <c r="D71" s="1419"/>
      <c r="E71" s="1419"/>
      <c r="F71" s="1447"/>
    </row>
    <row r="72" spans="1:6" ht="13.15" customHeight="1" x14ac:dyDescent="0.2">
      <c r="A72" s="1397"/>
      <c r="B72" s="1419"/>
      <c r="C72" s="1419"/>
      <c r="D72" s="1419"/>
      <c r="E72" s="1419"/>
      <c r="F72" s="1448"/>
    </row>
    <row r="73" spans="1:6" ht="15" x14ac:dyDescent="0.25">
      <c r="A73" s="1433">
        <v>1231</v>
      </c>
      <c r="B73" s="1433"/>
      <c r="C73" s="1434" t="s">
        <v>347</v>
      </c>
      <c r="D73" s="1435"/>
      <c r="E73" s="1436"/>
      <c r="F73" s="1132">
        <f>'1b.mell '!F122</f>
        <v>38503</v>
      </c>
    </row>
    <row r="74" spans="1:6" ht="13.15" customHeight="1" x14ac:dyDescent="0.2">
      <c r="A74" s="1418" t="s">
        <v>765</v>
      </c>
      <c r="B74" s="1419" t="s">
        <v>766</v>
      </c>
      <c r="C74" s="1419"/>
      <c r="D74" s="1419"/>
      <c r="E74" s="1419"/>
      <c r="F74" s="1446">
        <f>SUM(F77:F87)</f>
        <v>1527769</v>
      </c>
    </row>
    <row r="75" spans="1:6" ht="13.15" customHeight="1" x14ac:dyDescent="0.2">
      <c r="A75" s="1418"/>
      <c r="B75" s="1419"/>
      <c r="C75" s="1419"/>
      <c r="D75" s="1419"/>
      <c r="E75" s="1419"/>
      <c r="F75" s="1447"/>
    </row>
    <row r="76" spans="1:6" ht="13.15" customHeight="1" x14ac:dyDescent="0.2">
      <c r="A76" s="1397"/>
      <c r="B76" s="1419"/>
      <c r="C76" s="1419"/>
      <c r="D76" s="1419"/>
      <c r="E76" s="1419"/>
      <c r="F76" s="1448"/>
    </row>
    <row r="77" spans="1:6" ht="15" x14ac:dyDescent="0.25">
      <c r="A77" s="1433">
        <v>1081</v>
      </c>
      <c r="B77" s="1433"/>
      <c r="C77" s="1434" t="s">
        <v>945</v>
      </c>
      <c r="D77" s="1435"/>
      <c r="E77" s="1436"/>
      <c r="F77" s="1133">
        <f>'1b.mell '!F41</f>
        <v>250000</v>
      </c>
    </row>
    <row r="78" spans="1:6" ht="15" x14ac:dyDescent="0.25">
      <c r="A78" s="1433">
        <v>1094</v>
      </c>
      <c r="B78" s="1433"/>
      <c r="C78" s="1434" t="s">
        <v>946</v>
      </c>
      <c r="D78" s="1435"/>
      <c r="E78" s="1436"/>
      <c r="F78" s="1133">
        <f>'1b.mell '!F49</f>
        <v>30000</v>
      </c>
    </row>
    <row r="79" spans="1:6" ht="15" x14ac:dyDescent="0.25">
      <c r="A79" s="1433">
        <v>1095</v>
      </c>
      <c r="B79" s="1433"/>
      <c r="C79" s="1434" t="s">
        <v>947</v>
      </c>
      <c r="D79" s="1435"/>
      <c r="E79" s="1436"/>
      <c r="F79" s="1133">
        <f>'1b.mell '!F50</f>
        <v>350000</v>
      </c>
    </row>
    <row r="80" spans="1:6" ht="15" x14ac:dyDescent="0.25">
      <c r="A80" s="1433">
        <v>1096</v>
      </c>
      <c r="B80" s="1433"/>
      <c r="C80" s="1434" t="s">
        <v>570</v>
      </c>
      <c r="D80" s="1435"/>
      <c r="E80" s="1436"/>
      <c r="F80" s="1133">
        <f>'1b.mell '!F51</f>
        <v>350000</v>
      </c>
    </row>
    <row r="81" spans="1:6" ht="15" x14ac:dyDescent="0.25">
      <c r="A81" s="1433">
        <v>1097</v>
      </c>
      <c r="B81" s="1433"/>
      <c r="C81" s="1434" t="s">
        <v>948</v>
      </c>
      <c r="D81" s="1435"/>
      <c r="E81" s="1436"/>
      <c r="F81" s="1133">
        <f>'1b.mell '!F52</f>
        <v>0</v>
      </c>
    </row>
    <row r="82" spans="1:6" ht="15" x14ac:dyDescent="0.25">
      <c r="A82" s="1433">
        <v>1099</v>
      </c>
      <c r="B82" s="1433"/>
      <c r="C82" s="1434" t="s">
        <v>1035</v>
      </c>
      <c r="D82" s="1435"/>
      <c r="E82" s="1436"/>
      <c r="F82" s="1132">
        <f>'1b.mell '!F54</f>
        <v>25000</v>
      </c>
    </row>
    <row r="83" spans="1:6" ht="15" x14ac:dyDescent="0.25">
      <c r="A83" s="1433">
        <v>1102</v>
      </c>
      <c r="B83" s="1433"/>
      <c r="C83" s="1434" t="s">
        <v>949</v>
      </c>
      <c r="D83" s="1435"/>
      <c r="E83" s="1436"/>
      <c r="F83" s="1132">
        <f>'1b.mell '!F57</f>
        <v>100000</v>
      </c>
    </row>
    <row r="84" spans="1:6" ht="15" x14ac:dyDescent="0.25">
      <c r="A84" s="1433">
        <v>1191</v>
      </c>
      <c r="B84" s="1433"/>
      <c r="C84" s="1434" t="s">
        <v>950</v>
      </c>
      <c r="D84" s="1435"/>
      <c r="E84" s="1436"/>
      <c r="F84" s="1132">
        <f>'1b.mell '!F95</f>
        <v>0</v>
      </c>
    </row>
    <row r="85" spans="1:6" ht="15" x14ac:dyDescent="0.25">
      <c r="A85" s="1433">
        <v>1194</v>
      </c>
      <c r="B85" s="1433"/>
      <c r="C85" s="1434" t="s">
        <v>951</v>
      </c>
      <c r="D85" s="1435"/>
      <c r="E85" s="1436"/>
      <c r="F85" s="1133">
        <f>'1b.mell '!F96</f>
        <v>0</v>
      </c>
    </row>
    <row r="86" spans="1:6" ht="15" x14ac:dyDescent="0.25">
      <c r="A86" s="1433">
        <v>1195</v>
      </c>
      <c r="B86" s="1433"/>
      <c r="C86" s="1434" t="s">
        <v>952</v>
      </c>
      <c r="D86" s="1435"/>
      <c r="E86" s="1436"/>
      <c r="F86" s="1133">
        <f>'1b.mell '!F97</f>
        <v>335000</v>
      </c>
    </row>
    <row r="87" spans="1:6" ht="15" x14ac:dyDescent="0.25">
      <c r="A87" s="1433">
        <v>1412</v>
      </c>
      <c r="B87" s="1433"/>
      <c r="C87" s="1434" t="s">
        <v>946</v>
      </c>
      <c r="D87" s="1435"/>
      <c r="E87" s="1436"/>
      <c r="F87" s="1133">
        <f>'1b.mell '!F172</f>
        <v>87769</v>
      </c>
    </row>
    <row r="88" spans="1:6" ht="13.15" customHeight="1" x14ac:dyDescent="0.2">
      <c r="A88" s="1418" t="s">
        <v>953</v>
      </c>
      <c r="B88" s="1419" t="s">
        <v>954</v>
      </c>
      <c r="C88" s="1419"/>
      <c r="D88" s="1419"/>
      <c r="E88" s="1419"/>
      <c r="F88" s="1455">
        <f>SUM(F91:F91)</f>
        <v>4399552</v>
      </c>
    </row>
    <row r="89" spans="1:6" ht="13.15" customHeight="1" x14ac:dyDescent="0.2">
      <c r="A89" s="1418"/>
      <c r="B89" s="1419"/>
      <c r="C89" s="1419"/>
      <c r="D89" s="1419"/>
      <c r="E89" s="1419"/>
      <c r="F89" s="1456"/>
    </row>
    <row r="90" spans="1:6" ht="13.15" customHeight="1" x14ac:dyDescent="0.2">
      <c r="A90" s="1397"/>
      <c r="B90" s="1419"/>
      <c r="C90" s="1419"/>
      <c r="D90" s="1419"/>
      <c r="E90" s="1419"/>
      <c r="F90" s="1457"/>
    </row>
    <row r="91" spans="1:6" ht="15" x14ac:dyDescent="0.25">
      <c r="A91" s="1433">
        <v>1010</v>
      </c>
      <c r="B91" s="1433"/>
      <c r="C91" s="1434" t="s">
        <v>169</v>
      </c>
      <c r="D91" s="1435"/>
      <c r="E91" s="1436"/>
      <c r="F91" s="1133">
        <f>'1b.mell '!F10-'1b.mell '!F16</f>
        <v>4399552</v>
      </c>
    </row>
    <row r="92" spans="1:6" ht="13.15" customHeight="1" x14ac:dyDescent="0.2">
      <c r="A92" s="1418" t="s">
        <v>955</v>
      </c>
      <c r="B92" s="1419" t="s">
        <v>956</v>
      </c>
      <c r="C92" s="1419"/>
      <c r="D92" s="1419"/>
      <c r="E92" s="1419"/>
      <c r="F92" s="1455">
        <f>SUM(F95:F96)</f>
        <v>11489195</v>
      </c>
    </row>
    <row r="93" spans="1:6" ht="13.15" customHeight="1" x14ac:dyDescent="0.2">
      <c r="A93" s="1418"/>
      <c r="B93" s="1419"/>
      <c r="C93" s="1419"/>
      <c r="D93" s="1419"/>
      <c r="E93" s="1419"/>
      <c r="F93" s="1456"/>
    </row>
    <row r="94" spans="1:6" ht="13.15" customHeight="1" x14ac:dyDescent="0.2">
      <c r="A94" s="1397"/>
      <c r="B94" s="1419"/>
      <c r="C94" s="1419"/>
      <c r="D94" s="1419"/>
      <c r="E94" s="1419"/>
      <c r="F94" s="1457"/>
    </row>
    <row r="95" spans="1:6" ht="15" x14ac:dyDescent="0.25">
      <c r="A95" s="1433">
        <v>1570.1581000000001</v>
      </c>
      <c r="B95" s="1433"/>
      <c r="C95" s="1434" t="s">
        <v>957</v>
      </c>
      <c r="D95" s="1435"/>
      <c r="E95" s="1436"/>
      <c r="F95" s="1133">
        <f>'1b.mell '!F246+'1b.mell '!F251</f>
        <v>11489195</v>
      </c>
    </row>
    <row r="96" spans="1:6" ht="15" x14ac:dyDescent="0.25">
      <c r="A96" s="1433">
        <v>1573</v>
      </c>
      <c r="B96" s="1433"/>
      <c r="C96" s="1434" t="s">
        <v>958</v>
      </c>
      <c r="D96" s="1435"/>
      <c r="E96" s="1436"/>
      <c r="F96" s="1134">
        <f>'1b.mell '!F249</f>
        <v>0</v>
      </c>
    </row>
    <row r="97" spans="1:6" ht="13.15" customHeight="1" x14ac:dyDescent="0.2">
      <c r="A97" s="1418" t="s">
        <v>809</v>
      </c>
      <c r="B97" s="1419" t="s">
        <v>810</v>
      </c>
      <c r="C97" s="1419"/>
      <c r="D97" s="1419"/>
      <c r="E97" s="1419"/>
      <c r="F97" s="1455">
        <f>SUM(F100:F106)</f>
        <v>1829683</v>
      </c>
    </row>
    <row r="98" spans="1:6" ht="13.15" customHeight="1" x14ac:dyDescent="0.2">
      <c r="A98" s="1418"/>
      <c r="B98" s="1419"/>
      <c r="C98" s="1419"/>
      <c r="D98" s="1419"/>
      <c r="E98" s="1419"/>
      <c r="F98" s="1456"/>
    </row>
    <row r="99" spans="1:6" ht="13.15" customHeight="1" x14ac:dyDescent="0.2">
      <c r="A99" s="1418"/>
      <c r="B99" s="1419"/>
      <c r="C99" s="1419"/>
      <c r="D99" s="1419"/>
      <c r="E99" s="1419"/>
      <c r="F99" s="1457"/>
    </row>
    <row r="100" spans="1:6" ht="15" x14ac:dyDescent="0.25">
      <c r="A100" s="1433">
        <v>1077</v>
      </c>
      <c r="B100" s="1433"/>
      <c r="C100" s="1434" t="s">
        <v>959</v>
      </c>
      <c r="D100" s="1435"/>
      <c r="E100" s="1436"/>
      <c r="F100" s="1132">
        <f>'1b.mell '!F38</f>
        <v>557844</v>
      </c>
    </row>
    <row r="101" spans="1:6" ht="15" x14ac:dyDescent="0.25">
      <c r="A101" s="1433">
        <v>1079</v>
      </c>
      <c r="B101" s="1433"/>
      <c r="C101" s="1434" t="s">
        <v>960</v>
      </c>
      <c r="D101" s="1435"/>
      <c r="E101" s="1436"/>
      <c r="F101" s="1132">
        <f>'1b.mell '!F40</f>
        <v>15000</v>
      </c>
    </row>
    <row r="102" spans="1:6" ht="15" x14ac:dyDescent="0.25">
      <c r="A102" s="1433">
        <v>1206</v>
      </c>
      <c r="B102" s="1433"/>
      <c r="C102" s="1434" t="s">
        <v>961</v>
      </c>
      <c r="D102" s="1435"/>
      <c r="E102" s="1436"/>
      <c r="F102" s="1132">
        <f>'1b.mell '!F126</f>
        <v>30000</v>
      </c>
    </row>
    <row r="103" spans="1:6" ht="15" x14ac:dyDescent="0.25">
      <c r="A103" s="1433">
        <v>1091</v>
      </c>
      <c r="B103" s="1433"/>
      <c r="C103" s="1434" t="s">
        <v>945</v>
      </c>
      <c r="D103" s="1435"/>
      <c r="E103" s="1436"/>
      <c r="F103" s="1132">
        <f>'1b.mell '!F46</f>
        <v>0</v>
      </c>
    </row>
    <row r="104" spans="1:6" ht="15" x14ac:dyDescent="0.25">
      <c r="A104" s="1433">
        <v>1092</v>
      </c>
      <c r="B104" s="1433"/>
      <c r="C104" s="1434" t="s">
        <v>962</v>
      </c>
      <c r="D104" s="1435"/>
      <c r="E104" s="1436"/>
      <c r="F104" s="1132">
        <f>'1b.mell '!F47</f>
        <v>1157439</v>
      </c>
    </row>
    <row r="105" spans="1:6" ht="15" x14ac:dyDescent="0.25">
      <c r="A105" s="1433">
        <v>1098</v>
      </c>
      <c r="B105" s="1433"/>
      <c r="C105" s="1434" t="s">
        <v>963</v>
      </c>
      <c r="D105" s="1435"/>
      <c r="E105" s="1436"/>
      <c r="F105" s="1132">
        <f>'1b.mell '!F53</f>
        <v>500</v>
      </c>
    </row>
    <row r="106" spans="1:6" ht="15" x14ac:dyDescent="0.25">
      <c r="A106" s="1433">
        <v>1103</v>
      </c>
      <c r="B106" s="1433"/>
      <c r="C106" s="1434" t="s">
        <v>964</v>
      </c>
      <c r="D106" s="1435"/>
      <c r="E106" s="1436"/>
      <c r="F106" s="1132">
        <f>'1b.mell '!F58</f>
        <v>68900</v>
      </c>
    </row>
    <row r="107" spans="1:6" ht="13.15" customHeight="1" x14ac:dyDescent="0.2">
      <c r="A107" s="1418" t="s">
        <v>872</v>
      </c>
      <c r="B107" s="1419" t="s">
        <v>873</v>
      </c>
      <c r="C107" s="1419"/>
      <c r="D107" s="1419"/>
      <c r="E107" s="1419"/>
      <c r="F107" s="1446">
        <f>SUM(F110)</f>
        <v>195253</v>
      </c>
    </row>
    <row r="108" spans="1:6" ht="13.15" customHeight="1" x14ac:dyDescent="0.2">
      <c r="A108" s="1418"/>
      <c r="B108" s="1419"/>
      <c r="C108" s="1419"/>
      <c r="D108" s="1419"/>
      <c r="E108" s="1419"/>
      <c r="F108" s="1447"/>
    </row>
    <row r="109" spans="1:6" ht="13.15" customHeight="1" x14ac:dyDescent="0.2">
      <c r="A109" s="1418"/>
      <c r="B109" s="1419"/>
      <c r="C109" s="1419"/>
      <c r="D109" s="1419"/>
      <c r="E109" s="1419"/>
      <c r="F109" s="1448"/>
    </row>
    <row r="110" spans="1:6" ht="15" x14ac:dyDescent="0.25">
      <c r="A110" s="1433">
        <v>1421</v>
      </c>
      <c r="B110" s="1433"/>
      <c r="C110" s="1434" t="s">
        <v>187</v>
      </c>
      <c r="D110" s="1435"/>
      <c r="E110" s="1436"/>
      <c r="F110" s="1132">
        <f>'1b.mell '!F174</f>
        <v>195253</v>
      </c>
    </row>
    <row r="111" spans="1:6" x14ac:dyDescent="0.2">
      <c r="A111" s="1449" t="s">
        <v>121</v>
      </c>
      <c r="B111" s="1450"/>
      <c r="C111" s="1450"/>
      <c r="D111" s="1450"/>
      <c r="E111" s="1450"/>
      <c r="F111" s="1453">
        <f>SUM(F107+F97+F92+F88+F74+F59+F5+F70)</f>
        <v>39826007</v>
      </c>
    </row>
    <row r="112" spans="1:6" x14ac:dyDescent="0.2">
      <c r="A112" s="1451"/>
      <c r="B112" s="1452"/>
      <c r="C112" s="1452"/>
      <c r="D112" s="1452"/>
      <c r="E112" s="1452"/>
      <c r="F112" s="1454"/>
    </row>
  </sheetData>
  <mergeCells count="192">
    <mergeCell ref="A29:B29"/>
    <mergeCell ref="C29:E29"/>
    <mergeCell ref="A103:B103"/>
    <mergeCell ref="C103:E103"/>
    <mergeCell ref="A1:F1"/>
    <mergeCell ref="A2:F2"/>
    <mergeCell ref="A3:F3"/>
    <mergeCell ref="A5:A7"/>
    <mergeCell ref="B5:E7"/>
    <mergeCell ref="F5:F7"/>
    <mergeCell ref="A14:B14"/>
    <mergeCell ref="C14:E14"/>
    <mergeCell ref="A15:B15"/>
    <mergeCell ref="C15:E15"/>
    <mergeCell ref="A16:B16"/>
    <mergeCell ref="C16:E16"/>
    <mergeCell ref="A8:B8"/>
    <mergeCell ref="C8:E8"/>
    <mergeCell ref="A9:B9"/>
    <mergeCell ref="A11:B11"/>
    <mergeCell ref="C11:E11"/>
    <mergeCell ref="A13:B13"/>
    <mergeCell ref="A20:B20"/>
    <mergeCell ref="C20:E20"/>
    <mergeCell ref="A10:B10"/>
    <mergeCell ref="C9:E9"/>
    <mergeCell ref="C10:E10"/>
    <mergeCell ref="C13:E13"/>
    <mergeCell ref="A21:B21"/>
    <mergeCell ref="C21:E21"/>
    <mergeCell ref="A22:B22"/>
    <mergeCell ref="C22:E22"/>
    <mergeCell ref="A17:B17"/>
    <mergeCell ref="C17:E17"/>
    <mergeCell ref="A18:B18"/>
    <mergeCell ref="C18:E18"/>
    <mergeCell ref="A19:B19"/>
    <mergeCell ref="C19:E19"/>
    <mergeCell ref="A12:B12"/>
    <mergeCell ref="C12:E12"/>
    <mergeCell ref="A27:B27"/>
    <mergeCell ref="C27:E27"/>
    <mergeCell ref="A28:B28"/>
    <mergeCell ref="C28:E28"/>
    <mergeCell ref="A32:B32"/>
    <mergeCell ref="A35:B35"/>
    <mergeCell ref="A23:B23"/>
    <mergeCell ref="C23:E23"/>
    <mergeCell ref="A24:B24"/>
    <mergeCell ref="C24:E24"/>
    <mergeCell ref="A25:B25"/>
    <mergeCell ref="C25:E25"/>
    <mergeCell ref="A26:B26"/>
    <mergeCell ref="C26:E26"/>
    <mergeCell ref="C32:E32"/>
    <mergeCell ref="C35:E35"/>
    <mergeCell ref="A31:B31"/>
    <mergeCell ref="C31:E31"/>
    <mergeCell ref="A34:B34"/>
    <mergeCell ref="C34:E34"/>
    <mergeCell ref="A30:B30"/>
    <mergeCell ref="C30:E30"/>
    <mergeCell ref="A33:B33"/>
    <mergeCell ref="C33:E33"/>
    <mergeCell ref="A40:B40"/>
    <mergeCell ref="C40:E40"/>
    <mergeCell ref="A41:B41"/>
    <mergeCell ref="C41:E41"/>
    <mergeCell ref="A42:B42"/>
    <mergeCell ref="C42:E42"/>
    <mergeCell ref="A36:B36"/>
    <mergeCell ref="A37:B37"/>
    <mergeCell ref="C37:E37"/>
    <mergeCell ref="A38:B38"/>
    <mergeCell ref="C38:E38"/>
    <mergeCell ref="A39:B39"/>
    <mergeCell ref="C39:E39"/>
    <mergeCell ref="C36:E36"/>
    <mergeCell ref="A49:B49"/>
    <mergeCell ref="A51:B51"/>
    <mergeCell ref="A52:B52"/>
    <mergeCell ref="C52:E52"/>
    <mergeCell ref="A53:B53"/>
    <mergeCell ref="C53:E53"/>
    <mergeCell ref="A43:B43"/>
    <mergeCell ref="C43:E43"/>
    <mergeCell ref="A44:B44"/>
    <mergeCell ref="A45:B45"/>
    <mergeCell ref="A46:B46"/>
    <mergeCell ref="A47:B47"/>
    <mergeCell ref="C47:E47"/>
    <mergeCell ref="A48:B48"/>
    <mergeCell ref="C48:E48"/>
    <mergeCell ref="C45:E45"/>
    <mergeCell ref="C46:E46"/>
    <mergeCell ref="C49:E49"/>
    <mergeCell ref="C51:E51"/>
    <mergeCell ref="A50:B50"/>
    <mergeCell ref="C50:E50"/>
    <mergeCell ref="A57:B57"/>
    <mergeCell ref="C57:E57"/>
    <mergeCell ref="A58:B58"/>
    <mergeCell ref="C58:E58"/>
    <mergeCell ref="A54:B54"/>
    <mergeCell ref="C54:E54"/>
    <mergeCell ref="A55:B55"/>
    <mergeCell ref="C55:E55"/>
    <mergeCell ref="A56:B56"/>
    <mergeCell ref="C56:E56"/>
    <mergeCell ref="A64:B64"/>
    <mergeCell ref="C64:E64"/>
    <mergeCell ref="A65:B65"/>
    <mergeCell ref="C65:E65"/>
    <mergeCell ref="A66:B66"/>
    <mergeCell ref="C66:E66"/>
    <mergeCell ref="A59:A61"/>
    <mergeCell ref="B59:E61"/>
    <mergeCell ref="F59:F61"/>
    <mergeCell ref="A62:B62"/>
    <mergeCell ref="C62:E62"/>
    <mergeCell ref="A63:B63"/>
    <mergeCell ref="C63:E63"/>
    <mergeCell ref="A74:A76"/>
    <mergeCell ref="B74:E76"/>
    <mergeCell ref="F74:F76"/>
    <mergeCell ref="A77:B77"/>
    <mergeCell ref="C77:E77"/>
    <mergeCell ref="A78:B78"/>
    <mergeCell ref="C78:E78"/>
    <mergeCell ref="A67:B67"/>
    <mergeCell ref="C67:E67"/>
    <mergeCell ref="A68:B68"/>
    <mergeCell ref="C68:E68"/>
    <mergeCell ref="A69:B69"/>
    <mergeCell ref="C69:E69"/>
    <mergeCell ref="A70:A72"/>
    <mergeCell ref="B70:E72"/>
    <mergeCell ref="F70:F72"/>
    <mergeCell ref="A73:B73"/>
    <mergeCell ref="C73:E73"/>
    <mergeCell ref="A83:B83"/>
    <mergeCell ref="C83:E83"/>
    <mergeCell ref="A84:B84"/>
    <mergeCell ref="C84:E84"/>
    <mergeCell ref="A85:B85"/>
    <mergeCell ref="C85:E85"/>
    <mergeCell ref="A79:B79"/>
    <mergeCell ref="C79:E79"/>
    <mergeCell ref="A80:B80"/>
    <mergeCell ref="C80:E80"/>
    <mergeCell ref="A81:B81"/>
    <mergeCell ref="C81:E81"/>
    <mergeCell ref="A82:B82"/>
    <mergeCell ref="C82:E82"/>
    <mergeCell ref="F88:F90"/>
    <mergeCell ref="A91:B91"/>
    <mergeCell ref="C91:E91"/>
    <mergeCell ref="A92:A94"/>
    <mergeCell ref="B92:E94"/>
    <mergeCell ref="F92:F94"/>
    <mergeCell ref="A86:B86"/>
    <mergeCell ref="C86:E86"/>
    <mergeCell ref="A87:B87"/>
    <mergeCell ref="C87:E87"/>
    <mergeCell ref="A88:A90"/>
    <mergeCell ref="B88:E90"/>
    <mergeCell ref="F97:F99"/>
    <mergeCell ref="A100:B100"/>
    <mergeCell ref="C100:E100"/>
    <mergeCell ref="A101:B101"/>
    <mergeCell ref="C101:E101"/>
    <mergeCell ref="A102:B102"/>
    <mergeCell ref="C102:E102"/>
    <mergeCell ref="A95:B95"/>
    <mergeCell ref="C95:E95"/>
    <mergeCell ref="A96:B96"/>
    <mergeCell ref="C96:E96"/>
    <mergeCell ref="A97:A99"/>
    <mergeCell ref="B97:E99"/>
    <mergeCell ref="A107:A109"/>
    <mergeCell ref="B107:E109"/>
    <mergeCell ref="F107:F109"/>
    <mergeCell ref="A110:B110"/>
    <mergeCell ref="C110:E110"/>
    <mergeCell ref="A111:E112"/>
    <mergeCell ref="F111:F112"/>
    <mergeCell ref="A104:B104"/>
    <mergeCell ref="C104:E104"/>
    <mergeCell ref="A105:B105"/>
    <mergeCell ref="C105:E105"/>
    <mergeCell ref="A106:B106"/>
    <mergeCell ref="C106:E106"/>
  </mergeCells>
  <pageMargins left="0.70866141732283472" right="0.70866141732283472" top="0.74803149606299213" bottom="0.74803149606299213" header="0.31496062992125984" footer="0.31496062992125984"/>
  <pageSetup paperSize="9" scale="95" firstPageNumber="67" orientation="portrait" useFirstPageNumber="1" r:id="rId1"/>
  <headerFooter>
    <oddFooter>&amp;C&amp;P.oldal</oddFooter>
  </headerFooter>
  <rowBreaks count="2" manualBreakCount="2">
    <brk id="54" max="16383" man="1"/>
    <brk id="10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21</vt:i4>
      </vt:variant>
      <vt:variant>
        <vt:lpstr>Névvel ellátott tartományok</vt:lpstr>
      </vt:variant>
      <vt:variant>
        <vt:i4>17</vt:i4>
      </vt:variant>
    </vt:vector>
  </HeadingPairs>
  <TitlesOfParts>
    <vt:vector size="38" baseType="lpstr">
      <vt:lpstr>1a.mell </vt:lpstr>
      <vt:lpstr>1b.mell </vt:lpstr>
      <vt:lpstr>1c.mell </vt:lpstr>
      <vt:lpstr>2.mell</vt:lpstr>
      <vt:lpstr>3a.m.</vt:lpstr>
      <vt:lpstr>3c.m.</vt:lpstr>
      <vt:lpstr>3d.m.</vt:lpstr>
      <vt:lpstr>4.mell.</vt:lpstr>
      <vt:lpstr>5.mell. </vt:lpstr>
      <vt:lpstr>6.mell. </vt:lpstr>
      <vt:lpstr>7.mell</vt:lpstr>
      <vt:lpstr>8.mell. </vt:lpstr>
      <vt:lpstr>9.mell. </vt:lpstr>
      <vt:lpstr>10.mell </vt:lpstr>
      <vt:lpstr>11.mell</vt:lpstr>
      <vt:lpstr>12.mell</vt:lpstr>
      <vt:lpstr>13.mell</vt:lpstr>
      <vt:lpstr>14.mell</vt:lpstr>
      <vt:lpstr>15.mell</vt:lpstr>
      <vt:lpstr>16.mell</vt:lpstr>
      <vt:lpstr>17.mell</vt:lpstr>
      <vt:lpstr>'11.mell'!Nyomtatási_cím</vt:lpstr>
      <vt:lpstr>'12.mell'!Nyomtatási_cím</vt:lpstr>
      <vt:lpstr>'1b.mell '!Nyomtatási_cím</vt:lpstr>
      <vt:lpstr>'1c.mell '!Nyomtatási_cím</vt:lpstr>
      <vt:lpstr>'2.mell'!Nyomtatási_cím</vt:lpstr>
      <vt:lpstr>'3a.m.'!Nyomtatási_cím</vt:lpstr>
      <vt:lpstr>'3c.m.'!Nyomtatási_cím</vt:lpstr>
      <vt:lpstr>'3d.m.'!Nyomtatási_cím</vt:lpstr>
      <vt:lpstr>'4.mell.'!Nyomtatási_cím</vt:lpstr>
      <vt:lpstr>'5.mell. '!Nyomtatási_cím</vt:lpstr>
      <vt:lpstr>'6.mell. '!Nyomtatási_cím</vt:lpstr>
      <vt:lpstr>'9.mell. '!Nyomtatási_cím</vt:lpstr>
      <vt:lpstr>'1a.mell '!Nyomtatási_terület</vt:lpstr>
      <vt:lpstr>'1b.mell '!Nyomtatási_terület</vt:lpstr>
      <vt:lpstr>'1c.mell '!Nyomtatási_terület</vt:lpstr>
      <vt:lpstr>'2.mell'!Nyomtatási_terület</vt:lpstr>
      <vt:lpstr>'8.mell. '!Nyomtatási_terület</vt:lpstr>
    </vt:vector>
  </TitlesOfParts>
  <Company>Fradi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Ferencvárosi Önkormányzat</dc:creator>
  <cp:lastModifiedBy>Gulyás Tamás</cp:lastModifiedBy>
  <cp:lastPrinted>2024-11-06T14:06:33Z</cp:lastPrinted>
  <dcterms:created xsi:type="dcterms:W3CDTF">2004-02-02T11:10:51Z</dcterms:created>
  <dcterms:modified xsi:type="dcterms:W3CDTF">2026-10-12T07:53:32Z</dcterms:modified>
</cp:coreProperties>
</file>