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drawings/drawing2.xml" ContentType="application/vnd.openxmlformats-officedocument.drawing+xml"/>
  <Override PartName="/xl/ctrlProps/ctrlProp17.xml" ContentType="application/vnd.ms-excel.controlproperties+xml"/>
  <Override PartName="/xl/ctrlProps/ctrlProp1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F:\JEGYZŐI KABINET\Szervezési Csoport\00-KT-BIZOTTSÁGOK\2026\!KT\0521\napirend\"/>
    </mc:Choice>
  </mc:AlternateContent>
  <xr:revisionPtr revIDLastSave="0" documentId="13_ncr:1_{52E3D59F-F1EB-4FB6-84B8-9E354C73CC9A}" xr6:coauthVersionLast="47" xr6:coauthVersionMax="47" xr10:uidLastSave="{00000000-0000-0000-0000-000000000000}"/>
  <bookViews>
    <workbookView xWindow="-96" yWindow="-96" windowWidth="23232" windowHeight="12432" tabRatio="919" xr2:uid="{00000000-000D-0000-FFFF-FFFF00000000}"/>
  </bookViews>
  <sheets>
    <sheet name="1.mell." sheetId="115" r:id="rId1"/>
    <sheet name="2.mell. " sheetId="136" r:id="rId2"/>
    <sheet name="3.mell." sheetId="98" r:id="rId3"/>
    <sheet name="4.mell." sheetId="135" r:id="rId4"/>
    <sheet name="5.mell." sheetId="43" r:id="rId5"/>
    <sheet name="6.mell." sheetId="44" r:id="rId6"/>
    <sheet name="7.mell." sheetId="125" r:id="rId7"/>
    <sheet name="8.mell." sheetId="47" r:id="rId8"/>
    <sheet name="9.mell " sheetId="48" r:id="rId9"/>
    <sheet name="10.mell. " sheetId="49" r:id="rId10"/>
    <sheet name="11.mell. " sheetId="138" r:id="rId11"/>
    <sheet name="12.mell. " sheetId="140" r:id="rId12"/>
    <sheet name="13.mell. " sheetId="139" r:id="rId13"/>
    <sheet name="14. mell." sheetId="150" r:id="rId14"/>
    <sheet name="15. mell." sheetId="151" r:id="rId15"/>
    <sheet name="16. mell." sheetId="152" r:id="rId16"/>
    <sheet name="17. mell." sheetId="153" r:id="rId17"/>
    <sheet name="18. mell." sheetId="154" r:id="rId18"/>
    <sheet name="19. mell." sheetId="161" r:id="rId19"/>
    <sheet name="20. mell." sheetId="156" r:id="rId20"/>
    <sheet name="21. mell." sheetId="157" r:id="rId21"/>
    <sheet name="22. mell." sheetId="158" r:id="rId22"/>
    <sheet name="23.mell." sheetId="141" r:id="rId23"/>
    <sheet name="24.mell." sheetId="142" r:id="rId24"/>
    <sheet name="25.mell." sheetId="143" r:id="rId25"/>
    <sheet name="26.mell." sheetId="145" r:id="rId26"/>
    <sheet name="27. mell" sheetId="160" r:id="rId27"/>
  </sheets>
  <externalReferences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</externalReferences>
  <definedNames>
    <definedName name="_xlnm._FilterDatabase" localSheetId="22" hidden="1">'23.mell.'!$A$9:$N$166</definedName>
    <definedName name="_xlnm._FilterDatabase" localSheetId="23" hidden="1">'24.mell.'!$A$6:$M$100</definedName>
    <definedName name="_xlnm._FilterDatabase" localSheetId="5" hidden="1">'6.mell.'!$A$5:$J$909</definedName>
    <definedName name="adósság">0</definedName>
    <definedName name="beruh" localSheetId="10">#REF!</definedName>
    <definedName name="beruh" localSheetId="11">#REF!</definedName>
    <definedName name="beruh" localSheetId="12">#REF!</definedName>
    <definedName name="beruh" localSheetId="13">#REF!</definedName>
    <definedName name="beruh" localSheetId="14">#REF!</definedName>
    <definedName name="beruh" localSheetId="15">#REF!</definedName>
    <definedName name="beruh" localSheetId="16">#REF!</definedName>
    <definedName name="beruh" localSheetId="17">#REF!</definedName>
    <definedName name="beruh" localSheetId="18">#REF!</definedName>
    <definedName name="beruh" localSheetId="19">#REF!</definedName>
    <definedName name="beruh" localSheetId="20">#REF!</definedName>
    <definedName name="beruh" localSheetId="21">#REF!</definedName>
    <definedName name="beruh" localSheetId="22">#REF!</definedName>
    <definedName name="beruh" localSheetId="23">#REF!</definedName>
    <definedName name="beruh" localSheetId="24">#REF!</definedName>
    <definedName name="beruh" localSheetId="25">#REF!</definedName>
    <definedName name="beruh" localSheetId="26">#REF!</definedName>
    <definedName name="beruh">#REF!</definedName>
    <definedName name="beruházás" localSheetId="10">#REF!</definedName>
    <definedName name="beruházás" localSheetId="11">#REF!</definedName>
    <definedName name="beruházás" localSheetId="12">#REF!</definedName>
    <definedName name="beruházás" localSheetId="13">#REF!</definedName>
    <definedName name="beruházás" localSheetId="14">#REF!</definedName>
    <definedName name="beruházás" localSheetId="15">#REF!</definedName>
    <definedName name="beruházás" localSheetId="16">#REF!</definedName>
    <definedName name="beruházás" localSheetId="17">#REF!</definedName>
    <definedName name="beruházás" localSheetId="18">#REF!</definedName>
    <definedName name="beruházás" localSheetId="19">#REF!</definedName>
    <definedName name="beruházás" localSheetId="20">#REF!</definedName>
    <definedName name="beruházás" localSheetId="21">#REF!</definedName>
    <definedName name="beruházás" localSheetId="22">#REF!</definedName>
    <definedName name="beruházás" localSheetId="23">#REF!</definedName>
    <definedName name="beruházás" localSheetId="24">#REF!</definedName>
    <definedName name="beruházás" localSheetId="25">#REF!</definedName>
    <definedName name="beruházás" localSheetId="26">#REF!</definedName>
    <definedName name="beruházás">#REF!</definedName>
    <definedName name="cs8_sz_melleklet_Dim01">"="</definedName>
    <definedName name="cs8_sz_melleklet_Dim02">"="</definedName>
    <definedName name="cs8_sz_melleklet_Dim03">"="</definedName>
    <definedName name="cs8_sz_melleklet_Dim04">"="</definedName>
    <definedName name="cs8_sz_melleklet_Dim05">"="</definedName>
    <definedName name="cs8_sz_melleklet_Dim06">"="</definedName>
    <definedName name="cs8_sz_melleklet_Dim07">"="</definedName>
    <definedName name="cs8_sz_melleklet_Dim08">"="</definedName>
    <definedName name="cs8_sz_melleklet_Dim09">"="</definedName>
    <definedName name="cs8_sz_melleklet_Dim10">"="</definedName>
    <definedName name="cs8_sz_melleklet_Dim11">"="</definedName>
    <definedName name="cs8_sz_melleklet_Dim12">"="</definedName>
    <definedName name="cs8_sz_mellekletAnchor" localSheetId="13">#REF!</definedName>
    <definedName name="cs8_sz_mellekletAnchor" localSheetId="14">#REF!</definedName>
    <definedName name="cs8_sz_mellekletAnchor" localSheetId="15">#REF!</definedName>
    <definedName name="cs8_sz_mellekletAnchor" localSheetId="16">#REF!</definedName>
    <definedName name="cs8_sz_mellekletAnchor" localSheetId="17">#REF!</definedName>
    <definedName name="cs8_sz_mellekletAnchor" localSheetId="18">#REF!</definedName>
    <definedName name="cs8_sz_mellekletAnchor" localSheetId="19">#REF!</definedName>
    <definedName name="cs8_sz_mellekletAnchor" localSheetId="20">#REF!</definedName>
    <definedName name="cs8_sz_mellekletAnchor" localSheetId="21">#REF!</definedName>
    <definedName name="cs8_sz_mellekletAnchor" localSheetId="26">#REF!</definedName>
    <definedName name="cs8_sz_mellekletAnchor">#REF!</definedName>
    <definedName name="cs9_sz_melleklet_Dim01">"="</definedName>
    <definedName name="cs9_sz_melleklet_Dim02">"="</definedName>
    <definedName name="cs9_sz_melleklet_Dim03">"="</definedName>
    <definedName name="cs9_sz_melleklet_Dim04">"="</definedName>
    <definedName name="cs9_sz_melleklet_Dim05">"="</definedName>
    <definedName name="cs9_sz_melleklet_Dim06">"="</definedName>
    <definedName name="cs9_sz_melleklet_Dim07">"="</definedName>
    <definedName name="cs9_sz_melleklet_Dim08">"="</definedName>
    <definedName name="cs9_sz_melleklet_Dim09">"="</definedName>
    <definedName name="cs9_sz_melleklet_Dim10">"="</definedName>
    <definedName name="cs9_sz_melleklet_Dim11">"="</definedName>
    <definedName name="cs9_sz_melleklet_Dim12">"="</definedName>
    <definedName name="cs9_sz_mellekletAnchor" localSheetId="26">#REF!</definedName>
    <definedName name="cs9_sz_mellekletAnchor">#REF!</definedName>
    <definedName name="csAlapy_rendeleti_tabla_excel_Dim01">"="</definedName>
    <definedName name="csAlapy_rendeleti_tabla_excel_Dim02">"="</definedName>
    <definedName name="csAlapy_rendeleti_tabla_excel_Dim03">"="</definedName>
    <definedName name="csAlapy_rendeleti_tabla_excel_Dim04">"="</definedName>
    <definedName name="csAlapy_rendeleti_tabla_excel_Dim05">"="</definedName>
    <definedName name="csAlapy_rendeleti_tabla_excel_Dim06">"="</definedName>
    <definedName name="csAlapy_rendeleti_tabla_excel_Dim07">"="</definedName>
    <definedName name="csAlapy_rendeleti_tabla_excel_Dim08">"="</definedName>
    <definedName name="csAlapy_rendeleti_tabla_excel_Dim09">"="</definedName>
    <definedName name="csAlapy_rendeleti_tabla_excel_Dim10">"="</definedName>
    <definedName name="csAlapy_rendeleti_tabla_excel_Dim11">"="</definedName>
    <definedName name="csAlapy_rendeleti_tabla_excel_Dim12">"="</definedName>
    <definedName name="csAllowDetailBudgeting">1</definedName>
    <definedName name="csAllowLocalConsolidation">1</definedName>
    <definedName name="csAlt_spec_iskola_rendeleti_tabla_excel_Dim01">"="</definedName>
    <definedName name="csAlt_spec_iskola_rendeleti_tabla_excel_Dim02">"="</definedName>
    <definedName name="csAlt_spec_iskola_rendeleti_tabla_excel_Dim03">"="</definedName>
    <definedName name="csAlt_spec_iskola_rendeleti_tabla_excel_Dim04">"="</definedName>
    <definedName name="csAlt_spec_iskola_rendeleti_tabla_excel_Dim05">"="</definedName>
    <definedName name="csAlt_spec_iskola_rendeleti_tabla_excel_Dim06">"="</definedName>
    <definedName name="csAlt_spec_iskola_rendeleti_tabla_excel_Dim07">"="</definedName>
    <definedName name="csAlt_spec_iskola_rendeleti_tabla_excel_Dim08">"="</definedName>
    <definedName name="csAlt_spec_iskola_rendeleti_tabla_excel_Dim09">"="</definedName>
    <definedName name="csAlt_spec_iskola_rendeleti_tabla_excel_Dim10">"="</definedName>
    <definedName name="csAlt_spec_iskola_rendeleti_tabla_excel_Dim11">"="</definedName>
    <definedName name="csAlt_spec_iskola_rendeleti_tabla_excel_Dim12">"="</definedName>
    <definedName name="csAppName">"FlFcBkFmGhGaFj@bAeDmE`CoA`DbAk"</definedName>
    <definedName name="csArany_Janos_rendeleti_tabla_excel_Dim01">"="</definedName>
    <definedName name="csArany_Janos_rendeleti_tabla_excel_Dim02">"="</definedName>
    <definedName name="csArany_Janos_rendeleti_tabla_excel_Dim03">"="</definedName>
    <definedName name="csArany_Janos_rendeleti_tabla_excel_Dim04">"="</definedName>
    <definedName name="csArany_Janos_rendeleti_tabla_excel_Dim05">"="</definedName>
    <definedName name="csArany_Janos_rendeleti_tabla_excel_Dim06">"="</definedName>
    <definedName name="csArany_Janos_rendeleti_tabla_excel_Dim07">"="</definedName>
    <definedName name="csArany_Janos_rendeleti_tabla_excel_Dim08">"="</definedName>
    <definedName name="csArany_Janos_rendeleti_tabla_excel_Dim09">"="</definedName>
    <definedName name="csArany_Janos_rendeleti_tabla_excel_Dim10">"="</definedName>
    <definedName name="csArany_Janos_rendeleti_tabla_excel_Dim11">"="</definedName>
    <definedName name="csArany_Janos_rendeleti_tabla_excel_Dim12">"="</definedName>
    <definedName name="csberuhazas_felujitas_Dim01">"="</definedName>
    <definedName name="csberuhazas_felujitas_Dim02">"="</definedName>
    <definedName name="csberuhazas_felujitas_Dim03">"="</definedName>
    <definedName name="csberuhazas_felujitas_Dim04">"="</definedName>
    <definedName name="csberuhazas_felujitas_Dim05">"="</definedName>
    <definedName name="csberuhazas_felujitas_Dim06">"="</definedName>
    <definedName name="csberuhazas_felujitas_Dim07">"="</definedName>
    <definedName name="csberuhazas_felujitas_Dim08">"="</definedName>
    <definedName name="csberuhazas_felujitas_Dim09">"="</definedName>
    <definedName name="csberuhazas_felujitas_Dim10">"="</definedName>
    <definedName name="csberuhazas_felujitas_Dim11">"="</definedName>
    <definedName name="csberuhazas_felujitas_Dim12">#REF!</definedName>
    <definedName name="csberuhazas_felujitasAnchor" localSheetId="13">#REF!</definedName>
    <definedName name="csberuhazas_felujitasAnchor" localSheetId="14">#REF!</definedName>
    <definedName name="csberuhazas_felujitasAnchor" localSheetId="15">#REF!</definedName>
    <definedName name="csberuhazas_felujitasAnchor" localSheetId="16">#REF!</definedName>
    <definedName name="csberuhazas_felujitasAnchor" localSheetId="17">#REF!</definedName>
    <definedName name="csberuhazas_felujitasAnchor" localSheetId="18">#REF!</definedName>
    <definedName name="csberuhazas_felujitasAnchor" localSheetId="19">#REF!</definedName>
    <definedName name="csberuhazas_felujitasAnchor" localSheetId="20">#REF!</definedName>
    <definedName name="csberuhazas_felujitasAnchor" localSheetId="21">#REF!</definedName>
    <definedName name="csberuhazas_felujitasAnchor" localSheetId="26">#REF!</definedName>
    <definedName name="csberuhazas_felujitasAnchor">#REF!</definedName>
    <definedName name="csBottyan_rendeleti_tabla_excel_Dim01">"="</definedName>
    <definedName name="csBottyan_rendeleti_tabla_excel_Dim02">"="</definedName>
    <definedName name="csBottyan_rendeleti_tabla_excel_Dim03">"="</definedName>
    <definedName name="csBottyan_rendeleti_tabla_excel_Dim04">"="</definedName>
    <definedName name="csBottyan_rendeleti_tabla_excel_Dim05">"="</definedName>
    <definedName name="csBottyan_rendeleti_tabla_excel_Dim06">"="</definedName>
    <definedName name="csBottyan_rendeleti_tabla_excel_Dim07">"="</definedName>
    <definedName name="csBottyan_rendeleti_tabla_excel_Dim08">"="</definedName>
    <definedName name="csBottyan_rendeleti_tabla_excel_Dim09">"="</definedName>
    <definedName name="csBottyan_rendeleti_tabla_excel_Dim10">"="</definedName>
    <definedName name="csBottyan_rendeleti_tabla_excel_Dim11">"="</definedName>
    <definedName name="csBottyan_rendeleti_tabla_excel_Dim12">"="</definedName>
    <definedName name="csceltartalekok_Dim01">"="</definedName>
    <definedName name="csceltartalekok_Dim02">"="</definedName>
    <definedName name="csceltartalekok_Dim03">"="</definedName>
    <definedName name="csceltartalekok_Dim04">"="</definedName>
    <definedName name="csceltartalekok_Dim05">"="</definedName>
    <definedName name="csceltartalekok_Dim06">"="</definedName>
    <definedName name="csceltartalekok_Dim07">"="</definedName>
    <definedName name="csceltartalekok_Dim08">"="</definedName>
    <definedName name="csceltartalekok_Dim09">"="</definedName>
    <definedName name="csceltartalekok_Dim10">"="</definedName>
    <definedName name="csceltartalekok_Dim11">"="</definedName>
    <definedName name="csceltartalekok_Dim12" localSheetId="26">#REF!</definedName>
    <definedName name="csceltartalekok_Dim12">#REF!</definedName>
    <definedName name="csceltartalekokAnchor" localSheetId="13">#REF!</definedName>
    <definedName name="csceltartalekokAnchor" localSheetId="14">#REF!</definedName>
    <definedName name="csceltartalekokAnchor" localSheetId="15">#REF!</definedName>
    <definedName name="csceltartalekokAnchor" localSheetId="16">#REF!</definedName>
    <definedName name="csceltartalekokAnchor" localSheetId="17">#REF!</definedName>
    <definedName name="csceltartalekokAnchor" localSheetId="18">#REF!</definedName>
    <definedName name="csceltartalekokAnchor" localSheetId="19">#REF!</definedName>
    <definedName name="csceltartalekokAnchor" localSheetId="20">#REF!</definedName>
    <definedName name="csceltartalekokAnchor" localSheetId="21">#REF!</definedName>
    <definedName name="csceltartalekokAnchor" localSheetId="26">#REF!</definedName>
    <definedName name="csceltartalekokAnchor">#REF!</definedName>
    <definedName name="csCigany_rendeleti_tabla_Dim01">"="</definedName>
    <definedName name="csCigany_rendeleti_tabla_Dim02">"="</definedName>
    <definedName name="csCigany_rendeleti_tabla_Dim03">"="</definedName>
    <definedName name="csCigany_rendeleti_tabla_Dim04">"="</definedName>
    <definedName name="csCigany_rendeleti_tabla_Dim05">"="</definedName>
    <definedName name="csCigany_rendeleti_tabla_Dim06">"="</definedName>
    <definedName name="csCigany_rendeleti_tabla_Dim07">"="</definedName>
    <definedName name="csCigany_rendeleti_tabla_Dim08">"="</definedName>
    <definedName name="csCigany_rendeleti_tabla_Dim09">"="</definedName>
    <definedName name="csCigany_rendeleti_tabla_Dim10">"="</definedName>
    <definedName name="csCigany_rendeleti_tabla_Dim11">"="</definedName>
    <definedName name="csCigany_rendeleti_tabla_Dim12">"="</definedName>
    <definedName name="csCigany_rendeleti_tablaAnchor" localSheetId="26">#REF!</definedName>
    <definedName name="csCigany_rendeleti_tablaAnchor">#REF!</definedName>
    <definedName name="csDesignMode">1</definedName>
    <definedName name="csDetailBudgetingURL">"FlFcBkFmGhGaD`@c@eEj@oFdFhEdAlAgEoE`@iAeBmBdDkAn@fDoEgFdCcEeEfAaEkEhAjEcBgFoDi@d@aAeGdCkCgAjCkA`DmEbAnDnAnBdDjEaCbDkDaGf@eEbAm@bDlDaE`GbBfBmDlAb@c"</definedName>
    <definedName name="csEotvos_gimn_rendeleti_tabla_excel_Dim01">"="</definedName>
    <definedName name="csEotvos_gimn_rendeleti_tabla_excel_Dim02">"="</definedName>
    <definedName name="csEotvos_gimn_rendeleti_tabla_excel_Dim03">"="</definedName>
    <definedName name="csEotvos_gimn_rendeleti_tabla_excel_Dim04">"="</definedName>
    <definedName name="csEotvos_gimn_rendeleti_tabla_excel_Dim05">"="</definedName>
    <definedName name="csEotvos_gimn_rendeleti_tabla_excel_Dim06">"="</definedName>
    <definedName name="csEotvos_gimn_rendeleti_tabla_excel_Dim07">"="</definedName>
    <definedName name="csEotvos_gimn_rendeleti_tabla_excel_Dim08">"="</definedName>
    <definedName name="csEotvos_gimn_rendeleti_tabla_excel_Dim09">"="</definedName>
    <definedName name="csEotvos_gimn_rendeleti_tabla_excel_Dim10">"="</definedName>
    <definedName name="csEotvos_gimn_rendeleti_tabla_excel_Dim11">"="</definedName>
    <definedName name="csEotvos_gimn_rendeleti_tabla_excel_Dim12">"="</definedName>
    <definedName name="csEotvos_szakkozep_rendeleti_tabla_excel_Dim01">"="</definedName>
    <definedName name="csEotvos_szakkozep_rendeleti_tabla_excel_Dim02">"="</definedName>
    <definedName name="csEotvos_szakkozep_rendeleti_tabla_excel_Dim03">"="</definedName>
    <definedName name="csEotvos_szakkozep_rendeleti_tabla_excel_Dim04">"="</definedName>
    <definedName name="csEotvos_szakkozep_rendeleti_tabla_excel_Dim05">"="</definedName>
    <definedName name="csEotvos_szakkozep_rendeleti_tabla_excel_Dim06">"="</definedName>
    <definedName name="csEotvos_szakkozep_rendeleti_tabla_excel_Dim07">"="</definedName>
    <definedName name="csEotvos_szakkozep_rendeleti_tabla_excel_Dim08">"="</definedName>
    <definedName name="csEotvos_szakkozep_rendeleti_tabla_excel_Dim09">"="</definedName>
    <definedName name="csEotvos_szakkozep_rendeleti_tabla_excel_Dim10">"="</definedName>
    <definedName name="csEotvos_szakkozep_rendeleti_tabla_excel_Dim11">"="</definedName>
    <definedName name="csEotvos_szakkozep_rendeleti_tabla_excel_Dim12">"="</definedName>
    <definedName name="csErkel_rendeleti_tabla_excel_Dim01">"="</definedName>
    <definedName name="csErkel_rendeleti_tabla_excel_Dim02">"="</definedName>
    <definedName name="csErkel_rendeleti_tabla_excel_Dim03">"="</definedName>
    <definedName name="csErkel_rendeleti_tabla_excel_Dim04">"="</definedName>
    <definedName name="csErkel_rendeleti_tabla_excel_Dim05">"="</definedName>
    <definedName name="csErkel_rendeleti_tabla_excel_Dim06">"="</definedName>
    <definedName name="csErkel_rendeleti_tabla_excel_Dim07">"="</definedName>
    <definedName name="csErkel_rendeleti_tabla_excel_Dim08">"="</definedName>
    <definedName name="csErkel_rendeleti_tabla_excel_Dim09">"="</definedName>
    <definedName name="csErkel_rendeleti_tabla_excel_Dim10">"="</definedName>
    <definedName name="csErkel_rendeleti_tabla_excel_Dim11">"="</definedName>
    <definedName name="csErkel_rendeleti_tabla_excel_Dim12">"="</definedName>
    <definedName name="csEsthajnal_rendeleti_tabla_excel_Dim01">"="</definedName>
    <definedName name="csEsthajnal_rendeleti_tabla_excel_Dim02">"="</definedName>
    <definedName name="csEsthajnal_rendeleti_tabla_excel_Dim03">"="</definedName>
    <definedName name="csEsthajnal_rendeleti_tabla_excel_Dim04">"="</definedName>
    <definedName name="csEsthajnal_rendeleti_tabla_excel_Dim05">"="</definedName>
    <definedName name="csEsthajnal_rendeleti_tabla_excel_Dim06">"="</definedName>
    <definedName name="csEsthajnal_rendeleti_tabla_excel_Dim07">"="</definedName>
    <definedName name="csEsthajnal_rendeleti_tabla_excel_Dim08">"="</definedName>
    <definedName name="csEsthajnal_rendeleti_tabla_excel_Dim09">"="</definedName>
    <definedName name="csEsthajnal_rendeleti_tabla_excel_Dim10">"="</definedName>
    <definedName name="csEsthajnal_rendeleti_tabla_excel_Dim11">"="</definedName>
    <definedName name="csEsthajnal_rendeleti_tabla_excel_Dim12">"="</definedName>
    <definedName name="csexcel_Cigany_rend_tabla_konc_Dim01">"="</definedName>
    <definedName name="csexcel_Cigany_rend_tabla_konc_Dim02">"="</definedName>
    <definedName name="csexcel_Cigany_rend_tabla_konc_Dim03">"="</definedName>
    <definedName name="csexcel_Cigany_rend_tabla_konc_Dim04">"="</definedName>
    <definedName name="csexcel_Cigany_rend_tabla_konc_Dim05">"="</definedName>
    <definedName name="csexcel_Cigany_rend_tabla_konc_Dim06">"="</definedName>
    <definedName name="csexcel_Cigany_rend_tabla_konc_Dim07">"="</definedName>
    <definedName name="csexcel_Cigany_rend_tabla_konc_Dim08">"="</definedName>
    <definedName name="csexcel_Cigany_rend_tabla_konc_Dim09">"="</definedName>
    <definedName name="csexcel_Cigany_rend_tabla_konc_Dim10">"="</definedName>
    <definedName name="csexcel_Cigany_rend_tabla_konc_Dim11">"="</definedName>
    <definedName name="csexcel_Cigany_rend_tabla_konc_Dim12">"="</definedName>
    <definedName name="csexcel_int_alapy_Dim01">"="</definedName>
    <definedName name="csexcel_int_alapy_Dim02">"="</definedName>
    <definedName name="csexcel_int_alapy_Dim03">"="</definedName>
    <definedName name="csexcel_int_alapy_Dim04">"="</definedName>
    <definedName name="csexcel_int_alapy_Dim05">"="</definedName>
    <definedName name="csexcel_int_alapy_Dim06">"="</definedName>
    <definedName name="csexcel_int_alapy_Dim07">"="</definedName>
    <definedName name="csexcel_int_alapy_Dim08">"="</definedName>
    <definedName name="csexcel_int_alapy_Dim09">"="</definedName>
    <definedName name="csexcel_int_alapy_Dim10">"="</definedName>
    <definedName name="csexcel_int_alapy_Dim11">"="</definedName>
    <definedName name="csexcel_int_alapy_Dim12">"="</definedName>
    <definedName name="csexcel_int_alapy_konc_Dim01">"="</definedName>
    <definedName name="csexcel_int_alapy_konc_Dim02">"="</definedName>
    <definedName name="csexcel_int_alapy_konc_Dim03">"="</definedName>
    <definedName name="csexcel_int_alapy_konc_Dim04">"="</definedName>
    <definedName name="csexcel_int_alapy_konc_Dim05">"="</definedName>
    <definedName name="csexcel_int_alapy_konc_Dim06">"="</definedName>
    <definedName name="csexcel_int_alapy_konc_Dim07">"="</definedName>
    <definedName name="csexcel_int_alapy_konc_Dim08">"="</definedName>
    <definedName name="csexcel_int_alapy_konc_Dim09">"="</definedName>
    <definedName name="csexcel_int_alapy_konc_Dim10">"="</definedName>
    <definedName name="csexcel_int_alapy_konc_Dim11">"="</definedName>
    <definedName name="csexcel_int_alapy_konc_Dim12">"="</definedName>
    <definedName name="csexcel_int_alapyAnchor">[1]Alapy!#REF!</definedName>
    <definedName name="csexcel_int_alt_spec_isk_Dim01">"="</definedName>
    <definedName name="csexcel_int_alt_spec_isk_Dim02">"="</definedName>
    <definedName name="csexcel_int_alt_spec_isk_Dim03">"="</definedName>
    <definedName name="csexcel_int_alt_spec_isk_Dim04">"="</definedName>
    <definedName name="csexcel_int_alt_spec_isk_Dim05">"="</definedName>
    <definedName name="csexcel_int_alt_spec_isk_Dim06">"="</definedName>
    <definedName name="csexcel_int_alt_spec_isk_Dim07">"="</definedName>
    <definedName name="csexcel_int_alt_spec_isk_Dim08">"="</definedName>
    <definedName name="csexcel_int_alt_spec_isk_Dim09">"="</definedName>
    <definedName name="csexcel_int_alt_spec_isk_Dim10">"="</definedName>
    <definedName name="csexcel_int_alt_spec_isk_Dim11">"="</definedName>
    <definedName name="csexcel_int_alt_spec_isk_Dim12">"="</definedName>
    <definedName name="csexcel_int_alt_spec_isk_konc_Dim01">"="</definedName>
    <definedName name="csexcel_int_alt_spec_isk_konc_Dim02">"="</definedName>
    <definedName name="csexcel_int_alt_spec_isk_konc_Dim03">"="</definedName>
    <definedName name="csexcel_int_alt_spec_isk_konc_Dim04">"="</definedName>
    <definedName name="csexcel_int_alt_spec_isk_konc_Dim05">"="</definedName>
    <definedName name="csexcel_int_alt_spec_isk_konc_Dim06">"="</definedName>
    <definedName name="csexcel_int_alt_spec_isk_konc_Dim07">"="</definedName>
    <definedName name="csexcel_int_alt_spec_isk_konc_Dim08">"="</definedName>
    <definedName name="csexcel_int_alt_spec_isk_konc_Dim09">"="</definedName>
    <definedName name="csexcel_int_alt_spec_isk_konc_Dim10">"="</definedName>
    <definedName name="csexcel_int_alt_spec_isk_konc_Dim11">"="</definedName>
    <definedName name="csexcel_int_alt_spec_isk_konc_Dim12">"="</definedName>
    <definedName name="csexcel_int_alt_spec_iskAnchor">'[1]Óvoda,Ált.spec.isk'!#REF!</definedName>
    <definedName name="csexcel_int_arany_janos_Dim01">"="</definedName>
    <definedName name="csexcel_int_arany_janos_Dim02">"="</definedName>
    <definedName name="csexcel_int_arany_janos_Dim03">"="</definedName>
    <definedName name="csexcel_int_arany_janos_Dim04">"="</definedName>
    <definedName name="csexcel_int_arany_janos_Dim05">"="</definedName>
    <definedName name="csexcel_int_arany_janos_Dim06">"="</definedName>
    <definedName name="csexcel_int_arany_janos_Dim07">"="</definedName>
    <definedName name="csexcel_int_arany_janos_Dim08">"="</definedName>
    <definedName name="csexcel_int_arany_janos_Dim09">"="</definedName>
    <definedName name="csexcel_int_arany_janos_Dim10">"="</definedName>
    <definedName name="csexcel_int_arany_janos_Dim11">"="</definedName>
    <definedName name="csexcel_int_arany_janos_Dim12">"="</definedName>
    <definedName name="csexcel_int_arany_janosAnchor">#REF!</definedName>
    <definedName name="csexcel_int_bottyan_Dim01">"="</definedName>
    <definedName name="csexcel_int_bottyan_Dim02">"="</definedName>
    <definedName name="csexcel_int_bottyan_Dim03">"="</definedName>
    <definedName name="csexcel_int_bottyan_Dim04">"="</definedName>
    <definedName name="csexcel_int_bottyan_Dim05">"="</definedName>
    <definedName name="csexcel_int_bottyan_Dim06">"="</definedName>
    <definedName name="csexcel_int_bottyan_Dim07">"="</definedName>
    <definedName name="csexcel_int_bottyan_Dim08">"="</definedName>
    <definedName name="csexcel_int_bottyan_Dim09">"="</definedName>
    <definedName name="csexcel_int_bottyan_Dim10">"="</definedName>
    <definedName name="csexcel_int_bottyan_Dim11">"="</definedName>
    <definedName name="csexcel_int_bottyan_Dim12">"="</definedName>
    <definedName name="csexcel_int_bottyan_konc_Dim01">"="</definedName>
    <definedName name="csexcel_int_bottyan_konc_Dim02">"="</definedName>
    <definedName name="csexcel_int_bottyan_konc_Dim03">"="</definedName>
    <definedName name="csexcel_int_bottyan_konc_Dim04">"="</definedName>
    <definedName name="csexcel_int_bottyan_konc_Dim05">"="</definedName>
    <definedName name="csexcel_int_bottyan_konc_Dim06">"="</definedName>
    <definedName name="csexcel_int_bottyan_konc_Dim07">"="</definedName>
    <definedName name="csexcel_int_bottyan_konc_Dim08">"="</definedName>
    <definedName name="csexcel_int_bottyan_konc_Dim09">"="</definedName>
    <definedName name="csexcel_int_bottyan_konc_Dim10">"="</definedName>
    <definedName name="csexcel_int_bottyan_konc_Dim11">"="</definedName>
    <definedName name="csexcel_int_bottyan_konc_Dim12">"="</definedName>
    <definedName name="csexcel_int_bottyan_koncAnchor">#REF!</definedName>
    <definedName name="csexcel_int_bottyanAnchor" localSheetId="13">#REF!</definedName>
    <definedName name="csexcel_int_bottyanAnchor" localSheetId="14">#REF!</definedName>
    <definedName name="csexcel_int_bottyanAnchor" localSheetId="15">#REF!</definedName>
    <definedName name="csexcel_int_bottyanAnchor" localSheetId="16">#REF!</definedName>
    <definedName name="csexcel_int_bottyanAnchor" localSheetId="17">#REF!</definedName>
    <definedName name="csexcel_int_bottyanAnchor" localSheetId="18">#REF!</definedName>
    <definedName name="csexcel_int_bottyanAnchor" localSheetId="19">#REF!</definedName>
    <definedName name="csexcel_int_bottyanAnchor" localSheetId="20">#REF!</definedName>
    <definedName name="csexcel_int_bottyanAnchor" localSheetId="21">#REF!</definedName>
    <definedName name="csexcel_int_bottyanAnchor" localSheetId="26">#REF!</definedName>
    <definedName name="csexcel_int_bottyanAnchor">#REF!</definedName>
    <definedName name="csexcel_int_eotvos_gimn_Dim01">"="</definedName>
    <definedName name="csexcel_int_eotvos_gimn_Dim02">"="</definedName>
    <definedName name="csexcel_int_eotvos_gimn_Dim03">"="</definedName>
    <definedName name="csexcel_int_eotvos_gimn_Dim04">"="</definedName>
    <definedName name="csexcel_int_eotvos_gimn_Dim05">"="</definedName>
    <definedName name="csexcel_int_eotvos_gimn_Dim06">"="</definedName>
    <definedName name="csexcel_int_eotvos_gimn_Dim07">"="</definedName>
    <definedName name="csexcel_int_eotvos_gimn_Dim08">"="</definedName>
    <definedName name="csexcel_int_eotvos_gimn_Dim09">"="</definedName>
    <definedName name="csexcel_int_eotvos_gimn_Dim10">"="</definedName>
    <definedName name="csexcel_int_eotvos_gimn_Dim11">"="</definedName>
    <definedName name="csexcel_int_eotvos_gimn_Dim12">"="</definedName>
    <definedName name="csexcel_int_eotvos_gimnAnchor" localSheetId="26">#REF!</definedName>
    <definedName name="csexcel_int_eotvos_gimnAnchor">#REF!</definedName>
    <definedName name="csexcel_int_eotvos_szakk_Dim01">"="</definedName>
    <definedName name="csexcel_int_eotvos_szakk_Dim02">"="</definedName>
    <definedName name="csexcel_int_eotvos_szakk_Dim03">"="</definedName>
    <definedName name="csexcel_int_eotvos_szakk_Dim04">"="</definedName>
    <definedName name="csexcel_int_eotvos_szakk_Dim05">"="</definedName>
    <definedName name="csexcel_int_eotvos_szakk_Dim06">"="</definedName>
    <definedName name="csexcel_int_eotvos_szakk_Dim07">"="</definedName>
    <definedName name="csexcel_int_eotvos_szakk_Dim08">"="</definedName>
    <definedName name="csexcel_int_eotvos_szakk_Dim09">"="</definedName>
    <definedName name="csexcel_int_eotvos_szakk_Dim10">"="</definedName>
    <definedName name="csexcel_int_eotvos_szakk_Dim11">"="</definedName>
    <definedName name="csexcel_int_eotvos_szakk_Dim12">"="</definedName>
    <definedName name="csexcel_int_eotvos_szakk_konc_Dim01">"="</definedName>
    <definedName name="csexcel_int_eotvos_szakk_konc_Dim02">"="</definedName>
    <definedName name="csexcel_int_eotvos_szakk_konc_Dim03">"="</definedName>
    <definedName name="csexcel_int_eotvos_szakk_konc_Dim04">"="</definedName>
    <definedName name="csexcel_int_eotvos_szakk_konc_Dim05">"="</definedName>
    <definedName name="csexcel_int_eotvos_szakk_konc_Dim06">"="</definedName>
    <definedName name="csexcel_int_eotvos_szakk_konc_Dim07">"="</definedName>
    <definedName name="csexcel_int_eotvos_szakk_konc_Dim08">"="</definedName>
    <definedName name="csexcel_int_eotvos_szakk_konc_Dim09">"="</definedName>
    <definedName name="csexcel_int_eotvos_szakk_konc_Dim10">"="</definedName>
    <definedName name="csexcel_int_eotvos_szakk_konc_Dim11">"="</definedName>
    <definedName name="csexcel_int_eotvos_szakk_konc_Dim12">"="</definedName>
    <definedName name="csexcel_int_eotvos_szakkAnchor" localSheetId="26">'[1]Eötvös Szakk.'!#REF!</definedName>
    <definedName name="csexcel_int_eotvos_szakkAnchor">'[1]Eötvös Szakk.'!#REF!</definedName>
    <definedName name="csexcel_int_erkel_Dim01">"="</definedName>
    <definedName name="csexcel_int_erkel_Dim02">"="</definedName>
    <definedName name="csexcel_int_erkel_Dim03">"="</definedName>
    <definedName name="csexcel_int_erkel_Dim04">"="</definedName>
    <definedName name="csexcel_int_erkel_Dim05">"="</definedName>
    <definedName name="csexcel_int_erkel_Dim06">"="</definedName>
    <definedName name="csexcel_int_erkel_Dim07">"="</definedName>
    <definedName name="csexcel_int_erkel_Dim08">"="</definedName>
    <definedName name="csexcel_int_erkel_Dim09">"="</definedName>
    <definedName name="csexcel_int_erkel_Dim10">"="</definedName>
    <definedName name="csexcel_int_erkel_Dim11">"="</definedName>
    <definedName name="csexcel_int_erkel_Dim12">"="</definedName>
    <definedName name="csexcel_int_erkel_konc_Dim01">"="</definedName>
    <definedName name="csexcel_int_erkel_konc_Dim02">"="</definedName>
    <definedName name="csexcel_int_erkel_konc_Dim03">"="</definedName>
    <definedName name="csexcel_int_erkel_konc_Dim04">"="</definedName>
    <definedName name="csexcel_int_erkel_konc_Dim05">"="</definedName>
    <definedName name="csexcel_int_erkel_konc_Dim06">"="</definedName>
    <definedName name="csexcel_int_erkel_konc_Dim07">"="</definedName>
    <definedName name="csexcel_int_erkel_konc_Dim08">"="</definedName>
    <definedName name="csexcel_int_erkel_konc_Dim09">"="</definedName>
    <definedName name="csexcel_int_erkel_konc_Dim10">"="</definedName>
    <definedName name="csexcel_int_erkel_konc_Dim11">"="</definedName>
    <definedName name="csexcel_int_erkel_konc_Dim12">"="</definedName>
    <definedName name="csexcel_int_erkelAnchor" localSheetId="26">[1]Erkel!#REF!</definedName>
    <definedName name="csexcel_int_erkelAnchor">[1]Erkel!#REF!</definedName>
    <definedName name="csexcel_int_esthajnal_Dim01">"="</definedName>
    <definedName name="csexcel_int_esthajnal_Dim02">"="</definedName>
    <definedName name="csexcel_int_esthajnal_Dim03">"="</definedName>
    <definedName name="csexcel_int_esthajnal_Dim04">"="</definedName>
    <definedName name="csexcel_int_esthajnal_Dim05">"="</definedName>
    <definedName name="csexcel_int_esthajnal_Dim06">"="</definedName>
    <definedName name="csexcel_int_esthajnal_Dim07">"="</definedName>
    <definedName name="csexcel_int_esthajnal_Dim08">"="</definedName>
    <definedName name="csexcel_int_esthajnal_Dim09">"="</definedName>
    <definedName name="csexcel_int_esthajnal_Dim10">"="</definedName>
    <definedName name="csexcel_int_esthajnal_Dim11">"="</definedName>
    <definedName name="csexcel_int_esthajnal_Dim12">"="</definedName>
    <definedName name="csexcel_int_esthajnalAnchor" localSheetId="26">#REF!</definedName>
    <definedName name="csexcel_int_esthajnalAnchor">#REF!</definedName>
    <definedName name="csexcel_int_feichtinger_Dim01">"="</definedName>
    <definedName name="csexcel_int_feichtinger_Dim02">"="</definedName>
    <definedName name="csexcel_int_feichtinger_Dim03">"="</definedName>
    <definedName name="csexcel_int_feichtinger_Dim04">"="</definedName>
    <definedName name="csexcel_int_feichtinger_Dim05">"="</definedName>
    <definedName name="csexcel_int_feichtinger_Dim06">"="</definedName>
    <definedName name="csexcel_int_feichtinger_Dim07">"="</definedName>
    <definedName name="csexcel_int_feichtinger_Dim08">"="</definedName>
    <definedName name="csexcel_int_feichtinger_Dim09">"="</definedName>
    <definedName name="csexcel_int_feichtinger_Dim10">"="</definedName>
    <definedName name="csexcel_int_feichtinger_Dim11">"="</definedName>
    <definedName name="csexcel_int_feichtinger_Dim12">"="</definedName>
    <definedName name="csexcel_int_feichtingerAnchor">#REF!</definedName>
    <definedName name="csexcel_int_fogy_o_tokodaltaro_Dim01">"="</definedName>
    <definedName name="csexcel_int_fogy_o_tokodaltaro_Dim02">"="</definedName>
    <definedName name="csexcel_int_fogy_o_tokodaltaro_Dim03">"="</definedName>
    <definedName name="csexcel_int_fogy_o_tokodaltaro_Dim04">"="</definedName>
    <definedName name="csexcel_int_fogy_o_tokodaltaro_Dim05">"="</definedName>
    <definedName name="csexcel_int_fogy_o_tokodaltaro_Dim06">"="</definedName>
    <definedName name="csexcel_int_fogy_o_tokodaltaro_Dim07">"="</definedName>
    <definedName name="csexcel_int_fogy_o_tokodaltaro_Dim08">"="</definedName>
    <definedName name="csexcel_int_fogy_o_tokodaltaro_Dim09">"="</definedName>
    <definedName name="csexcel_int_fogy_o_tokodaltaro_Dim10">"="</definedName>
    <definedName name="csexcel_int_fogy_o_tokodaltaro_Dim11">"="</definedName>
    <definedName name="csexcel_int_fogy_o_tokodaltaro_Dim12">"="</definedName>
    <definedName name="csexcel_int_fogy_o_tokodaltaroAnchor">#REF!</definedName>
    <definedName name="csexcel_int_geza_Dim01">"="</definedName>
    <definedName name="csexcel_int_geza_Dim02">"="</definedName>
    <definedName name="csexcel_int_geza_Dim03">"="</definedName>
    <definedName name="csexcel_int_geza_Dim04">"="</definedName>
    <definedName name="csexcel_int_geza_Dim05">"="</definedName>
    <definedName name="csexcel_int_geza_Dim06">"="</definedName>
    <definedName name="csexcel_int_geza_Dim07">"="</definedName>
    <definedName name="csexcel_int_geza_Dim08">"="</definedName>
    <definedName name="csexcel_int_geza_Dim09">"="</definedName>
    <definedName name="csexcel_int_geza_Dim10">"="</definedName>
    <definedName name="csexcel_int_geza_Dim11">"="</definedName>
    <definedName name="csexcel_int_geza_Dim12">"="</definedName>
    <definedName name="csexcel_int_geza_konc_Dim01">"="</definedName>
    <definedName name="csexcel_int_geza_konc_Dim02">"="</definedName>
    <definedName name="csexcel_int_geza_konc_Dim03">"="</definedName>
    <definedName name="csexcel_int_geza_konc_Dim04">"="</definedName>
    <definedName name="csexcel_int_geza_konc_Dim05">"="</definedName>
    <definedName name="csexcel_int_geza_konc_Dim06">"="</definedName>
    <definedName name="csexcel_int_geza_konc_Dim07">"="</definedName>
    <definedName name="csexcel_int_geza_konc_Dim08">"="</definedName>
    <definedName name="csexcel_int_geza_konc_Dim09">"="</definedName>
    <definedName name="csexcel_int_geza_konc_Dim10">"="</definedName>
    <definedName name="csexcel_int_geza_konc_Dim11">"="</definedName>
    <definedName name="csexcel_int_geza_konc_Dim12">"="</definedName>
    <definedName name="csexcel_int_gezaAnchor">[1]Géza!#REF!</definedName>
    <definedName name="csexcel_int_gyszgy_Dim01">"="</definedName>
    <definedName name="csexcel_int_gyszgy_Dim02">"="</definedName>
    <definedName name="csexcel_int_gyszgy_Dim03">"="</definedName>
    <definedName name="csexcel_int_gyszgy_Dim04">"="</definedName>
    <definedName name="csexcel_int_gyszgy_Dim05">"="</definedName>
    <definedName name="csexcel_int_gyszgy_Dim06">"="</definedName>
    <definedName name="csexcel_int_gyszgy_Dim07">"="</definedName>
    <definedName name="csexcel_int_gyszgy_Dim08">"="</definedName>
    <definedName name="csexcel_int_gyszgy_Dim09">"="</definedName>
    <definedName name="csexcel_int_gyszgy_Dim10">"="</definedName>
    <definedName name="csexcel_int_gyszgy_Dim11">"="</definedName>
    <definedName name="csexcel_int_gyszgy_Dim12">"="</definedName>
    <definedName name="csexcel_int_gyszgy_konc_Dim01">"="</definedName>
    <definedName name="csexcel_int_gyszgy_konc_Dim02">"="</definedName>
    <definedName name="csexcel_int_gyszgy_konc_Dim03">"="</definedName>
    <definedName name="csexcel_int_gyszgy_konc_Dim04">"="</definedName>
    <definedName name="csexcel_int_gyszgy_konc_Dim05">"="</definedName>
    <definedName name="csexcel_int_gyszgy_konc_Dim06">"="</definedName>
    <definedName name="csexcel_int_gyszgy_konc_Dim07">"="</definedName>
    <definedName name="csexcel_int_gyszgy_konc_Dim08">"="</definedName>
    <definedName name="csexcel_int_gyszgy_konc_Dim09">"="</definedName>
    <definedName name="csexcel_int_gyszgy_konc_Dim10">"="</definedName>
    <definedName name="csexcel_int_gyszgy_konc_Dim11">"="</definedName>
    <definedName name="csexcel_int_gyszgy_konc_Dim12">"="</definedName>
    <definedName name="csexcel_int_gyszgy_koncAnchor">#REF!</definedName>
    <definedName name="csexcel_int_gyszgyAnchor" localSheetId="13">#REF!</definedName>
    <definedName name="csexcel_int_gyszgyAnchor" localSheetId="14">#REF!</definedName>
    <definedName name="csexcel_int_gyszgyAnchor" localSheetId="15">#REF!</definedName>
    <definedName name="csexcel_int_gyszgyAnchor" localSheetId="16">#REF!</definedName>
    <definedName name="csexcel_int_gyszgyAnchor" localSheetId="17">#REF!</definedName>
    <definedName name="csexcel_int_gyszgyAnchor" localSheetId="18">#REF!</definedName>
    <definedName name="csexcel_int_gyszgyAnchor" localSheetId="19">#REF!</definedName>
    <definedName name="csexcel_int_gyszgyAnchor" localSheetId="20">#REF!</definedName>
    <definedName name="csexcel_int_gyszgyAnchor" localSheetId="21">#REF!</definedName>
    <definedName name="csexcel_int_gyszgyAnchor" localSheetId="26">#REF!</definedName>
    <definedName name="csexcel_int_gyszgyAnchor">#REF!</definedName>
    <definedName name="csexcel_int_hegyhati_Dim01">"="</definedName>
    <definedName name="csexcel_int_hegyhati_Dim02">"="</definedName>
    <definedName name="csexcel_int_hegyhati_Dim03">"="</definedName>
    <definedName name="csexcel_int_hegyhati_Dim04">"="</definedName>
    <definedName name="csexcel_int_hegyhati_Dim05">"="</definedName>
    <definedName name="csexcel_int_hegyhati_Dim06">"="</definedName>
    <definedName name="csexcel_int_hegyhati_Dim07">"="</definedName>
    <definedName name="csexcel_int_hegyhati_Dim08">"="</definedName>
    <definedName name="csexcel_int_hegyhati_Dim09">"="</definedName>
    <definedName name="csexcel_int_hegyhati_Dim10">"="</definedName>
    <definedName name="csexcel_int_hegyhati_Dim11">"="</definedName>
    <definedName name="csexcel_int_hegyhati_Dim12">"="</definedName>
    <definedName name="csexcel_int_hegyhati_konc_Dim01">"="</definedName>
    <definedName name="csexcel_int_hegyhati_konc_Dim02">"="</definedName>
    <definedName name="csexcel_int_hegyhati_konc_Dim03">"="</definedName>
    <definedName name="csexcel_int_hegyhati_konc_Dim04">"="</definedName>
    <definedName name="csexcel_int_hegyhati_konc_Dim05">"="</definedName>
    <definedName name="csexcel_int_hegyhati_konc_Dim06">"="</definedName>
    <definedName name="csexcel_int_hegyhati_konc_Dim07">"="</definedName>
    <definedName name="csexcel_int_hegyhati_konc_Dim08">"="</definedName>
    <definedName name="csexcel_int_hegyhati_konc_Dim09">"="</definedName>
    <definedName name="csexcel_int_hegyhati_konc_Dim10">"="</definedName>
    <definedName name="csexcel_int_hegyhati_konc_Dim11">"="</definedName>
    <definedName name="csexcel_int_hegyhati_konc_Dim12">"="</definedName>
    <definedName name="csexcel_int_hegyhati_koncAnchor" localSheetId="26">#REF!</definedName>
    <definedName name="csexcel_int_hegyhati_koncAnchor">#REF!</definedName>
    <definedName name="csexcel_int_hegyhatiAnchor" localSheetId="13">#REF!</definedName>
    <definedName name="csexcel_int_hegyhatiAnchor" localSheetId="14">#REF!</definedName>
    <definedName name="csexcel_int_hegyhatiAnchor" localSheetId="15">#REF!</definedName>
    <definedName name="csexcel_int_hegyhatiAnchor" localSheetId="16">#REF!</definedName>
    <definedName name="csexcel_int_hegyhatiAnchor" localSheetId="17">#REF!</definedName>
    <definedName name="csexcel_int_hegyhatiAnchor" localSheetId="18">#REF!</definedName>
    <definedName name="csexcel_int_hegyhatiAnchor" localSheetId="19">#REF!</definedName>
    <definedName name="csexcel_int_hegyhatiAnchor" localSheetId="20">#REF!</definedName>
    <definedName name="csexcel_int_hegyhatiAnchor" localSheetId="21">#REF!</definedName>
    <definedName name="csexcel_int_hegyhatiAnchor" localSheetId="26">#REF!</definedName>
    <definedName name="csexcel_int_hegyhatiAnchor">#REF!</definedName>
    <definedName name="csexcel_int_integralt_szoc_Dim01">"="</definedName>
    <definedName name="csexcel_int_integralt_szoc_Dim02">"="</definedName>
    <definedName name="csexcel_int_integralt_szoc_Dim03">"="</definedName>
    <definedName name="csexcel_int_integralt_szoc_Dim04">"="</definedName>
    <definedName name="csexcel_int_integralt_szoc_Dim05">"="</definedName>
    <definedName name="csexcel_int_integralt_szoc_Dim06">"="</definedName>
    <definedName name="csexcel_int_integralt_szoc_Dim07">"="</definedName>
    <definedName name="csexcel_int_integralt_szoc_Dim08">"="</definedName>
    <definedName name="csexcel_int_integralt_szoc_Dim09">"="</definedName>
    <definedName name="csexcel_int_integralt_szoc_Dim10">"="</definedName>
    <definedName name="csexcel_int_integralt_szoc_Dim11">"="</definedName>
    <definedName name="csexcel_int_integralt_szoc_Dim12">"="</definedName>
    <definedName name="csexcel_int_integralt_szoc_konc_Dim01">"="</definedName>
    <definedName name="csexcel_int_integralt_szoc_konc_Dim02">"="</definedName>
    <definedName name="csexcel_int_integralt_szoc_konc_Dim03">"="</definedName>
    <definedName name="csexcel_int_integralt_szoc_konc_Dim04">"="</definedName>
    <definedName name="csexcel_int_integralt_szoc_konc_Dim05">"="</definedName>
    <definedName name="csexcel_int_integralt_szoc_konc_Dim06">"="</definedName>
    <definedName name="csexcel_int_integralt_szoc_konc_Dim07">"="</definedName>
    <definedName name="csexcel_int_integralt_szoc_konc_Dim08">"="</definedName>
    <definedName name="csexcel_int_integralt_szoc_konc_Dim09">"="</definedName>
    <definedName name="csexcel_int_integralt_szoc_konc_Dim10">"="</definedName>
    <definedName name="csexcel_int_integralt_szoc_konc_Dim11">"="</definedName>
    <definedName name="csexcel_int_integralt_szoc_konc_Dim12">"="</definedName>
    <definedName name="csexcel_int_integralt_szocAnchor" localSheetId="26">'[1]Integrált szoc'!#REF!</definedName>
    <definedName name="csexcel_int_integralt_szocAnchor">'[1]Integrált szoc'!#REF!</definedName>
    <definedName name="csexcel_int_javorka_Dim01">"="</definedName>
    <definedName name="csexcel_int_javorka_Dim02">"="</definedName>
    <definedName name="csexcel_int_javorka_Dim03">"="</definedName>
    <definedName name="csexcel_int_javorka_Dim04">"="</definedName>
    <definedName name="csexcel_int_javorka_Dim05">"="</definedName>
    <definedName name="csexcel_int_javorka_Dim06">"="</definedName>
    <definedName name="csexcel_int_javorka_Dim07">"="</definedName>
    <definedName name="csexcel_int_javorka_Dim08">"="</definedName>
    <definedName name="csexcel_int_javorka_Dim09">"="</definedName>
    <definedName name="csexcel_int_javorka_Dim10">"="</definedName>
    <definedName name="csexcel_int_javorka_Dim11">"="</definedName>
    <definedName name="csexcel_int_javorka_Dim12">"="</definedName>
    <definedName name="csexcel_int_javorka_konc_Dim01">"="</definedName>
    <definedName name="csexcel_int_javorka_konc_Dim02">"="</definedName>
    <definedName name="csexcel_int_javorka_konc_Dim03">"="</definedName>
    <definedName name="csexcel_int_javorka_konc_Dim04">"="</definedName>
    <definedName name="csexcel_int_javorka_konc_Dim05">"="</definedName>
    <definedName name="csexcel_int_javorka_konc_Dim06">"="</definedName>
    <definedName name="csexcel_int_javorka_konc_Dim07">"="</definedName>
    <definedName name="csexcel_int_javorka_konc_Dim08">"="</definedName>
    <definedName name="csexcel_int_javorka_konc_Dim09">"="</definedName>
    <definedName name="csexcel_int_javorka_konc_Dim10">"="</definedName>
    <definedName name="csexcel_int_javorka_konc_Dim11">"="</definedName>
    <definedName name="csexcel_int_javorka_konc_Dim12">"="</definedName>
    <definedName name="csexcel_int_Javorka_rendeleti_tabla_Dim01">"="</definedName>
    <definedName name="csexcel_int_Javorka_rendeleti_tabla_Dim02">"="</definedName>
    <definedName name="csexcel_int_Javorka_rendeleti_tabla_Dim03">"="</definedName>
    <definedName name="csexcel_int_Javorka_rendeleti_tabla_Dim04">"="</definedName>
    <definedName name="csexcel_int_Javorka_rendeleti_tabla_Dim05">"="</definedName>
    <definedName name="csexcel_int_Javorka_rendeleti_tabla_Dim06">"="</definedName>
    <definedName name="csexcel_int_Javorka_rendeleti_tabla_Dim07">"="</definedName>
    <definedName name="csexcel_int_Javorka_rendeleti_tabla_Dim08">"="</definedName>
    <definedName name="csexcel_int_Javorka_rendeleti_tabla_Dim09">"="</definedName>
    <definedName name="csexcel_int_Javorka_rendeleti_tabla_Dim10">"="</definedName>
    <definedName name="csexcel_int_Javorka_rendeleti_tabla_Dim11">"="</definedName>
    <definedName name="csexcel_int_Javorka_rendeleti_tabla_Dim12">"="</definedName>
    <definedName name="csexcel_int_Javorka_rendeleti_tablaAnchor" localSheetId="26">#REF!</definedName>
    <definedName name="csexcel_int_Javorka_rendeleti_tablaAnchor">#REF!</definedName>
    <definedName name="csexcel_int_javorkaAnchor" localSheetId="26">[1]Jávorka!#REF!</definedName>
    <definedName name="csexcel_int_javorkaAnchor">[1]Jávorka!#REF!</definedName>
    <definedName name="csexcel_int_jokai_Dim01">"="</definedName>
    <definedName name="csexcel_int_jokai_Dim02">"="</definedName>
    <definedName name="csexcel_int_jokai_Dim03">"="</definedName>
    <definedName name="csexcel_int_jokai_Dim04">"="</definedName>
    <definedName name="csexcel_int_jokai_Dim05">"="</definedName>
    <definedName name="csexcel_int_jokai_Dim06">"="</definedName>
    <definedName name="csexcel_int_jokai_Dim07">"="</definedName>
    <definedName name="csexcel_int_jokai_Dim08">"="</definedName>
    <definedName name="csexcel_int_jokai_Dim09">"="</definedName>
    <definedName name="csexcel_int_jokai_Dim10">"="</definedName>
    <definedName name="csexcel_int_jokai_Dim11">"="</definedName>
    <definedName name="csexcel_int_jokai_Dim12">"="</definedName>
    <definedName name="csexcel_int_jokaiAnchor">#REF!</definedName>
    <definedName name="csexcel_int_konyvtar_Dim01">"="</definedName>
    <definedName name="csexcel_int_konyvtar_Dim02">"="</definedName>
    <definedName name="csexcel_int_konyvtar_Dim03">"="</definedName>
    <definedName name="csexcel_int_konyvtar_Dim04">"="</definedName>
    <definedName name="csexcel_int_konyvtar_Dim05">"="</definedName>
    <definedName name="csexcel_int_konyvtar_Dim06">"="</definedName>
    <definedName name="csexcel_int_konyvtar_Dim07">"="</definedName>
    <definedName name="csexcel_int_konyvtar_Dim08">"="</definedName>
    <definedName name="csexcel_int_konyvtar_Dim09">"="</definedName>
    <definedName name="csexcel_int_konyvtar_Dim10">"="</definedName>
    <definedName name="csexcel_int_konyvtar_Dim11">"="</definedName>
    <definedName name="csexcel_int_konyvtar_Dim12">"="</definedName>
    <definedName name="csexcel_int_konyvtar_konc_Dim01">"="</definedName>
    <definedName name="csexcel_int_konyvtar_konc_Dim02">"="</definedName>
    <definedName name="csexcel_int_konyvtar_konc_Dim03">"="</definedName>
    <definedName name="csexcel_int_konyvtar_konc_Dim04">"="</definedName>
    <definedName name="csexcel_int_konyvtar_konc_Dim05">"="</definedName>
    <definedName name="csexcel_int_konyvtar_konc_Dim06">"="</definedName>
    <definedName name="csexcel_int_konyvtar_konc_Dim07">"="</definedName>
    <definedName name="csexcel_int_konyvtar_konc_Dim08">"="</definedName>
    <definedName name="csexcel_int_konyvtar_konc_Dim09">"="</definedName>
    <definedName name="csexcel_int_konyvtar_konc_Dim10">"="</definedName>
    <definedName name="csexcel_int_konyvtar_konc_Dim11">"="</definedName>
    <definedName name="csexcel_int_konyvtar_konc_Dim12">"="</definedName>
    <definedName name="csexcel_int_konyvtarAnchor">[1]Könyvtár!#REF!</definedName>
    <definedName name="csexcel_int_korhaz_Dim01">"="</definedName>
    <definedName name="csexcel_int_korhaz_Dim02">"="</definedName>
    <definedName name="csexcel_int_korhaz_Dim03">"="</definedName>
    <definedName name="csexcel_int_korhaz_Dim04">"="</definedName>
    <definedName name="csexcel_int_korhaz_Dim05">"="</definedName>
    <definedName name="csexcel_int_korhaz_Dim06">"="</definedName>
    <definedName name="csexcel_int_korhaz_Dim07">"="</definedName>
    <definedName name="csexcel_int_korhaz_Dim08">"="</definedName>
    <definedName name="csexcel_int_korhaz_Dim09">"="</definedName>
    <definedName name="csexcel_int_korhaz_Dim10">"="</definedName>
    <definedName name="csexcel_int_korhaz_Dim11">"="</definedName>
    <definedName name="csexcel_int_korhaz_Dim12">"="</definedName>
    <definedName name="csexcel_int_korhaz_konc_Dim01">"="</definedName>
    <definedName name="csexcel_int_korhaz_konc_Dim02">"="</definedName>
    <definedName name="csexcel_int_korhaz_konc_Dim03">"="</definedName>
    <definedName name="csexcel_int_korhaz_konc_Dim04">"="</definedName>
    <definedName name="csexcel_int_korhaz_konc_Dim05">"="</definedName>
    <definedName name="csexcel_int_korhaz_konc_Dim06">"="</definedName>
    <definedName name="csexcel_int_korhaz_konc_Dim07">"="</definedName>
    <definedName name="csexcel_int_korhaz_konc_Dim08">"="</definedName>
    <definedName name="csexcel_int_korhaz_konc_Dim09">"="</definedName>
    <definedName name="csexcel_int_korhaz_konc_Dim10">"="</definedName>
    <definedName name="csexcel_int_korhaz_konc_Dim11">"="</definedName>
    <definedName name="csexcel_int_korhaz_konc_Dim12">"="</definedName>
    <definedName name="csexcel_int_korhazAnchor">[1]Kórház!#REF!</definedName>
    <definedName name="csexcel_int_kozepfoku_koll_Dim01">"="</definedName>
    <definedName name="csexcel_int_kozepfoku_koll_Dim02">"="</definedName>
    <definedName name="csexcel_int_kozepfoku_koll_Dim03">"="</definedName>
    <definedName name="csexcel_int_kozepfoku_koll_Dim04">"="</definedName>
    <definedName name="csexcel_int_kozepfoku_koll_Dim05">"="</definedName>
    <definedName name="csexcel_int_kozepfoku_koll_Dim06">"="</definedName>
    <definedName name="csexcel_int_kozepfoku_koll_Dim07">"="</definedName>
    <definedName name="csexcel_int_kozepfoku_koll_Dim08">"="</definedName>
    <definedName name="csexcel_int_kozepfoku_koll_Dim09">"="</definedName>
    <definedName name="csexcel_int_kozepfoku_koll_Dim10">"="</definedName>
    <definedName name="csexcel_int_kozepfoku_koll_Dim11">"="</definedName>
    <definedName name="csexcel_int_kozepfoku_koll_Dim12">"="</definedName>
    <definedName name="csexcel_int_kozepfoku_koll_konc_Dim01">"="</definedName>
    <definedName name="csexcel_int_kozepfoku_koll_konc_Dim02">"="</definedName>
    <definedName name="csexcel_int_kozepfoku_koll_konc_Dim03">"="</definedName>
    <definedName name="csexcel_int_kozepfoku_koll_konc_Dim04">"="</definedName>
    <definedName name="csexcel_int_kozepfoku_koll_konc_Dim05">"="</definedName>
    <definedName name="csexcel_int_kozepfoku_koll_konc_Dim06">"="</definedName>
    <definedName name="csexcel_int_kozepfoku_koll_konc_Dim07">"="</definedName>
    <definedName name="csexcel_int_kozepfoku_koll_konc_Dim08">"="</definedName>
    <definedName name="csexcel_int_kozepfoku_koll_konc_Dim09">"="</definedName>
    <definedName name="csexcel_int_kozepfoku_koll_konc_Dim10">"="</definedName>
    <definedName name="csexcel_int_kozepfoku_koll_konc_Dim11">"="</definedName>
    <definedName name="csexcel_int_kozepfoku_koll_konc_Dim12">"="</definedName>
    <definedName name="csexcel_int_kozepfoku_koll_koncAnchor">#REF!</definedName>
    <definedName name="csexcel_int_kozepfoku_kollAnchor" localSheetId="13">#REF!</definedName>
    <definedName name="csexcel_int_kozepfoku_kollAnchor" localSheetId="14">#REF!</definedName>
    <definedName name="csexcel_int_kozepfoku_kollAnchor" localSheetId="15">#REF!</definedName>
    <definedName name="csexcel_int_kozepfoku_kollAnchor" localSheetId="16">#REF!</definedName>
    <definedName name="csexcel_int_kozepfoku_kollAnchor" localSheetId="17">#REF!</definedName>
    <definedName name="csexcel_int_kozepfoku_kollAnchor" localSheetId="18">#REF!</definedName>
    <definedName name="csexcel_int_kozepfoku_kollAnchor" localSheetId="19">#REF!</definedName>
    <definedName name="csexcel_int_kozepfoku_kollAnchor" localSheetId="20">#REF!</definedName>
    <definedName name="csexcel_int_kozepfoku_kollAnchor" localSheetId="21">#REF!</definedName>
    <definedName name="csexcel_int_kozepfoku_kollAnchor" localSheetId="26">#REF!</definedName>
    <definedName name="csexcel_int_kozepfoku_kollAnchor">#REF!</definedName>
    <definedName name="csexcel_int_kultsar_Dim01">"="</definedName>
    <definedName name="csexcel_int_kultsar_Dim02">"="</definedName>
    <definedName name="csexcel_int_kultsar_Dim03">"="</definedName>
    <definedName name="csexcel_int_kultsar_Dim04">"="</definedName>
    <definedName name="csexcel_int_kultsar_Dim05">"="</definedName>
    <definedName name="csexcel_int_kultsar_Dim06">"="</definedName>
    <definedName name="csexcel_int_kultsar_Dim07">"="</definedName>
    <definedName name="csexcel_int_kultsar_Dim08">"="</definedName>
    <definedName name="csexcel_int_kultsar_Dim09">"="</definedName>
    <definedName name="csexcel_int_kultsar_Dim10">"="</definedName>
    <definedName name="csexcel_int_kultsar_Dim11">"="</definedName>
    <definedName name="csexcel_int_kultsar_Dim12">"="</definedName>
    <definedName name="csexcel_int_kultsar_konc_Dim01">"="</definedName>
    <definedName name="csexcel_int_kultsar_konc_Dim02">"="</definedName>
    <definedName name="csexcel_int_kultsar_konc_Dim03">"="</definedName>
    <definedName name="csexcel_int_kultsar_konc_Dim04">"="</definedName>
    <definedName name="csexcel_int_kultsar_konc_Dim05">"="</definedName>
    <definedName name="csexcel_int_kultsar_konc_Dim06">"="</definedName>
    <definedName name="csexcel_int_kultsar_konc_Dim07">"="</definedName>
    <definedName name="csexcel_int_kultsar_konc_Dim08">"="</definedName>
    <definedName name="csexcel_int_kultsar_konc_Dim09">"="</definedName>
    <definedName name="csexcel_int_kultsar_konc_Dim10">"="</definedName>
    <definedName name="csexcel_int_kultsar_konc_Dim11">"="</definedName>
    <definedName name="csexcel_int_kultsar_konc_Dim12">"="</definedName>
    <definedName name="csexcel_int_kultsarAnchor" localSheetId="26">[1]Kultsar!#REF!</definedName>
    <definedName name="csexcel_int_kultsarAnchor">[1]Kultsar!#REF!</definedName>
    <definedName name="csexcel_int_leveltar_Dim01">"="</definedName>
    <definedName name="csexcel_int_leveltar_Dim02">"="</definedName>
    <definedName name="csexcel_int_leveltar_Dim03">"="</definedName>
    <definedName name="csexcel_int_leveltar_Dim04">"="</definedName>
    <definedName name="csexcel_int_leveltar_Dim05">"="</definedName>
    <definedName name="csexcel_int_leveltar_Dim06">"="</definedName>
    <definedName name="csexcel_int_leveltar_Dim07">"="</definedName>
    <definedName name="csexcel_int_leveltar_Dim08">"="</definedName>
    <definedName name="csexcel_int_leveltar_Dim09">"="</definedName>
    <definedName name="csexcel_int_leveltar_Dim10">"="</definedName>
    <definedName name="csexcel_int_leveltar_Dim11">"="</definedName>
    <definedName name="csexcel_int_leveltar_Dim12">"="</definedName>
    <definedName name="csexcel_int_leveltar_konc_Dim01">"="</definedName>
    <definedName name="csexcel_int_leveltar_konc_Dim02">"="</definedName>
    <definedName name="csexcel_int_leveltar_konc_Dim03">"="</definedName>
    <definedName name="csexcel_int_leveltar_konc_Dim04">"="</definedName>
    <definedName name="csexcel_int_leveltar_konc_Dim05">"="</definedName>
    <definedName name="csexcel_int_leveltar_konc_Dim06">"="</definedName>
    <definedName name="csexcel_int_leveltar_konc_Dim07">"="</definedName>
    <definedName name="csexcel_int_leveltar_konc_Dim08">"="</definedName>
    <definedName name="csexcel_int_leveltar_konc_Dim09">"="</definedName>
    <definedName name="csexcel_int_leveltar_konc_Dim10">"="</definedName>
    <definedName name="csexcel_int_leveltar_konc_Dim11">"="</definedName>
    <definedName name="csexcel_int_leveltar_konc_Dim12">"="</definedName>
    <definedName name="csexcel_int_leveltarAnchor" localSheetId="26">[1]Levéltár!#REF!</definedName>
    <definedName name="csexcel_int_leveltarAnchor">[1]Levéltár!#REF!</definedName>
    <definedName name="csexcel_int_meri_Dim01">"="</definedName>
    <definedName name="csexcel_int_meri_Dim02">"="</definedName>
    <definedName name="csexcel_int_meri_Dim03">"="</definedName>
    <definedName name="csexcel_int_meri_Dim04">"="</definedName>
    <definedName name="csexcel_int_meri_Dim05">"="</definedName>
    <definedName name="csexcel_int_meri_Dim06">"="</definedName>
    <definedName name="csexcel_int_meri_Dim07">"="</definedName>
    <definedName name="csexcel_int_meri_Dim08">"="</definedName>
    <definedName name="csexcel_int_meri_Dim09">"="</definedName>
    <definedName name="csexcel_int_meri_Dim10">"="</definedName>
    <definedName name="csexcel_int_meri_Dim11">"="</definedName>
    <definedName name="csexcel_int_meri_Dim12">"="</definedName>
    <definedName name="csexcel_int_meri_konc_Dim01">"="</definedName>
    <definedName name="csexcel_int_meri_konc_Dim02">"="</definedName>
    <definedName name="csexcel_int_meri_konc_Dim03">"="</definedName>
    <definedName name="csexcel_int_meri_konc_Dim04">"="</definedName>
    <definedName name="csexcel_int_meri_konc_Dim05">"="</definedName>
    <definedName name="csexcel_int_meri_konc_Dim06">"="</definedName>
    <definedName name="csexcel_int_meri_konc_Dim07">"="</definedName>
    <definedName name="csexcel_int_meri_konc_Dim08">"="</definedName>
    <definedName name="csexcel_int_meri_konc_Dim09">"="</definedName>
    <definedName name="csexcel_int_meri_konc_Dim10">"="</definedName>
    <definedName name="csexcel_int_meri_konc_Dim11">"="</definedName>
    <definedName name="csexcel_int_meri_konc_Dim12">"="</definedName>
    <definedName name="csexcel_int_meriAnchor" localSheetId="26">[1]MERI!#REF!</definedName>
    <definedName name="csexcel_int_meriAnchor">[1]MERI!#REF!</definedName>
    <definedName name="csexcel_int_mora_Dim01">"="</definedName>
    <definedName name="csexcel_int_mora_Dim02">"="</definedName>
    <definedName name="csexcel_int_mora_Dim03">"="</definedName>
    <definedName name="csexcel_int_mora_Dim04">"="</definedName>
    <definedName name="csexcel_int_mora_Dim05">"="</definedName>
    <definedName name="csexcel_int_mora_Dim06">"="</definedName>
    <definedName name="csexcel_int_mora_Dim07">"="</definedName>
    <definedName name="csexcel_int_mora_Dim08">"="</definedName>
    <definedName name="csexcel_int_mora_Dim09">"="</definedName>
    <definedName name="csexcel_int_mora_Dim10">"="</definedName>
    <definedName name="csexcel_int_mora_Dim11">"="</definedName>
    <definedName name="csexcel_int_mora_Dim12">"="</definedName>
    <definedName name="csexcel_int_mora_konc_Dim01">"="</definedName>
    <definedName name="csexcel_int_mora_konc_Dim02">"="</definedName>
    <definedName name="csexcel_int_mora_konc_Dim03">"="</definedName>
    <definedName name="csexcel_int_mora_konc_Dim04">"="</definedName>
    <definedName name="csexcel_int_mora_konc_Dim05">"="</definedName>
    <definedName name="csexcel_int_mora_konc_Dim06">"="</definedName>
    <definedName name="csexcel_int_mora_konc_Dim07">"="</definedName>
    <definedName name="csexcel_int_mora_konc_Dim08">"="</definedName>
    <definedName name="csexcel_int_mora_konc_Dim09">"="</definedName>
    <definedName name="csexcel_int_mora_konc_Dim10">"="</definedName>
    <definedName name="csexcel_int_mora_konc_Dim11">"="</definedName>
    <definedName name="csexcel_int_mora_konc_Dim12">"="</definedName>
    <definedName name="csexcel_int_mora_koncAnchor">#REF!</definedName>
    <definedName name="csexcel_int_moraAnchor" localSheetId="13">#REF!</definedName>
    <definedName name="csexcel_int_moraAnchor" localSheetId="14">#REF!</definedName>
    <definedName name="csexcel_int_moraAnchor" localSheetId="15">#REF!</definedName>
    <definedName name="csexcel_int_moraAnchor" localSheetId="16">#REF!</definedName>
    <definedName name="csexcel_int_moraAnchor" localSheetId="17">#REF!</definedName>
    <definedName name="csexcel_int_moraAnchor" localSheetId="18">#REF!</definedName>
    <definedName name="csexcel_int_moraAnchor" localSheetId="19">#REF!</definedName>
    <definedName name="csexcel_int_moraAnchor" localSheetId="20">#REF!</definedName>
    <definedName name="csexcel_int_moraAnchor" localSheetId="21">#REF!</definedName>
    <definedName name="csexcel_int_moraAnchor" localSheetId="26">#REF!</definedName>
    <definedName name="csexcel_int_moraAnchor">#REF!</definedName>
    <definedName name="csexcel_int_muzeum_Dim01">"="</definedName>
    <definedName name="csexcel_int_muzeum_Dim02">"="</definedName>
    <definedName name="csexcel_int_muzeum_Dim03">"="</definedName>
    <definedName name="csexcel_int_muzeum_Dim04">"="</definedName>
    <definedName name="csexcel_int_muzeum_Dim05">"="</definedName>
    <definedName name="csexcel_int_muzeum_Dim06">"="</definedName>
    <definedName name="csexcel_int_muzeum_Dim07">"="</definedName>
    <definedName name="csexcel_int_muzeum_Dim08">"="</definedName>
    <definedName name="csexcel_int_muzeum_Dim09">"="</definedName>
    <definedName name="csexcel_int_muzeum_Dim10">"="</definedName>
    <definedName name="csexcel_int_muzeum_Dim11">"="</definedName>
    <definedName name="csexcel_int_muzeum_Dim12">"="</definedName>
    <definedName name="csexcel_int_muzeum_konc_Dim01">"="</definedName>
    <definedName name="csexcel_int_muzeum_konc_Dim02">"="</definedName>
    <definedName name="csexcel_int_muzeum_konc_Dim03">"="</definedName>
    <definedName name="csexcel_int_muzeum_konc_Dim04">"="</definedName>
    <definedName name="csexcel_int_muzeum_konc_Dim05">"="</definedName>
    <definedName name="csexcel_int_muzeum_konc_Dim06">"="</definedName>
    <definedName name="csexcel_int_muzeum_konc_Dim07">"="</definedName>
    <definedName name="csexcel_int_muzeum_konc_Dim08">"="</definedName>
    <definedName name="csexcel_int_muzeum_konc_Dim09">"="</definedName>
    <definedName name="csexcel_int_muzeum_konc_Dim10">"="</definedName>
    <definedName name="csexcel_int_muzeum_konc_Dim11">"="</definedName>
    <definedName name="csexcel_int_muzeum_konc_Dim12">"="</definedName>
    <definedName name="csexcel_int_muzeumAnchor" localSheetId="26">[1]Múzeum!#REF!</definedName>
    <definedName name="csexcel_int_muzeumAnchor">[1]Múzeum!#REF!</definedName>
    <definedName name="csexcel_int_pedagogiai_gyermekved_szaksz_konc_Dim01">"="</definedName>
    <definedName name="csexcel_int_pedagogiai_gyermekved_szaksz_konc_Dim02">"="</definedName>
    <definedName name="csexcel_int_pedagogiai_gyermekved_szaksz_konc_Dim03">"="</definedName>
    <definedName name="csexcel_int_pedagogiai_gyermekved_szaksz_konc_Dim04">"="</definedName>
    <definedName name="csexcel_int_pedagogiai_gyermekved_szaksz_konc_Dim05">"="</definedName>
    <definedName name="csexcel_int_pedagogiai_gyermekved_szaksz_konc_Dim06">"="</definedName>
    <definedName name="csexcel_int_pedagogiai_gyermekved_szaksz_konc_Dim07">"="</definedName>
    <definedName name="csexcel_int_pedagogiai_gyermekved_szaksz_konc_Dim08">"="</definedName>
    <definedName name="csexcel_int_pedagogiai_gyermekved_szaksz_konc_Dim09">"="</definedName>
    <definedName name="csexcel_int_pedagogiai_gyermekved_szaksz_konc_Dim10">"="</definedName>
    <definedName name="csexcel_int_pedagogiai_gyermekved_szaksz_konc_Dim11">"="</definedName>
    <definedName name="csexcel_int_pedagogiai_gyermekved_szaksz_konc_Dim12">"="</definedName>
    <definedName name="csexcel_int_pszichiatria_Dim01">"="</definedName>
    <definedName name="csexcel_int_pszichiatria_Dim02">"="</definedName>
    <definedName name="csexcel_int_pszichiatria_Dim03">"="</definedName>
    <definedName name="csexcel_int_pszichiatria_Dim04">"="</definedName>
    <definedName name="csexcel_int_pszichiatria_Dim05">"="</definedName>
    <definedName name="csexcel_int_pszichiatria_Dim06">"="</definedName>
    <definedName name="csexcel_int_pszichiatria_Dim07">"="</definedName>
    <definedName name="csexcel_int_pszichiatria_Dim08">"="</definedName>
    <definedName name="csexcel_int_pszichiatria_Dim09">"="</definedName>
    <definedName name="csexcel_int_pszichiatria_Dim10">"="</definedName>
    <definedName name="csexcel_int_pszichiatria_Dim11">"="</definedName>
    <definedName name="csexcel_int_pszichiatria_Dim12">"="</definedName>
    <definedName name="csexcel_int_pszichiatriaAnchor" localSheetId="26">#REF!</definedName>
    <definedName name="csexcel_int_pszichiatriaAnchor">#REF!</definedName>
    <definedName name="csexcel_int_szabolcsi_Dim01">"="</definedName>
    <definedName name="csexcel_int_szabolcsi_Dim02">"="</definedName>
    <definedName name="csexcel_int_szabolcsi_Dim03">"="</definedName>
    <definedName name="csexcel_int_szabolcsi_Dim04">"="</definedName>
    <definedName name="csexcel_int_szabolcsi_Dim05">"="</definedName>
    <definedName name="csexcel_int_szabolcsi_Dim06">"="</definedName>
    <definedName name="csexcel_int_szabolcsi_Dim07">"="</definedName>
    <definedName name="csexcel_int_szabolcsi_Dim08">"="</definedName>
    <definedName name="csexcel_int_szabolcsi_Dim09">"="</definedName>
    <definedName name="csexcel_int_szabolcsi_Dim10">"="</definedName>
    <definedName name="csexcel_int_szabolcsi_Dim11">"="</definedName>
    <definedName name="csexcel_int_szabolcsi_Dim12">"="</definedName>
    <definedName name="csexcel_int_szabolcsi_konc_Dim01">"="</definedName>
    <definedName name="csexcel_int_szabolcsi_konc_Dim02">"="</definedName>
    <definedName name="csexcel_int_szabolcsi_konc_Dim03">"="</definedName>
    <definedName name="csexcel_int_szabolcsi_konc_Dim04">"="</definedName>
    <definedName name="csexcel_int_szabolcsi_konc_Dim05">"="</definedName>
    <definedName name="csexcel_int_szabolcsi_konc_Dim06">"="</definedName>
    <definedName name="csexcel_int_szabolcsi_konc_Dim07">"="</definedName>
    <definedName name="csexcel_int_szabolcsi_konc_Dim08">"="</definedName>
    <definedName name="csexcel_int_szabolcsi_konc_Dim09">"="</definedName>
    <definedName name="csexcel_int_szabolcsi_konc_Dim10">"="</definedName>
    <definedName name="csexcel_int_szabolcsi_konc_Dim11">"="</definedName>
    <definedName name="csexcel_int_szabolcsi_konc_Dim12">"="</definedName>
    <definedName name="csexcel_int_szabolcsi_koncAnchor">#REF!</definedName>
    <definedName name="csexcel_int_szabolcsiAnchor" localSheetId="13">#REF!</definedName>
    <definedName name="csexcel_int_szabolcsiAnchor" localSheetId="14">#REF!</definedName>
    <definedName name="csexcel_int_szabolcsiAnchor" localSheetId="15">#REF!</definedName>
    <definedName name="csexcel_int_szabolcsiAnchor" localSheetId="16">#REF!</definedName>
    <definedName name="csexcel_int_szabolcsiAnchor" localSheetId="17">#REF!</definedName>
    <definedName name="csexcel_int_szabolcsiAnchor" localSheetId="18">#REF!</definedName>
    <definedName name="csexcel_int_szabolcsiAnchor" localSheetId="19">#REF!</definedName>
    <definedName name="csexcel_int_szabolcsiAnchor" localSheetId="20">#REF!</definedName>
    <definedName name="csexcel_int_szabolcsiAnchor" localSheetId="21">#REF!</definedName>
    <definedName name="csexcel_int_szabolcsiAnchor" localSheetId="26">#REF!</definedName>
    <definedName name="csexcel_int_szabolcsiAnchor">#REF!</definedName>
    <definedName name="csexcel_int_szakertoi_nev_konc_Dim01">"="</definedName>
    <definedName name="csexcel_int_szakertoi_nev_konc_Dim02">"="</definedName>
    <definedName name="csexcel_int_szakertoi_nev_konc_Dim03">"="</definedName>
    <definedName name="csexcel_int_szakertoi_nev_konc_Dim04">"="</definedName>
    <definedName name="csexcel_int_szakertoi_nev_konc_Dim05">"="</definedName>
    <definedName name="csexcel_int_szakertoi_nev_konc_Dim06">"="</definedName>
    <definedName name="csexcel_int_szakertoi_nev_konc_Dim07">"="</definedName>
    <definedName name="csexcel_int_szakertoi_nev_konc_Dim08">"="</definedName>
    <definedName name="csexcel_int_szakertoi_nev_konc_Dim09">"="</definedName>
    <definedName name="csexcel_int_szakertoi_nev_konc_Dim10">"="</definedName>
    <definedName name="csexcel_int_szakertoi_nev_konc_Dim11">"="</definedName>
    <definedName name="csexcel_int_szakertoi_nev_konc_Dim12">"="</definedName>
    <definedName name="csexcel_int_szakertoi_nev_koncAnchor" localSheetId="26">#REF!</definedName>
    <definedName name="csexcel_int_szakertoi_nev_koncAnchor">#REF!</definedName>
    <definedName name="csexcel_int_szakertoi_nev_tan_Dim01">"="</definedName>
    <definedName name="csexcel_int_szakertoi_nev_tan_Dim02">"="</definedName>
    <definedName name="csexcel_int_szakertoi_nev_tan_Dim03">"="</definedName>
    <definedName name="csexcel_int_szakertoi_nev_tan_Dim04">"="</definedName>
    <definedName name="csexcel_int_szakertoi_nev_tan_Dim05">"="</definedName>
    <definedName name="csexcel_int_szakertoi_nev_tan_Dim06">"="</definedName>
    <definedName name="csexcel_int_szakertoi_nev_tan_Dim07">"="</definedName>
    <definedName name="csexcel_int_szakertoi_nev_tan_Dim08">"="</definedName>
    <definedName name="csexcel_int_szakertoi_nev_tan_Dim09">"="</definedName>
    <definedName name="csexcel_int_szakertoi_nev_tan_Dim10">"="</definedName>
    <definedName name="csexcel_int_szakertoi_nev_tan_Dim11">"="</definedName>
    <definedName name="csexcel_int_szakertoi_nev_tan_Dim12">"="</definedName>
    <definedName name="csexcel_int_szakertoi_nev_tanAnchor">#REF!</definedName>
    <definedName name="csexcel_int_szechenyi_Dim01">"="</definedName>
    <definedName name="csexcel_int_szechenyi_Dim02">"="</definedName>
    <definedName name="csexcel_int_szechenyi_Dim03">"="</definedName>
    <definedName name="csexcel_int_szechenyi_Dim04">"="</definedName>
    <definedName name="csexcel_int_szechenyi_Dim05">"="</definedName>
    <definedName name="csexcel_int_szechenyi_Dim06">"="</definedName>
    <definedName name="csexcel_int_szechenyi_Dim07">"="</definedName>
    <definedName name="csexcel_int_szechenyi_Dim08">"="</definedName>
    <definedName name="csexcel_int_szechenyi_Dim09">"="</definedName>
    <definedName name="csexcel_int_szechenyi_Dim10">"="</definedName>
    <definedName name="csexcel_int_szechenyi_Dim11">"="</definedName>
    <definedName name="csexcel_int_szechenyi_Dim12">"="</definedName>
    <definedName name="csexcel_int_szechenyi_konc_Dim01">"="</definedName>
    <definedName name="csexcel_int_szechenyi_konc_Dim02">"="</definedName>
    <definedName name="csexcel_int_szechenyi_konc_Dim03">"="</definedName>
    <definedName name="csexcel_int_szechenyi_konc_Dim04">"="</definedName>
    <definedName name="csexcel_int_szechenyi_konc_Dim05">"="</definedName>
    <definedName name="csexcel_int_szechenyi_konc_Dim06">"="</definedName>
    <definedName name="csexcel_int_szechenyi_konc_Dim07">"="</definedName>
    <definedName name="csexcel_int_szechenyi_konc_Dim08">"="</definedName>
    <definedName name="csexcel_int_szechenyi_konc_Dim09">"="</definedName>
    <definedName name="csexcel_int_szechenyi_konc_Dim10">"="</definedName>
    <definedName name="csexcel_int_szechenyi_konc_Dim11">"="</definedName>
    <definedName name="csexcel_int_szechenyi_konc_Dim12">"="</definedName>
    <definedName name="csexcel_int_szechenyiAnchor">[1]Széchenyi!#REF!</definedName>
    <definedName name="csexcel_int_szt_rita_Dim01">"="</definedName>
    <definedName name="csexcel_int_szt_rita_Dim02">"="</definedName>
    <definedName name="csexcel_int_szt_rita_Dim03">"="</definedName>
    <definedName name="csexcel_int_szt_rita_Dim04">"="</definedName>
    <definedName name="csexcel_int_szt_rita_Dim05">"="</definedName>
    <definedName name="csexcel_int_szt_rita_Dim06">"="</definedName>
    <definedName name="csexcel_int_szt_rita_Dim07">"="</definedName>
    <definedName name="csexcel_int_szt_rita_Dim08">"="</definedName>
    <definedName name="csexcel_int_szt_rita_Dim09">"="</definedName>
    <definedName name="csexcel_int_szt_rita_Dim10">"="</definedName>
    <definedName name="csexcel_int_szt_rita_Dim11">"="</definedName>
    <definedName name="csexcel_int_szt_rita_Dim12">"="</definedName>
    <definedName name="csexcel_int_szt_ritaAnchor">#REF!</definedName>
    <definedName name="csexcel_int_tgszsz_Dim01">"="</definedName>
    <definedName name="csexcel_int_tgszsz_Dim02">"="</definedName>
    <definedName name="csexcel_int_tgszsz_Dim03">"="</definedName>
    <definedName name="csexcel_int_tgszsz_Dim04">"="</definedName>
    <definedName name="csexcel_int_tgszsz_Dim05">"="</definedName>
    <definedName name="csexcel_int_tgszsz_Dim06">"="</definedName>
    <definedName name="csexcel_int_tgszsz_Dim07">"="</definedName>
    <definedName name="csexcel_int_tgszsz_Dim08">"="</definedName>
    <definedName name="csexcel_int_tgszsz_Dim09">"="</definedName>
    <definedName name="csexcel_int_tgszsz_Dim10">"="</definedName>
    <definedName name="csexcel_int_tgszsz_Dim11">"="</definedName>
    <definedName name="csexcel_int_tgszsz_Dim12">"="</definedName>
    <definedName name="csexcel_int_tgszsz_konc_Dim01">"="</definedName>
    <definedName name="csexcel_int_tgszsz_konc_Dim02">"="</definedName>
    <definedName name="csexcel_int_tgszsz_konc_Dim03">"="</definedName>
    <definedName name="csexcel_int_tgszsz_konc_Dim04">"="</definedName>
    <definedName name="csexcel_int_tgszsz_konc_Dim05">"="</definedName>
    <definedName name="csexcel_int_tgszsz_konc_Dim06">"="</definedName>
    <definedName name="csexcel_int_tgszsz_konc_Dim07">"="</definedName>
    <definedName name="csexcel_int_tgszsz_konc_Dim08">"="</definedName>
    <definedName name="csexcel_int_tgszsz_konc_Dim09">"="</definedName>
    <definedName name="csexcel_int_tgszsz_konc_Dim10">"="</definedName>
    <definedName name="csexcel_int_tgszsz_konc_Dim11">"="</definedName>
    <definedName name="csexcel_int_tgszsz_konc_Dim12">"="</definedName>
    <definedName name="csexcel_int_tgszszAnchor">[1]TGSZSZ!#REF!</definedName>
    <definedName name="csexcel_int_zsigmondy_Dim01">"="</definedName>
    <definedName name="csexcel_int_zsigmondy_Dim02">"="</definedName>
    <definedName name="csexcel_int_zsigmondy_Dim03">"="</definedName>
    <definedName name="csexcel_int_zsigmondy_Dim04">"="</definedName>
    <definedName name="csexcel_int_zsigmondy_Dim05">"="</definedName>
    <definedName name="csexcel_int_zsigmondy_Dim06">"="</definedName>
    <definedName name="csexcel_int_zsigmondy_Dim07">"="</definedName>
    <definedName name="csexcel_int_zsigmondy_Dim08">"="</definedName>
    <definedName name="csexcel_int_zsigmondy_Dim09">"="</definedName>
    <definedName name="csexcel_int_zsigmondy_Dim10">"="</definedName>
    <definedName name="csexcel_int_zsigmondy_Dim11">"="</definedName>
    <definedName name="csexcel_int_zsigmondy_Dim12">"="</definedName>
    <definedName name="csexcel_int_zsigmondy_konc_Dim01">"="</definedName>
    <definedName name="csexcel_int_zsigmondy_konc_Dim02">"="</definedName>
    <definedName name="csexcel_int_zsigmondy_konc_Dim03">"="</definedName>
    <definedName name="csexcel_int_zsigmondy_konc_Dim04">"="</definedName>
    <definedName name="csexcel_int_zsigmondy_konc_Dim05">"="</definedName>
    <definedName name="csexcel_int_zsigmondy_konc_Dim06">"="</definedName>
    <definedName name="csexcel_int_zsigmondy_konc_Dim07">"="</definedName>
    <definedName name="csexcel_int_zsigmondy_konc_Dim08">"="</definedName>
    <definedName name="csexcel_int_zsigmondy_konc_Dim09">"="</definedName>
    <definedName name="csexcel_int_zsigmondy_konc_Dim10">"="</definedName>
    <definedName name="csexcel_int_zsigmondy_konc_Dim11">"="</definedName>
    <definedName name="csexcel_int_zsigmondy_konc_Dim12">"="</definedName>
    <definedName name="csexcel_int_zsigmondyAnchor">[1]Zsigmondy!#REF!</definedName>
    <definedName name="csexcel_intezmeny_ossz_Dim01">"="</definedName>
    <definedName name="csexcel_intezmeny_ossz_Dim02">"="</definedName>
    <definedName name="csexcel_intezmeny_ossz_Dim03">"="</definedName>
    <definedName name="csexcel_intezmeny_ossz_Dim04">"="</definedName>
    <definedName name="csexcel_intezmeny_ossz_Dim05">"="</definedName>
    <definedName name="csexcel_intezmeny_ossz_Dim06">"="</definedName>
    <definedName name="csexcel_intezmeny_ossz_Dim07">"="</definedName>
    <definedName name="csexcel_intezmeny_ossz_Dim08">"="</definedName>
    <definedName name="csexcel_intezmeny_ossz_Dim09">"="</definedName>
    <definedName name="csexcel_intezmeny_ossz_Dim10">"="</definedName>
    <definedName name="csexcel_intezmeny_ossz_Dim11">"="</definedName>
    <definedName name="csexcel_intezmeny_ossz_Dim12">"="</definedName>
    <definedName name="csexcel_intezmeny_ossz_konc_Dim01">"="</definedName>
    <definedName name="csexcel_intezmeny_ossz_konc_Dim02">"="</definedName>
    <definedName name="csexcel_intezmeny_ossz_konc_Dim03">"="</definedName>
    <definedName name="csexcel_intezmeny_ossz_konc_Dim04">"="</definedName>
    <definedName name="csexcel_intezmeny_ossz_konc_Dim05">"="</definedName>
    <definedName name="csexcel_intezmeny_ossz_konc_Dim06">"="</definedName>
    <definedName name="csexcel_intezmeny_ossz_konc_Dim07">"="</definedName>
    <definedName name="csexcel_intezmeny_ossz_konc_Dim08">"="</definedName>
    <definedName name="csexcel_intezmeny_ossz_konc_Dim09">"="</definedName>
    <definedName name="csexcel_intezmeny_ossz_konc_Dim10">"="</definedName>
    <definedName name="csexcel_intezmeny_ossz_konc_Dim11">"="</definedName>
    <definedName name="csexcel_intezmeny_ossz_konc_Dim12">"="</definedName>
    <definedName name="csexcel_intezmeny_osszAnchor">#REF!</definedName>
    <definedName name="csexcel_kim_hivatal_belso_penzeszkoz_teljesites_Dim01">"="</definedName>
    <definedName name="csexcel_kim_hivatal_belso_penzeszkoz_teljesites_Dim02">"="</definedName>
    <definedName name="csexcel_kim_hivatal_belso_penzeszkoz_teljesites_Dim03">"="</definedName>
    <definedName name="csexcel_kim_hivatal_belso_penzeszkoz_teljesites_Dim04">"="</definedName>
    <definedName name="csexcel_kim_hivatal_belso_penzeszkoz_teljesites_Dim05">"="</definedName>
    <definedName name="csexcel_kim_hivatal_belso_penzeszkoz_teljesites_Dim06">"="</definedName>
    <definedName name="csexcel_kim_hivatal_belso_penzeszkoz_teljesites_Dim07">"="</definedName>
    <definedName name="csexcel_kim_hivatal_belso_penzeszkoz_teljesites_Dim08">"="</definedName>
    <definedName name="csexcel_kim_hivatal_belso_penzeszkoz_teljesites_Dim09">"="</definedName>
    <definedName name="csexcel_kim_hivatal_belso_penzeszkoz_teljesites_Dim10">"="</definedName>
    <definedName name="csexcel_kim_hivatal_belso_penzeszkoz_teljesites_Dim11">"="</definedName>
    <definedName name="csexcel_kim_hivatal_belso_penzeszkoz_teljesites_Dim12">"="</definedName>
    <definedName name="csexcel_kim_hivatal_belso_penzeszkoz_teljesitesAnchor">#REF!</definedName>
    <definedName name="csexcel_kimutatas_9_sz_melleklet_Dim01">"="</definedName>
    <definedName name="csexcel_kimutatas_9_sz_melleklet_Dim02">"="</definedName>
    <definedName name="csexcel_kimutatas_9_sz_melleklet_Dim03">"="</definedName>
    <definedName name="csexcel_kimutatas_9_sz_melleklet_Dim04">"="</definedName>
    <definedName name="csexcel_kimutatas_9_sz_melleklet_Dim05">"="</definedName>
    <definedName name="csexcel_kimutatas_9_sz_melleklet_Dim06">"="</definedName>
    <definedName name="csexcel_kimutatas_9_sz_melleklet_Dim07">"="</definedName>
    <definedName name="csexcel_kimutatas_9_sz_melleklet_Dim08">"="</definedName>
    <definedName name="csexcel_kimutatas_9_sz_melleklet_Dim09">"="</definedName>
    <definedName name="csexcel_kimutatas_9_sz_melleklet_Dim10">"="</definedName>
    <definedName name="csexcel_kimutatas_9_sz_melleklet_Dim11">"="</definedName>
    <definedName name="csexcel_kimutatas_9_sz_melleklet_Dim12">"="</definedName>
    <definedName name="csexcel_kimutatas_9_sz_mellekletAnchor">#REF!</definedName>
    <definedName name="csexcel_kimutatas_beruhazas_felujitas_Dim01">"="</definedName>
    <definedName name="csexcel_kimutatas_beruhazas_felujitas_Dim02">"="</definedName>
    <definedName name="csexcel_kimutatas_beruhazas_felujitas_Dim03">"="</definedName>
    <definedName name="csexcel_kimutatas_beruhazas_felujitas_Dim04">"="</definedName>
    <definedName name="csexcel_kimutatas_beruhazas_felujitas_Dim05">"="</definedName>
    <definedName name="csexcel_kimutatas_beruhazas_felujitas_Dim06">"="</definedName>
    <definedName name="csexcel_kimutatas_beruhazas_felujitas_Dim07">"="</definedName>
    <definedName name="csexcel_kimutatas_beruhazas_felujitas_Dim08">"="</definedName>
    <definedName name="csexcel_kimutatas_beruhazas_felujitas_Dim09">"="</definedName>
    <definedName name="csexcel_kimutatas_beruhazas_felujitas_Dim10">"="</definedName>
    <definedName name="csexcel_kimutatas_beruhazas_felujitas_Dim11">"="</definedName>
    <definedName name="csexcel_kimutatas_beruhazas_felujitas_Dim12">"="</definedName>
    <definedName name="csexcel_kimutatas_beruhazas_felujitasAnchor">#REF!</definedName>
    <definedName name="csexcel_kimutatas_bev_fobb_jogcim_Dim01">"="</definedName>
    <definedName name="csexcel_kimutatas_bev_fobb_jogcim_Dim02">"="</definedName>
    <definedName name="csexcel_kimutatas_bev_fobb_jogcim_Dim03">"="</definedName>
    <definedName name="csexcel_kimutatas_bev_fobb_jogcim_Dim04">"="</definedName>
    <definedName name="csexcel_kimutatas_bev_fobb_jogcim_Dim05">"="</definedName>
    <definedName name="csexcel_kimutatas_bev_fobb_jogcim_Dim06">"="</definedName>
    <definedName name="csexcel_kimutatas_bev_fobb_jogcim_Dim07">"="</definedName>
    <definedName name="csexcel_kimutatas_bev_fobb_jogcim_Dim08">"="</definedName>
    <definedName name="csexcel_kimutatas_bev_fobb_jogcim_Dim09">"="</definedName>
    <definedName name="csexcel_kimutatas_bev_fobb_jogcim_Dim10">"="</definedName>
    <definedName name="csexcel_kimutatas_bev_fobb_jogcim_Dim11">"="</definedName>
    <definedName name="csexcel_kimutatas_bev_fobb_jogcim_Dim12">"="</definedName>
    <definedName name="csexcel_kimutatas_bev_fobb_jogcimAnchor">#REF!</definedName>
    <definedName name="csexcel_kimutatas_celtartalekok_Dim01">"="</definedName>
    <definedName name="csexcel_kimutatas_celtartalekok_Dim02">"="</definedName>
    <definedName name="csexcel_kimutatas_celtartalekok_Dim03">"="</definedName>
    <definedName name="csexcel_kimutatas_celtartalekok_Dim04">"="</definedName>
    <definedName name="csexcel_kimutatas_celtartalekok_Dim05">"="</definedName>
    <definedName name="csexcel_kimutatas_celtartalekok_Dim06">"="</definedName>
    <definedName name="csexcel_kimutatas_celtartalekok_Dim07">"="</definedName>
    <definedName name="csexcel_kimutatas_celtartalekok_Dim08">"="</definedName>
    <definedName name="csexcel_kimutatas_celtartalekok_Dim09">"="</definedName>
    <definedName name="csexcel_kimutatas_celtartalekok_Dim10">"="</definedName>
    <definedName name="csexcel_kimutatas_celtartalekok_Dim11">"="</definedName>
    <definedName name="csexcel_kimutatas_celtartalekok_Dim12">"="</definedName>
    <definedName name="csexcel_kimutatas_celtartalekokAnchor">#REF!</definedName>
    <definedName name="csexcel_kimutatas_Cigany_rend_tabla_Dim01">"="</definedName>
    <definedName name="csexcel_kimutatas_Cigany_rend_tabla_Dim02">"="</definedName>
    <definedName name="csexcel_kimutatas_Cigany_rend_tabla_Dim03">"="</definedName>
    <definedName name="csexcel_kimutatas_Cigany_rend_tabla_Dim04">"="</definedName>
    <definedName name="csexcel_kimutatas_Cigany_rend_tabla_Dim05">"="</definedName>
    <definedName name="csexcel_kimutatas_Cigany_rend_tabla_Dim06">"="</definedName>
    <definedName name="csexcel_kimutatas_Cigany_rend_tabla_Dim07">"="</definedName>
    <definedName name="csexcel_kimutatas_Cigany_rend_tabla_Dim08">"="</definedName>
    <definedName name="csexcel_kimutatas_Cigany_rend_tabla_Dim09">"="</definedName>
    <definedName name="csexcel_kimutatas_Cigany_rend_tabla_Dim10">"="</definedName>
    <definedName name="csexcel_kimutatas_Cigany_rend_tabla_Dim11">"="</definedName>
    <definedName name="csexcel_kimutatas_Cigany_rend_tabla_Dim12">"="</definedName>
    <definedName name="csexcel_kimutatas_Cigany_rend_tablaAnchor">#REF!</definedName>
    <definedName name="csexcel_kimutatas_Cigany_rendeleti_tabla_Dim01">"="</definedName>
    <definedName name="csexcel_kimutatas_Cigany_rendeleti_tabla_Dim02">"="</definedName>
    <definedName name="csexcel_kimutatas_Cigany_rendeleti_tabla_Dim03">"="</definedName>
    <definedName name="csexcel_kimutatas_Cigany_rendeleti_tabla_Dim04">"="</definedName>
    <definedName name="csexcel_kimutatas_Cigany_rendeleti_tabla_Dim05">"="</definedName>
    <definedName name="csexcel_kimutatas_Cigany_rendeleti_tabla_Dim06">"="</definedName>
    <definedName name="csexcel_kimutatas_Cigany_rendeleti_tabla_Dim07">"="</definedName>
    <definedName name="csexcel_kimutatas_Cigany_rendeleti_tabla_Dim08">"="</definedName>
    <definedName name="csexcel_kimutatas_Cigany_rendeleti_tabla_Dim09">"="</definedName>
    <definedName name="csexcel_kimutatas_Cigany_rendeleti_tabla_Dim10">"="</definedName>
    <definedName name="csexcel_kimutatas_Cigany_rendeleti_tabla_Dim11">"="</definedName>
    <definedName name="csexcel_kimutatas_Cigany_rendeleti_tabla_Dim12">"="</definedName>
    <definedName name="csexcel_kimutatas_felhalmozas_merleg_bev_Dim01">"="</definedName>
    <definedName name="csexcel_kimutatas_felhalmozas_merleg_bev_Dim02">"="</definedName>
    <definedName name="csexcel_kimutatas_felhalmozas_merleg_bev_Dim03">"="</definedName>
    <definedName name="csexcel_kimutatas_felhalmozas_merleg_bev_Dim04">"="</definedName>
    <definedName name="csexcel_kimutatas_felhalmozas_merleg_bev_Dim05">"="</definedName>
    <definedName name="csexcel_kimutatas_felhalmozas_merleg_bev_Dim06">"="</definedName>
    <definedName name="csexcel_kimutatas_felhalmozas_merleg_bev_Dim07">"="</definedName>
    <definedName name="csexcel_kimutatas_felhalmozas_merleg_bev_Dim08">"="</definedName>
    <definedName name="csexcel_kimutatas_felhalmozas_merleg_bev_Dim09">"="</definedName>
    <definedName name="csexcel_kimutatas_felhalmozas_merleg_bev_Dim10">"="</definedName>
    <definedName name="csexcel_kimutatas_felhalmozas_merleg_bev_Dim11">"="</definedName>
    <definedName name="csexcel_kimutatas_felhalmozas_merleg_bev_Dim12">"="</definedName>
    <definedName name="csexcel_kimutatas_felhalmozas_merleg_kiad_Dim01">"="</definedName>
    <definedName name="csexcel_kimutatas_felhalmozas_merleg_kiad_Dim02">"="</definedName>
    <definedName name="csexcel_kimutatas_felhalmozas_merleg_kiad_Dim03">"="</definedName>
    <definedName name="csexcel_kimutatas_felhalmozas_merleg_kiad_Dim04">"="</definedName>
    <definedName name="csexcel_kimutatas_felhalmozas_merleg_kiad_Dim05">"="</definedName>
    <definedName name="csexcel_kimutatas_felhalmozas_merleg_kiad_Dim06">"="</definedName>
    <definedName name="csexcel_kimutatas_felhalmozas_merleg_kiad_Dim07">"="</definedName>
    <definedName name="csexcel_kimutatas_felhalmozas_merleg_kiad_Dim08">"="</definedName>
    <definedName name="csexcel_kimutatas_felhalmozas_merleg_kiad_Dim09">"="</definedName>
    <definedName name="csexcel_kimutatas_felhalmozas_merleg_kiad_Dim10">"="</definedName>
    <definedName name="csexcel_kimutatas_felhalmozas_merleg_kiad_Dim11">"="</definedName>
    <definedName name="csexcel_kimutatas_felhalmozas_merleg_kiad_Dim12">"="</definedName>
    <definedName name="csexcel_kimutatas_fobbjogcim_bev_Dim01">"="</definedName>
    <definedName name="csexcel_kimutatas_fobbjogcim_bev_Dim02">"="</definedName>
    <definedName name="csexcel_kimutatas_fobbjogcim_bev_Dim03">"="</definedName>
    <definedName name="csexcel_kimutatas_fobbjogcim_bev_Dim04">"="</definedName>
    <definedName name="csexcel_kimutatas_fobbjogcim_bev_Dim05">"="</definedName>
    <definedName name="csexcel_kimutatas_fobbjogcim_bev_Dim06">"="</definedName>
    <definedName name="csexcel_kimutatas_fobbjogcim_bev_Dim07">"="</definedName>
    <definedName name="csexcel_kimutatas_fobbjogcim_bev_Dim08">"="</definedName>
    <definedName name="csexcel_kimutatas_fobbjogcim_bev_Dim09">"="</definedName>
    <definedName name="csexcel_kimutatas_fobbjogcim_bev_Dim10">"="</definedName>
    <definedName name="csexcel_kimutatas_fobbjogcim_bev_Dim11">"="</definedName>
    <definedName name="csexcel_kimutatas_fobbjogcim_bev_Dim12">"="</definedName>
    <definedName name="csexcel_kimutatas_fobbjogcim_bevAnchor">#REF!</definedName>
    <definedName name="csexcel_kimutatas_fobbjogcim_kiad_Dim01">"="</definedName>
    <definedName name="csexcel_kimutatas_fobbjogcim_kiad_Dim02">"="</definedName>
    <definedName name="csexcel_kimutatas_fobbjogcim_kiad_Dim03">"="</definedName>
    <definedName name="csexcel_kimutatas_fobbjogcim_kiad_Dim04">"="</definedName>
    <definedName name="csexcel_kimutatas_fobbjogcim_kiad_Dim05">"="</definedName>
    <definedName name="csexcel_kimutatas_fobbjogcim_kiad_Dim06">"="</definedName>
    <definedName name="csexcel_kimutatas_fobbjogcim_kiad_Dim07">"="</definedName>
    <definedName name="csexcel_kimutatas_fobbjogcim_kiad_Dim08">"="</definedName>
    <definedName name="csexcel_kimutatas_fobbjogcim_kiad_Dim09">"="</definedName>
    <definedName name="csexcel_kimutatas_fobbjogcim_kiad_Dim10">"="</definedName>
    <definedName name="csexcel_kimutatas_fobbjogcim_kiad_Dim11">"="</definedName>
    <definedName name="csexcel_kimutatas_fobbjogcim_kiad_Dim12">"="</definedName>
    <definedName name="csexcel_kimutatas_fobbjogcim_kiadAnchor">#REF!</definedName>
    <definedName name="csexcel_kimutatas_fomerleg_bev_Dim01">"="</definedName>
    <definedName name="csexcel_kimutatas_fomerleg_bev_Dim02">"="</definedName>
    <definedName name="csexcel_kimutatas_fomerleg_bev_Dim03">"="</definedName>
    <definedName name="csexcel_kimutatas_fomerleg_bev_Dim04">"="</definedName>
    <definedName name="csexcel_kimutatas_fomerleg_bev_Dim05">"="</definedName>
    <definedName name="csexcel_kimutatas_fomerleg_bev_Dim06">"="</definedName>
    <definedName name="csexcel_kimutatas_fomerleg_bev_Dim07">"="</definedName>
    <definedName name="csexcel_kimutatas_fomerleg_bev_Dim08">"="</definedName>
    <definedName name="csexcel_kimutatas_fomerleg_bev_Dim09">"="</definedName>
    <definedName name="csexcel_kimutatas_fomerleg_bev_Dim10">"="</definedName>
    <definedName name="csexcel_kimutatas_fomerleg_bev_Dim11">"="</definedName>
    <definedName name="csexcel_kimutatas_fomerleg_bev_Dim12">"="</definedName>
    <definedName name="csexcel_kimutatas_fomerleg_kiad_Dim01">"="</definedName>
    <definedName name="csexcel_kimutatas_fomerleg_kiad_Dim02">"="</definedName>
    <definedName name="csexcel_kimutatas_fomerleg_kiad_Dim03">"="</definedName>
    <definedName name="csexcel_kimutatas_fomerleg_kiad_Dim04">"="</definedName>
    <definedName name="csexcel_kimutatas_fomerleg_kiad_Dim05">"="</definedName>
    <definedName name="csexcel_kimutatas_fomerleg_kiad_Dim06">"="</definedName>
    <definedName name="csexcel_kimutatas_fomerleg_kiad_Dim07">"="</definedName>
    <definedName name="csexcel_kimutatas_fomerleg_kiad_Dim08">"="</definedName>
    <definedName name="csexcel_kimutatas_fomerleg_kiad_Dim09">"="</definedName>
    <definedName name="csexcel_kimutatas_fomerleg_kiad_Dim10">"="</definedName>
    <definedName name="csexcel_kimutatas_fomerleg_kiad_Dim11">"="</definedName>
    <definedName name="csexcel_kimutatas_fomerleg_kiad_Dim12">"="</definedName>
    <definedName name="csexcel_kimutatas_hivatal_belso_penzeszkoz_besz_Dim01">"="</definedName>
    <definedName name="csexcel_kimutatas_hivatal_belso_penzeszkoz_besz_Dim02">"="</definedName>
    <definedName name="csexcel_kimutatas_hivatal_belso_penzeszkoz_besz_Dim03">"="</definedName>
    <definedName name="csexcel_kimutatas_hivatal_belso_penzeszkoz_besz_Dim04">"="</definedName>
    <definedName name="csexcel_kimutatas_hivatal_belso_penzeszkoz_besz_Dim05">"="</definedName>
    <definedName name="csexcel_kimutatas_hivatal_belso_penzeszkoz_besz_Dim06">"="</definedName>
    <definedName name="csexcel_kimutatas_hivatal_belso_penzeszkoz_besz_Dim07">"="</definedName>
    <definedName name="csexcel_kimutatas_hivatal_belso_penzeszkoz_besz_Dim08">"="</definedName>
    <definedName name="csexcel_kimutatas_hivatal_belso_penzeszkoz_besz_Dim09">"="</definedName>
    <definedName name="csexcel_kimutatas_hivatal_belso_penzeszkoz_besz_Dim10">"="</definedName>
    <definedName name="csexcel_kimutatas_hivatal_belso_penzeszkoz_besz_Dim11">"="</definedName>
    <definedName name="csexcel_kimutatas_hivatal_belso_penzeszkoz_besz_Dim12">"="</definedName>
    <definedName name="csexcel_kimutatas_hivatal_belso_penzeszkoz_beszAnchor">#REF!</definedName>
    <definedName name="csexcel_kimutatas_hivatal_belso_penzeszkoz_Dim01">"="</definedName>
    <definedName name="csexcel_kimutatas_hivatal_belso_penzeszkoz_Dim02">"="</definedName>
    <definedName name="csexcel_kimutatas_hivatal_belso_penzeszkoz_Dim03">"="</definedName>
    <definedName name="csexcel_kimutatas_hivatal_belso_penzeszkoz_Dim04">"="</definedName>
    <definedName name="csexcel_kimutatas_hivatal_belso_penzeszkoz_Dim05">"="</definedName>
    <definedName name="csexcel_kimutatas_hivatal_belso_penzeszkoz_Dim06">"="</definedName>
    <definedName name="csexcel_kimutatas_hivatal_belso_penzeszkoz_Dim07">"="</definedName>
    <definedName name="csexcel_kimutatas_hivatal_belso_penzeszkoz_Dim08">"="</definedName>
    <definedName name="csexcel_kimutatas_hivatal_belso_penzeszkoz_Dim09">"="</definedName>
    <definedName name="csexcel_kimutatas_hivatal_belso_penzeszkoz_Dim10">"="</definedName>
    <definedName name="csexcel_kimutatas_hivatal_belso_penzeszkoz_Dim11">"="</definedName>
    <definedName name="csexcel_kimutatas_hivatal_belso_penzeszkoz_Dim12">"="</definedName>
    <definedName name="csexcel_kimutatas_hivatal_belso_penzeszkoz_jo_Dim01">"="</definedName>
    <definedName name="csexcel_kimutatas_hivatal_belso_penzeszkoz_jo_Dim02">"="</definedName>
    <definedName name="csexcel_kimutatas_hivatal_belso_penzeszkoz_jo_Dim03">"="</definedName>
    <definedName name="csexcel_kimutatas_hivatal_belso_penzeszkoz_jo_Dim04">"="</definedName>
    <definedName name="csexcel_kimutatas_hivatal_belso_penzeszkoz_jo_Dim05">"="</definedName>
    <definedName name="csexcel_kimutatas_hivatal_belso_penzeszkoz_jo_Dim06">"="</definedName>
    <definedName name="csexcel_kimutatas_hivatal_belso_penzeszkoz_jo_Dim07">"="</definedName>
    <definedName name="csexcel_kimutatas_hivatal_belso_penzeszkoz_jo_Dim08">"="</definedName>
    <definedName name="csexcel_kimutatas_hivatal_belso_penzeszkoz_jo_Dim09">"="</definedName>
    <definedName name="csexcel_kimutatas_hivatal_belso_penzeszkoz_jo_Dim10">"="</definedName>
    <definedName name="csexcel_kimutatas_hivatal_belso_penzeszkoz_jo_Dim11">"="</definedName>
    <definedName name="csexcel_kimutatas_hivatal_belso_penzeszkoz_jo_Dim12">"="</definedName>
    <definedName name="csexcel_kimutatas_hivatal_belso_penzeszkoz_jo1_Dim01">"="</definedName>
    <definedName name="csexcel_kimutatas_hivatal_belso_penzeszkoz_jo1_Dim02">"="</definedName>
    <definedName name="csexcel_kimutatas_hivatal_belso_penzeszkoz_jo1_Dim03">"="</definedName>
    <definedName name="csexcel_kimutatas_hivatal_belso_penzeszkoz_jo1_Dim04">"="</definedName>
    <definedName name="csexcel_kimutatas_hivatal_belso_penzeszkoz_jo1_Dim05">"="</definedName>
    <definedName name="csexcel_kimutatas_hivatal_belso_penzeszkoz_jo1_Dim06">"="</definedName>
    <definedName name="csexcel_kimutatas_hivatal_belso_penzeszkoz_jo1_Dim07">"="</definedName>
    <definedName name="csexcel_kimutatas_hivatal_belso_penzeszkoz_jo1_Dim08">"="</definedName>
    <definedName name="csexcel_kimutatas_hivatal_belso_penzeszkoz_jo1_Dim09">"="</definedName>
    <definedName name="csexcel_kimutatas_hivatal_belso_penzeszkoz_jo1_Dim10">"="</definedName>
    <definedName name="csexcel_kimutatas_hivatal_belso_penzeszkoz_jo1_Dim11">"="</definedName>
    <definedName name="csexcel_kimutatas_hivatal_belso_penzeszkoz_jo1_Dim12">"="</definedName>
    <definedName name="csexcel_kimutatas_hivatal_belso_penzeszkoz_joAnchor">#REF!</definedName>
    <definedName name="csexcel_kimutatas_hivatal_belso_penzeszkozAnchor" localSheetId="13">#REF!</definedName>
    <definedName name="csexcel_kimutatas_hivatal_belso_penzeszkozAnchor" localSheetId="14">#REF!</definedName>
    <definedName name="csexcel_kimutatas_hivatal_belso_penzeszkozAnchor" localSheetId="15">#REF!</definedName>
    <definedName name="csexcel_kimutatas_hivatal_belso_penzeszkozAnchor" localSheetId="16">#REF!</definedName>
    <definedName name="csexcel_kimutatas_hivatal_belso_penzeszkozAnchor" localSheetId="17">#REF!</definedName>
    <definedName name="csexcel_kimutatas_hivatal_belso_penzeszkozAnchor" localSheetId="18">#REF!</definedName>
    <definedName name="csexcel_kimutatas_hivatal_belso_penzeszkozAnchor" localSheetId="19">#REF!</definedName>
    <definedName name="csexcel_kimutatas_hivatal_belso_penzeszkozAnchor" localSheetId="20">#REF!</definedName>
    <definedName name="csexcel_kimutatas_hivatal_belso_penzeszkozAnchor" localSheetId="21">#REF!</definedName>
    <definedName name="csexcel_kimutatas_hivatal_belso_penzeszkozAnchor" localSheetId="26">#REF!</definedName>
    <definedName name="csexcel_kimutatas_hivatal_belso_penzeszkozAnchor">#REF!</definedName>
    <definedName name="csexcel_kimutatas_hivatal_rendeleti_tabla_Dim01">"="</definedName>
    <definedName name="csexcel_kimutatas_hivatal_rendeleti_tabla_Dim02">"="</definedName>
    <definedName name="csexcel_kimutatas_hivatal_rendeleti_tabla_Dim03">"="</definedName>
    <definedName name="csexcel_kimutatas_hivatal_rendeleti_tabla_Dim04">"="</definedName>
    <definedName name="csexcel_kimutatas_hivatal_rendeleti_tabla_Dim05">"="</definedName>
    <definedName name="csexcel_kimutatas_hivatal_rendeleti_tabla_Dim06">"="</definedName>
    <definedName name="csexcel_kimutatas_hivatal_rendeleti_tabla_Dim07">"="</definedName>
    <definedName name="csexcel_kimutatas_hivatal_rendeleti_tabla_Dim08">"="</definedName>
    <definedName name="csexcel_kimutatas_hivatal_rendeleti_tabla_Dim09">"="</definedName>
    <definedName name="csexcel_kimutatas_hivatal_rendeleti_tabla_Dim10">"="</definedName>
    <definedName name="csexcel_kimutatas_hivatal_rendeleti_tabla_Dim11">"="</definedName>
    <definedName name="csexcel_kimutatas_hivatal_rendeleti_tabla_Dim12">"="</definedName>
    <definedName name="csexcel_kimutatas_kiad_fobb_jogcim_Dim01">"="</definedName>
    <definedName name="csexcel_kimutatas_kiad_fobb_jogcim_Dim02">"="</definedName>
    <definedName name="csexcel_kimutatas_kiad_fobb_jogcim_Dim03">"="</definedName>
    <definedName name="csexcel_kimutatas_kiad_fobb_jogcim_Dim04">"="</definedName>
    <definedName name="csexcel_kimutatas_kiad_fobb_jogcim_Dim05">"="</definedName>
    <definedName name="csexcel_kimutatas_kiad_fobb_jogcim_Dim06">"="</definedName>
    <definedName name="csexcel_kimutatas_kiad_fobb_jogcim_Dim07">"="</definedName>
    <definedName name="csexcel_kimutatas_kiad_fobb_jogcim_Dim08">"="</definedName>
    <definedName name="csexcel_kimutatas_kiad_fobb_jogcim_Dim09">"="</definedName>
    <definedName name="csexcel_kimutatas_kiad_fobb_jogcim_Dim10">"="</definedName>
    <definedName name="csexcel_kimutatas_kiad_fobb_jogcim_Dim11">"="</definedName>
    <definedName name="csexcel_kimutatas_kiad_fobb_jogcim_Dim12">"="</definedName>
    <definedName name="csexcel_kimutatas_kiad_fobb_jogcimAnchor" localSheetId="26">#REF!</definedName>
    <definedName name="csexcel_kimutatas_kiad_fobb_jogcimAnchor">#REF!</definedName>
    <definedName name="csexcel_kimutatas_kisebbsegi_rendeleti_tabla_Dim01">"="</definedName>
    <definedName name="csexcel_kimutatas_kisebbsegi_rendeleti_tabla_Dim02">"="</definedName>
    <definedName name="csexcel_kimutatas_kisebbsegi_rendeleti_tabla_Dim03">"="</definedName>
    <definedName name="csexcel_kimutatas_kisebbsegi_rendeleti_tabla_Dim04">"="</definedName>
    <definedName name="csexcel_kimutatas_kisebbsegi_rendeleti_tabla_Dim05">"="</definedName>
    <definedName name="csexcel_kimutatas_kisebbsegi_rendeleti_tabla_Dim06">"="</definedName>
    <definedName name="csexcel_kimutatas_kisebbsegi_rendeleti_tabla_Dim07">"="</definedName>
    <definedName name="csexcel_kimutatas_kisebbsegi_rendeleti_tabla_Dim08">"="</definedName>
    <definedName name="csexcel_kimutatas_kisebbsegi_rendeleti_tabla_Dim09">"="</definedName>
    <definedName name="csexcel_kimutatas_kisebbsegi_rendeleti_tabla_Dim10">"="</definedName>
    <definedName name="csexcel_kimutatas_kisebbsegi_rendeleti_tabla_Dim11">"="</definedName>
    <definedName name="csexcel_kimutatas_kisebbsegi_rendeleti_tabla_Dim12">"="</definedName>
    <definedName name="csexcel_kimutatas_kisebbsegi_rendeleti_tablaAnchor">#REF!</definedName>
    <definedName name="csexcel_kimutatas_likviditas_Dim01">"="</definedName>
    <definedName name="csexcel_kimutatas_likviditas_Dim02">"="</definedName>
    <definedName name="csexcel_kimutatas_likviditas_Dim03">"="</definedName>
    <definedName name="csexcel_kimutatas_likviditas_Dim04">"="</definedName>
    <definedName name="csexcel_kimutatas_likviditas_Dim05">"="</definedName>
    <definedName name="csexcel_kimutatas_likviditas_Dim06">"="</definedName>
    <definedName name="csexcel_kimutatas_likviditas_Dim07">"="</definedName>
    <definedName name="csexcel_kimutatas_likviditas_Dim08">"="</definedName>
    <definedName name="csexcel_kimutatas_likviditas_Dim09">"="</definedName>
    <definedName name="csexcel_kimutatas_likviditas_Dim10">"="</definedName>
    <definedName name="csexcel_kimutatas_likviditas_Dim11">"="</definedName>
    <definedName name="csexcel_kimutatas_likviditas_Dim12">"="</definedName>
    <definedName name="csexcel_kimutatas_likviditasAnchor">#REF!</definedName>
    <definedName name="csexcel_kimutatas_muk_fejl_bev_kiad_Dim01">"="</definedName>
    <definedName name="csexcel_kimutatas_muk_fejl_bev_kiad_Dim02">"="</definedName>
    <definedName name="csexcel_kimutatas_muk_fejl_bev_kiad_Dim03">"="</definedName>
    <definedName name="csexcel_kimutatas_muk_fejl_bev_kiad_Dim04">"="</definedName>
    <definedName name="csexcel_kimutatas_muk_fejl_bev_kiad_Dim05">"="</definedName>
    <definedName name="csexcel_kimutatas_muk_fejl_bev_kiad_Dim06">"="</definedName>
    <definedName name="csexcel_kimutatas_muk_fejl_bev_kiad_Dim07">"="</definedName>
    <definedName name="csexcel_kimutatas_muk_fejl_bev_kiad_Dim08">"="</definedName>
    <definedName name="csexcel_kimutatas_muk_fejl_bev_kiad_Dim09">"="</definedName>
    <definedName name="csexcel_kimutatas_muk_fejl_bev_kiad_Dim10">"="</definedName>
    <definedName name="csexcel_kimutatas_muk_fejl_bev_kiad_Dim11">"="</definedName>
    <definedName name="csexcel_kimutatas_muk_fejl_bev_kiad_Dim12">"="</definedName>
    <definedName name="csexcel_kimutatas_muk_fejl_bev_kiadAnchor">#REF!</definedName>
    <definedName name="csexcel_kimutatas_mukodesi_merleg_bev_Dim01">"="</definedName>
    <definedName name="csexcel_kimutatas_mukodesi_merleg_bev_Dim02">"="</definedName>
    <definedName name="csexcel_kimutatas_mukodesi_merleg_bev_Dim03">"="</definedName>
    <definedName name="csexcel_kimutatas_mukodesi_merleg_bev_Dim04">"="</definedName>
    <definedName name="csexcel_kimutatas_mukodesi_merleg_bev_Dim05">"="</definedName>
    <definedName name="csexcel_kimutatas_mukodesi_merleg_bev_Dim06">"="</definedName>
    <definedName name="csexcel_kimutatas_mukodesi_merleg_bev_Dim07">"="</definedName>
    <definedName name="csexcel_kimutatas_mukodesi_merleg_bev_Dim08">"="</definedName>
    <definedName name="csexcel_kimutatas_mukodesi_merleg_bev_Dim09">"="</definedName>
    <definedName name="csexcel_kimutatas_mukodesi_merleg_bev_Dim10">"="</definedName>
    <definedName name="csexcel_kimutatas_mukodesi_merleg_bev_Dim11">"="</definedName>
    <definedName name="csexcel_kimutatas_mukodesi_merleg_bev_Dim12">"="</definedName>
    <definedName name="csexcel_kimutatas_mukodesi_merleg_kiad_Dim01">"="</definedName>
    <definedName name="csexcel_kimutatas_mukodesi_merleg_kiad_Dim02">"="</definedName>
    <definedName name="csexcel_kimutatas_mukodesi_merleg_kiad_Dim03">"="</definedName>
    <definedName name="csexcel_kimutatas_mukodesi_merleg_kiad_Dim04">"="</definedName>
    <definedName name="csexcel_kimutatas_mukodesi_merleg_kiad_Dim05">"="</definedName>
    <definedName name="csexcel_kimutatas_mukodesi_merleg_kiad_Dim06">"="</definedName>
    <definedName name="csexcel_kimutatas_mukodesi_merleg_kiad_Dim07">"="</definedName>
    <definedName name="csexcel_kimutatas_mukodesi_merleg_kiad_Dim08">"="</definedName>
    <definedName name="csexcel_kimutatas_mukodesi_merleg_kiad_Dim09">"="</definedName>
    <definedName name="csexcel_kimutatas_mukodesi_merleg_kiad_Dim10">"="</definedName>
    <definedName name="csexcel_kimutatas_mukodesi_merleg_kiad_Dim11">"="</definedName>
    <definedName name="csexcel_kimutatas_mukodesi_merleg_kiad_Dim12">"="</definedName>
    <definedName name="csexcel_kimutatas_Nemet_rend_tabla_Dim01">"="</definedName>
    <definedName name="csexcel_kimutatas_Nemet_rend_tabla_Dim02">"="</definedName>
    <definedName name="csexcel_kimutatas_Nemet_rend_tabla_Dim03">"="</definedName>
    <definedName name="csexcel_kimutatas_Nemet_rend_tabla_Dim04">"="</definedName>
    <definedName name="csexcel_kimutatas_Nemet_rend_tabla_Dim05">"="</definedName>
    <definedName name="csexcel_kimutatas_Nemet_rend_tabla_Dim06">"="</definedName>
    <definedName name="csexcel_kimutatas_Nemet_rend_tabla_Dim07">"="</definedName>
    <definedName name="csexcel_kimutatas_Nemet_rend_tabla_Dim08">"="</definedName>
    <definedName name="csexcel_kimutatas_Nemet_rend_tabla_Dim09">"="</definedName>
    <definedName name="csexcel_kimutatas_Nemet_rend_tabla_Dim10">"="</definedName>
    <definedName name="csexcel_kimutatas_Nemet_rend_tabla_Dim11">"="</definedName>
    <definedName name="csexcel_kimutatas_Nemet_rend_tabla_Dim12">"="</definedName>
    <definedName name="csexcel_kimutatas_Nemet_rend_tablaAnchor">#REF!</definedName>
    <definedName name="csexcel_kimutatas_Nemet_rendeleti_tabla_Dim01">"="</definedName>
    <definedName name="csexcel_kimutatas_Nemet_rendeleti_tabla_Dim02">"="</definedName>
    <definedName name="csexcel_kimutatas_Nemet_rendeleti_tabla_Dim03">"="</definedName>
    <definedName name="csexcel_kimutatas_Nemet_rendeleti_tabla_Dim04">"="</definedName>
    <definedName name="csexcel_kimutatas_Nemet_rendeleti_tabla_Dim05">"="</definedName>
    <definedName name="csexcel_kimutatas_Nemet_rendeleti_tabla_Dim06">"="</definedName>
    <definedName name="csexcel_kimutatas_Nemet_rendeleti_tabla_Dim07">"="</definedName>
    <definedName name="csexcel_kimutatas_Nemet_rendeleti_tabla_Dim08">"="</definedName>
    <definedName name="csexcel_kimutatas_Nemet_rendeleti_tabla_Dim09">"="</definedName>
    <definedName name="csexcel_kimutatas_Nemet_rendeleti_tabla_Dim10">"="</definedName>
    <definedName name="csexcel_kimutatas_Nemet_rendeleti_tabla_Dim11">"="</definedName>
    <definedName name="csexcel_kimutatas_Nemet_rendeleti_tabla_Dim12">"="</definedName>
    <definedName name="csexcel_kimutatas_pm_jogcim_Dim01">"="</definedName>
    <definedName name="csexcel_kimutatas_pm_jogcim_Dim02">"="</definedName>
    <definedName name="csexcel_kimutatas_pm_jogcim_Dim03">"="</definedName>
    <definedName name="csexcel_kimutatas_pm_jogcim_Dim04">"="</definedName>
    <definedName name="csexcel_kimutatas_pm_jogcim_Dim05">"="</definedName>
    <definedName name="csexcel_kimutatas_pm_jogcim_Dim06">"="</definedName>
    <definedName name="csexcel_kimutatas_pm_jogcim_Dim07">"="</definedName>
    <definedName name="csexcel_kimutatas_pm_jogcim_Dim08">"="</definedName>
    <definedName name="csexcel_kimutatas_pm_jogcim_Dim09">"="</definedName>
    <definedName name="csexcel_kimutatas_pm_jogcim_Dim10">"="</definedName>
    <definedName name="csexcel_kimutatas_pm_jogcim_Dim11">"="</definedName>
    <definedName name="csexcel_kimutatas_pm_jogcim_Dim12">"="</definedName>
    <definedName name="csexcel_kimutatas_Szlovak_rend_tabla_Dim01">"="</definedName>
    <definedName name="csexcel_kimutatas_Szlovak_rend_tabla_Dim02">"="</definedName>
    <definedName name="csexcel_kimutatas_Szlovak_rend_tabla_Dim03">"="</definedName>
    <definedName name="csexcel_kimutatas_Szlovak_rend_tabla_Dim04">"="</definedName>
    <definedName name="csexcel_kimutatas_Szlovak_rend_tabla_Dim05">"="</definedName>
    <definedName name="csexcel_kimutatas_Szlovak_rend_tabla_Dim06">"="</definedName>
    <definedName name="csexcel_kimutatas_Szlovak_rend_tabla_Dim07">"="</definedName>
    <definedName name="csexcel_kimutatas_Szlovak_rend_tabla_Dim08">"="</definedName>
    <definedName name="csexcel_kimutatas_Szlovak_rend_tabla_Dim09">"="</definedName>
    <definedName name="csexcel_kimutatas_Szlovak_rend_tabla_Dim10">"="</definedName>
    <definedName name="csexcel_kimutatas_Szlovak_rend_tabla_Dim11">"="</definedName>
    <definedName name="csexcel_kimutatas_Szlovak_rend_tabla_Dim12">"="</definedName>
    <definedName name="csexcel_kimutatas_Szlovak_rend_tablaAnchor">#REF!</definedName>
    <definedName name="csexcel_kimutatas_Szlovak_rendeleti_tabla_Dim01">"="</definedName>
    <definedName name="csexcel_kimutatas_Szlovak_rendeleti_tabla_Dim02">"="</definedName>
    <definedName name="csexcel_kimutatas_Szlovak_rendeleti_tabla_Dim03">"="</definedName>
    <definedName name="csexcel_kimutatas_Szlovak_rendeleti_tabla_Dim04">"="</definedName>
    <definedName name="csexcel_kimutatas_Szlovak_rendeleti_tabla_Dim05">"="</definedName>
    <definedName name="csexcel_kimutatas_Szlovak_rendeleti_tabla_Dim06">"="</definedName>
    <definedName name="csexcel_kimutatas_Szlovak_rendeleti_tabla_Dim07">"="</definedName>
    <definedName name="csexcel_kimutatas_Szlovak_rendeleti_tabla_Dim08">"="</definedName>
    <definedName name="csexcel_kimutatas_Szlovak_rendeleti_tabla_Dim09">"="</definedName>
    <definedName name="csexcel_kimutatas_Szlovak_rendeleti_tabla_Dim10">"="</definedName>
    <definedName name="csexcel_kimutatas_Szlovak_rendeleti_tabla_Dim11">"="</definedName>
    <definedName name="csexcel_kimutatas_Szlovak_rendeleti_tabla_Dim12">"="</definedName>
    <definedName name="csexcel_kimutatas_Tiszk_rend_tabla_Dim01">"="</definedName>
    <definedName name="csexcel_kimutatas_Tiszk_rend_tabla_Dim02">"="</definedName>
    <definedName name="csexcel_kimutatas_Tiszk_rend_tabla_Dim03">"="</definedName>
    <definedName name="csexcel_kimutatas_Tiszk_rend_tabla_Dim04">"="</definedName>
    <definedName name="csexcel_kimutatas_Tiszk_rend_tabla_Dim05">"="</definedName>
    <definedName name="csexcel_kimutatas_Tiszk_rend_tabla_Dim06">"="</definedName>
    <definedName name="csexcel_kimutatas_Tiszk_rend_tabla_Dim07">"="</definedName>
    <definedName name="csexcel_kimutatas_Tiszk_rend_tabla_Dim08">"="</definedName>
    <definedName name="csexcel_kimutatas_Tiszk_rend_tabla_Dim09">"="</definedName>
    <definedName name="csexcel_kimutatas_Tiszk_rend_tabla_Dim10">"="</definedName>
    <definedName name="csexcel_kimutatas_Tiszk_rend_tabla_Dim11">"="</definedName>
    <definedName name="csexcel_kimutatas_Tiszk_rend_tabla_Dim12">"="</definedName>
    <definedName name="csexcel_kimutatas_Tiszk_rend_tablaAnchor">#REF!</definedName>
    <definedName name="csexcel_kimutatas_Tiszk_rendeleti_tabla_Dim01">"="</definedName>
    <definedName name="csexcel_kimutatas_Tiszk_rendeleti_tabla_Dim02">"="</definedName>
    <definedName name="csexcel_kimutatas_Tiszk_rendeleti_tabla_Dim03">"="</definedName>
    <definedName name="csexcel_kimutatas_Tiszk_rendeleti_tabla_Dim04">"="</definedName>
    <definedName name="csexcel_kimutatas_Tiszk_rendeleti_tabla_Dim05">"="</definedName>
    <definedName name="csexcel_kimutatas_Tiszk_rendeleti_tabla_Dim06">"="</definedName>
    <definedName name="csexcel_kimutatas_Tiszk_rendeleti_tabla_Dim07">"="</definedName>
    <definedName name="csexcel_kimutatas_Tiszk_rendeleti_tabla_Dim08">"="</definedName>
    <definedName name="csexcel_kimutatas_Tiszk_rendeleti_tabla_Dim09">"="</definedName>
    <definedName name="csexcel_kimutatas_Tiszk_rendeleti_tabla_Dim10">"="</definedName>
    <definedName name="csexcel_kimutatas_Tiszk_rendeleti_tabla_Dim11">"="</definedName>
    <definedName name="csexcel_kimutatas_Tiszk_rendeleti_tabla_Dim12">"="</definedName>
    <definedName name="csexcel_koltsegvetes_2007_bev_2szmell_Dim01">"="</definedName>
    <definedName name="csexcel_koltsegvetes_2007_bev_2szmell_Dim02">"="</definedName>
    <definedName name="csexcel_koltsegvetes_2007_bev_2szmell_Dim03">#REF!</definedName>
    <definedName name="csexcel_koltsegvetes_2007_bev_2szmell_Dim04" localSheetId="13">#REF!</definedName>
    <definedName name="csexcel_koltsegvetes_2007_bev_2szmell_Dim04" localSheetId="14">#REF!</definedName>
    <definedName name="csexcel_koltsegvetes_2007_bev_2szmell_Dim04" localSheetId="15">#REF!</definedName>
    <definedName name="csexcel_koltsegvetes_2007_bev_2szmell_Dim04" localSheetId="16">#REF!</definedName>
    <definedName name="csexcel_koltsegvetes_2007_bev_2szmell_Dim04" localSheetId="17">#REF!</definedName>
    <definedName name="csexcel_koltsegvetes_2007_bev_2szmell_Dim04" localSheetId="18">#REF!</definedName>
    <definedName name="csexcel_koltsegvetes_2007_bev_2szmell_Dim04" localSheetId="19">#REF!</definedName>
    <definedName name="csexcel_koltsegvetes_2007_bev_2szmell_Dim04" localSheetId="20">#REF!</definedName>
    <definedName name="csexcel_koltsegvetes_2007_bev_2szmell_Dim04" localSheetId="21">#REF!</definedName>
    <definedName name="csexcel_koltsegvetes_2007_bev_2szmell_Dim04" localSheetId="26">#REF!</definedName>
    <definedName name="csexcel_koltsegvetes_2007_bev_2szmell_Dim04">#REF!</definedName>
    <definedName name="csexcel_koltsegvetes_2007_bev_2szmell_Dim05" localSheetId="13">#REF!</definedName>
    <definedName name="csexcel_koltsegvetes_2007_bev_2szmell_Dim05" localSheetId="14">#REF!</definedName>
    <definedName name="csexcel_koltsegvetes_2007_bev_2szmell_Dim05" localSheetId="15">#REF!</definedName>
    <definedName name="csexcel_koltsegvetes_2007_bev_2szmell_Dim05" localSheetId="16">#REF!</definedName>
    <definedName name="csexcel_koltsegvetes_2007_bev_2szmell_Dim05" localSheetId="17">#REF!</definedName>
    <definedName name="csexcel_koltsegvetes_2007_bev_2szmell_Dim05" localSheetId="18">#REF!</definedName>
    <definedName name="csexcel_koltsegvetes_2007_bev_2szmell_Dim05" localSheetId="19">#REF!</definedName>
    <definedName name="csexcel_koltsegvetes_2007_bev_2szmell_Dim05" localSheetId="20">#REF!</definedName>
    <definedName name="csexcel_koltsegvetes_2007_bev_2szmell_Dim05" localSheetId="21">#REF!</definedName>
    <definedName name="csexcel_koltsegvetes_2007_bev_2szmell_Dim05" localSheetId="26">#REF!</definedName>
    <definedName name="csexcel_koltsegvetes_2007_bev_2szmell_Dim05">#REF!</definedName>
    <definedName name="csexcel_koltsegvetes_2007_bev_2szmell_Dim06" localSheetId="13">#REF!</definedName>
    <definedName name="csexcel_koltsegvetes_2007_bev_2szmell_Dim06" localSheetId="14">#REF!</definedName>
    <definedName name="csexcel_koltsegvetes_2007_bev_2szmell_Dim06" localSheetId="15">#REF!</definedName>
    <definedName name="csexcel_koltsegvetes_2007_bev_2szmell_Dim06" localSheetId="16">#REF!</definedName>
    <definedName name="csexcel_koltsegvetes_2007_bev_2szmell_Dim06" localSheetId="17">#REF!</definedName>
    <definedName name="csexcel_koltsegvetes_2007_bev_2szmell_Dim06" localSheetId="18">#REF!</definedName>
    <definedName name="csexcel_koltsegvetes_2007_bev_2szmell_Dim06" localSheetId="19">#REF!</definedName>
    <definedName name="csexcel_koltsegvetes_2007_bev_2szmell_Dim06" localSheetId="20">#REF!</definedName>
    <definedName name="csexcel_koltsegvetes_2007_bev_2szmell_Dim06" localSheetId="21">#REF!</definedName>
    <definedName name="csexcel_koltsegvetes_2007_bev_2szmell_Dim06" localSheetId="26">#REF!</definedName>
    <definedName name="csexcel_koltsegvetes_2007_bev_2szmell_Dim06">#REF!</definedName>
    <definedName name="csexcel_koltsegvetes_2007_bev_2szmell_Dim07" localSheetId="13">#REF!</definedName>
    <definedName name="csexcel_koltsegvetes_2007_bev_2szmell_Dim07" localSheetId="14">#REF!</definedName>
    <definedName name="csexcel_koltsegvetes_2007_bev_2szmell_Dim07" localSheetId="15">#REF!</definedName>
    <definedName name="csexcel_koltsegvetes_2007_bev_2szmell_Dim07" localSheetId="16">#REF!</definedName>
    <definedName name="csexcel_koltsegvetes_2007_bev_2szmell_Dim07" localSheetId="17">#REF!</definedName>
    <definedName name="csexcel_koltsegvetes_2007_bev_2szmell_Dim07" localSheetId="18">#REF!</definedName>
    <definedName name="csexcel_koltsegvetes_2007_bev_2szmell_Dim07" localSheetId="19">#REF!</definedName>
    <definedName name="csexcel_koltsegvetes_2007_bev_2szmell_Dim07" localSheetId="20">#REF!</definedName>
    <definedName name="csexcel_koltsegvetes_2007_bev_2szmell_Dim07" localSheetId="21">#REF!</definedName>
    <definedName name="csexcel_koltsegvetes_2007_bev_2szmell_Dim07" localSheetId="26">#REF!</definedName>
    <definedName name="csexcel_koltsegvetes_2007_bev_2szmell_Dim07">#REF!</definedName>
    <definedName name="csexcel_koltsegvetes_2007_bev_2szmell_Dim08" localSheetId="13">#REF!</definedName>
    <definedName name="csexcel_koltsegvetes_2007_bev_2szmell_Dim08" localSheetId="14">#REF!</definedName>
    <definedName name="csexcel_koltsegvetes_2007_bev_2szmell_Dim08" localSheetId="15">#REF!</definedName>
    <definedName name="csexcel_koltsegvetes_2007_bev_2szmell_Dim08" localSheetId="16">#REF!</definedName>
    <definedName name="csexcel_koltsegvetes_2007_bev_2szmell_Dim08" localSheetId="17">#REF!</definedName>
    <definedName name="csexcel_koltsegvetes_2007_bev_2szmell_Dim08" localSheetId="18">#REF!</definedName>
    <definedName name="csexcel_koltsegvetes_2007_bev_2szmell_Dim08" localSheetId="19">#REF!</definedName>
    <definedName name="csexcel_koltsegvetes_2007_bev_2szmell_Dim08" localSheetId="20">#REF!</definedName>
    <definedName name="csexcel_koltsegvetes_2007_bev_2szmell_Dim08" localSheetId="21">#REF!</definedName>
    <definedName name="csexcel_koltsegvetes_2007_bev_2szmell_Dim08" localSheetId="26">#REF!</definedName>
    <definedName name="csexcel_koltsegvetes_2007_bev_2szmell_Dim08">#REF!</definedName>
    <definedName name="csexcel_koltsegvetes_2007_bev_2szmell_Dim09" localSheetId="13">#REF!</definedName>
    <definedName name="csexcel_koltsegvetes_2007_bev_2szmell_Dim09" localSheetId="14">#REF!</definedName>
    <definedName name="csexcel_koltsegvetes_2007_bev_2szmell_Dim09" localSheetId="15">#REF!</definedName>
    <definedName name="csexcel_koltsegvetes_2007_bev_2szmell_Dim09" localSheetId="16">#REF!</definedName>
    <definedName name="csexcel_koltsegvetes_2007_bev_2szmell_Dim09" localSheetId="17">#REF!</definedName>
    <definedName name="csexcel_koltsegvetes_2007_bev_2szmell_Dim09" localSheetId="18">#REF!</definedName>
    <definedName name="csexcel_koltsegvetes_2007_bev_2szmell_Dim09" localSheetId="19">#REF!</definedName>
    <definedName name="csexcel_koltsegvetes_2007_bev_2szmell_Dim09" localSheetId="20">#REF!</definedName>
    <definedName name="csexcel_koltsegvetes_2007_bev_2szmell_Dim09" localSheetId="21">#REF!</definedName>
    <definedName name="csexcel_koltsegvetes_2007_bev_2szmell_Dim09" localSheetId="26">#REF!</definedName>
    <definedName name="csexcel_koltsegvetes_2007_bev_2szmell_Dim09">#REF!</definedName>
    <definedName name="csexcel_koltsegvetes_2007_bev_2szmell_Dim10">"="</definedName>
    <definedName name="csexcel_koltsegvetes_2007_bev_2szmell_Dim11">"="</definedName>
    <definedName name="csexcel_koltsegvetes_2007_bev_2szmellAnchor" localSheetId="13">#REF!</definedName>
    <definedName name="csexcel_koltsegvetes_2007_bev_2szmellAnchor" localSheetId="14">#REF!</definedName>
    <definedName name="csexcel_koltsegvetes_2007_bev_2szmellAnchor" localSheetId="15">#REF!</definedName>
    <definedName name="csexcel_koltsegvetes_2007_bev_2szmellAnchor" localSheetId="16">#REF!</definedName>
    <definedName name="csexcel_koltsegvetes_2007_bev_2szmellAnchor" localSheetId="17">#REF!</definedName>
    <definedName name="csexcel_koltsegvetes_2007_bev_2szmellAnchor" localSheetId="18">#REF!</definedName>
    <definedName name="csexcel_koltsegvetes_2007_bev_2szmellAnchor" localSheetId="19">#REF!</definedName>
    <definedName name="csexcel_koltsegvetes_2007_bev_2szmellAnchor" localSheetId="20">#REF!</definedName>
    <definedName name="csexcel_koltsegvetes_2007_bev_2szmellAnchor" localSheetId="21">#REF!</definedName>
    <definedName name="csexcel_koltsegvetes_2007_bev_2szmellAnchor" localSheetId="26">#REF!</definedName>
    <definedName name="csexcel_koltsegvetes_2007_bev_2szmellAnchor">#REF!</definedName>
    <definedName name="csexcel_koltsegvetes_2007_kiad_3szmell_Dim01">"="</definedName>
    <definedName name="csexcel_koltsegvetes_2007_kiad_3szmell_Dim02">"="</definedName>
    <definedName name="csexcel_koltsegvetes_2007_kiad_3szmell_Dim03" localSheetId="26">#REF!</definedName>
    <definedName name="csexcel_koltsegvetes_2007_kiad_3szmell_Dim03">#REF!</definedName>
    <definedName name="csexcel_koltsegvetes_2007_kiad_3szmell_Dim04" localSheetId="13">#REF!</definedName>
    <definedName name="csexcel_koltsegvetes_2007_kiad_3szmell_Dim04" localSheetId="14">#REF!</definedName>
    <definedName name="csexcel_koltsegvetes_2007_kiad_3szmell_Dim04" localSheetId="15">#REF!</definedName>
    <definedName name="csexcel_koltsegvetes_2007_kiad_3szmell_Dim04" localSheetId="16">#REF!</definedName>
    <definedName name="csexcel_koltsegvetes_2007_kiad_3szmell_Dim04" localSheetId="17">#REF!</definedName>
    <definedName name="csexcel_koltsegvetes_2007_kiad_3szmell_Dim04" localSheetId="18">#REF!</definedName>
    <definedName name="csexcel_koltsegvetes_2007_kiad_3szmell_Dim04" localSheetId="19">#REF!</definedName>
    <definedName name="csexcel_koltsegvetes_2007_kiad_3szmell_Dim04" localSheetId="20">#REF!</definedName>
    <definedName name="csexcel_koltsegvetes_2007_kiad_3szmell_Dim04" localSheetId="21">#REF!</definedName>
    <definedName name="csexcel_koltsegvetes_2007_kiad_3szmell_Dim04" localSheetId="26">#REF!</definedName>
    <definedName name="csexcel_koltsegvetes_2007_kiad_3szmell_Dim04">#REF!</definedName>
    <definedName name="csexcel_koltsegvetes_2007_kiad_3szmell_Dim05" localSheetId="13">#REF!</definedName>
    <definedName name="csexcel_koltsegvetes_2007_kiad_3szmell_Dim05" localSheetId="14">#REF!</definedName>
    <definedName name="csexcel_koltsegvetes_2007_kiad_3szmell_Dim05" localSheetId="15">#REF!</definedName>
    <definedName name="csexcel_koltsegvetes_2007_kiad_3szmell_Dim05" localSheetId="16">#REF!</definedName>
    <definedName name="csexcel_koltsegvetes_2007_kiad_3szmell_Dim05" localSheetId="17">#REF!</definedName>
    <definedName name="csexcel_koltsegvetes_2007_kiad_3szmell_Dim05" localSheetId="18">#REF!</definedName>
    <definedName name="csexcel_koltsegvetes_2007_kiad_3szmell_Dim05" localSheetId="19">#REF!</definedName>
    <definedName name="csexcel_koltsegvetes_2007_kiad_3szmell_Dim05" localSheetId="20">#REF!</definedName>
    <definedName name="csexcel_koltsegvetes_2007_kiad_3szmell_Dim05" localSheetId="21">#REF!</definedName>
    <definedName name="csexcel_koltsegvetes_2007_kiad_3szmell_Dim05" localSheetId="26">#REF!</definedName>
    <definedName name="csexcel_koltsegvetes_2007_kiad_3szmell_Dim05">#REF!</definedName>
    <definedName name="csexcel_koltsegvetes_2007_kiad_3szmell_Dim06" localSheetId="13">#REF!</definedName>
    <definedName name="csexcel_koltsegvetes_2007_kiad_3szmell_Dim06" localSheetId="14">#REF!</definedName>
    <definedName name="csexcel_koltsegvetes_2007_kiad_3szmell_Dim06" localSheetId="15">#REF!</definedName>
    <definedName name="csexcel_koltsegvetes_2007_kiad_3szmell_Dim06" localSheetId="16">#REF!</definedName>
    <definedName name="csexcel_koltsegvetes_2007_kiad_3szmell_Dim06" localSheetId="17">#REF!</definedName>
    <definedName name="csexcel_koltsegvetes_2007_kiad_3szmell_Dim06" localSheetId="18">#REF!</definedName>
    <definedName name="csexcel_koltsegvetes_2007_kiad_3szmell_Dim06" localSheetId="19">#REF!</definedName>
    <definedName name="csexcel_koltsegvetes_2007_kiad_3szmell_Dim06" localSheetId="20">#REF!</definedName>
    <definedName name="csexcel_koltsegvetes_2007_kiad_3szmell_Dim06" localSheetId="21">#REF!</definedName>
    <definedName name="csexcel_koltsegvetes_2007_kiad_3szmell_Dim06" localSheetId="26">#REF!</definedName>
    <definedName name="csexcel_koltsegvetes_2007_kiad_3szmell_Dim06">#REF!</definedName>
    <definedName name="csexcel_koltsegvetes_2007_kiad_3szmell_Dim07" localSheetId="13">#REF!</definedName>
    <definedName name="csexcel_koltsegvetes_2007_kiad_3szmell_Dim07" localSheetId="14">#REF!</definedName>
    <definedName name="csexcel_koltsegvetes_2007_kiad_3szmell_Dim07" localSheetId="15">#REF!</definedName>
    <definedName name="csexcel_koltsegvetes_2007_kiad_3szmell_Dim07" localSheetId="16">#REF!</definedName>
    <definedName name="csexcel_koltsegvetes_2007_kiad_3szmell_Dim07" localSheetId="17">#REF!</definedName>
    <definedName name="csexcel_koltsegvetes_2007_kiad_3szmell_Dim07" localSheetId="18">#REF!</definedName>
    <definedName name="csexcel_koltsegvetes_2007_kiad_3szmell_Dim07" localSheetId="19">#REF!</definedName>
    <definedName name="csexcel_koltsegvetes_2007_kiad_3szmell_Dim07" localSheetId="20">#REF!</definedName>
    <definedName name="csexcel_koltsegvetes_2007_kiad_3szmell_Dim07" localSheetId="21">#REF!</definedName>
    <definedName name="csexcel_koltsegvetes_2007_kiad_3szmell_Dim07" localSheetId="26">#REF!</definedName>
    <definedName name="csexcel_koltsegvetes_2007_kiad_3szmell_Dim07">#REF!</definedName>
    <definedName name="csexcel_koltsegvetes_2007_kiad_3szmell_Dim08" localSheetId="13">#REF!</definedName>
    <definedName name="csexcel_koltsegvetes_2007_kiad_3szmell_Dim08" localSheetId="14">#REF!</definedName>
    <definedName name="csexcel_koltsegvetes_2007_kiad_3szmell_Dim08" localSheetId="15">#REF!</definedName>
    <definedName name="csexcel_koltsegvetes_2007_kiad_3szmell_Dim08" localSheetId="16">#REF!</definedName>
    <definedName name="csexcel_koltsegvetes_2007_kiad_3szmell_Dim08" localSheetId="17">#REF!</definedName>
    <definedName name="csexcel_koltsegvetes_2007_kiad_3szmell_Dim08" localSheetId="18">#REF!</definedName>
    <definedName name="csexcel_koltsegvetes_2007_kiad_3szmell_Dim08" localSheetId="19">#REF!</definedName>
    <definedName name="csexcel_koltsegvetes_2007_kiad_3szmell_Dim08" localSheetId="20">#REF!</definedName>
    <definedName name="csexcel_koltsegvetes_2007_kiad_3szmell_Dim08" localSheetId="21">#REF!</definedName>
    <definedName name="csexcel_koltsegvetes_2007_kiad_3szmell_Dim08" localSheetId="26">#REF!</definedName>
    <definedName name="csexcel_koltsegvetes_2007_kiad_3szmell_Dim08">#REF!</definedName>
    <definedName name="csexcel_koltsegvetes_2007_kiad_3szmell_Dim09">"="</definedName>
    <definedName name="csexcel_koltsegvetes_2007_kiad_3szmell_Dim10" localSheetId="13">#REF!</definedName>
    <definedName name="csexcel_koltsegvetes_2007_kiad_3szmell_Dim10" localSheetId="14">#REF!</definedName>
    <definedName name="csexcel_koltsegvetes_2007_kiad_3szmell_Dim10" localSheetId="15">#REF!</definedName>
    <definedName name="csexcel_koltsegvetes_2007_kiad_3szmell_Dim10" localSheetId="16">#REF!</definedName>
    <definedName name="csexcel_koltsegvetes_2007_kiad_3szmell_Dim10" localSheetId="17">#REF!</definedName>
    <definedName name="csexcel_koltsegvetes_2007_kiad_3szmell_Dim10" localSheetId="18">#REF!</definedName>
    <definedName name="csexcel_koltsegvetes_2007_kiad_3szmell_Dim10" localSheetId="19">#REF!</definedName>
    <definedName name="csexcel_koltsegvetes_2007_kiad_3szmell_Dim10" localSheetId="20">#REF!</definedName>
    <definedName name="csexcel_koltsegvetes_2007_kiad_3szmell_Dim10" localSheetId="21">#REF!</definedName>
    <definedName name="csexcel_koltsegvetes_2007_kiad_3szmell_Dim10" localSheetId="26">#REF!</definedName>
    <definedName name="csexcel_koltsegvetes_2007_kiad_3szmell_Dim10">#REF!</definedName>
    <definedName name="csexcel_koltsegvetes_2007_kiad_3szmell_Dim11">"="</definedName>
    <definedName name="csexcel_koltsegvetes_2007_kiad_3szmellAnchor" localSheetId="26">#REF!</definedName>
    <definedName name="csexcel_koltsegvetes_2007_kiad_3szmellAnchor">#REF!</definedName>
    <definedName name="csexcel_koncepcio_1szmell_bev_Dim01">"="</definedName>
    <definedName name="csexcel_koncepcio_1szmell_bev_Dim02">"="</definedName>
    <definedName name="csexcel_koncepcio_1szmell_bev_Dim03">#REF!</definedName>
    <definedName name="csexcel_koncepcio_1szmell_bev_Dim04" localSheetId="13">#REF!</definedName>
    <definedName name="csexcel_koncepcio_1szmell_bev_Dim04" localSheetId="14">#REF!</definedName>
    <definedName name="csexcel_koncepcio_1szmell_bev_Dim04" localSheetId="15">#REF!</definedName>
    <definedName name="csexcel_koncepcio_1szmell_bev_Dim04" localSheetId="16">#REF!</definedName>
    <definedName name="csexcel_koncepcio_1szmell_bev_Dim04" localSheetId="17">#REF!</definedName>
    <definedName name="csexcel_koncepcio_1szmell_bev_Dim04" localSheetId="18">#REF!</definedName>
    <definedName name="csexcel_koncepcio_1szmell_bev_Dim04" localSheetId="19">#REF!</definedName>
    <definedName name="csexcel_koncepcio_1szmell_bev_Dim04" localSheetId="20">#REF!</definedName>
    <definedName name="csexcel_koncepcio_1szmell_bev_Dim04" localSheetId="21">#REF!</definedName>
    <definedName name="csexcel_koncepcio_1szmell_bev_Dim04" localSheetId="26">#REF!</definedName>
    <definedName name="csexcel_koncepcio_1szmell_bev_Dim04">#REF!</definedName>
    <definedName name="csexcel_koncepcio_1szmell_bev_Dim05">"="</definedName>
    <definedName name="csexcel_koncepcio_1szmell_bev_Dim06" localSheetId="26">#REF!</definedName>
    <definedName name="csexcel_koncepcio_1szmell_bev_Dim06">#REF!</definedName>
    <definedName name="csexcel_koncepcio_1szmell_bev_Dim07">"="</definedName>
    <definedName name="csexcel_koncepcio_1szmell_bev_Dim08">#REF!</definedName>
    <definedName name="csexcel_koncepcio_1szmell_bev_Dim09" localSheetId="13">#REF!</definedName>
    <definedName name="csexcel_koncepcio_1szmell_bev_Dim09" localSheetId="14">#REF!</definedName>
    <definedName name="csexcel_koncepcio_1szmell_bev_Dim09" localSheetId="15">#REF!</definedName>
    <definedName name="csexcel_koncepcio_1szmell_bev_Dim09" localSheetId="16">#REF!</definedName>
    <definedName name="csexcel_koncepcio_1szmell_bev_Dim09" localSheetId="17">#REF!</definedName>
    <definedName name="csexcel_koncepcio_1szmell_bev_Dim09" localSheetId="18">#REF!</definedName>
    <definedName name="csexcel_koncepcio_1szmell_bev_Dim09" localSheetId="19">#REF!</definedName>
    <definedName name="csexcel_koncepcio_1szmell_bev_Dim09" localSheetId="20">#REF!</definedName>
    <definedName name="csexcel_koncepcio_1szmell_bev_Dim09" localSheetId="21">#REF!</definedName>
    <definedName name="csexcel_koncepcio_1szmell_bev_Dim09" localSheetId="26">#REF!</definedName>
    <definedName name="csexcel_koncepcio_1szmell_bev_Dim09">#REF!</definedName>
    <definedName name="csexcel_koncepcio_1szmell_bev_Dim10" localSheetId="13">#REF!</definedName>
    <definedName name="csexcel_koncepcio_1szmell_bev_Dim10" localSheetId="14">#REF!</definedName>
    <definedName name="csexcel_koncepcio_1szmell_bev_Dim10" localSheetId="15">#REF!</definedName>
    <definedName name="csexcel_koncepcio_1szmell_bev_Dim10" localSheetId="16">#REF!</definedName>
    <definedName name="csexcel_koncepcio_1szmell_bev_Dim10" localSheetId="17">#REF!</definedName>
    <definedName name="csexcel_koncepcio_1szmell_bev_Dim10" localSheetId="18">#REF!</definedName>
    <definedName name="csexcel_koncepcio_1szmell_bev_Dim10" localSheetId="19">#REF!</definedName>
    <definedName name="csexcel_koncepcio_1szmell_bev_Dim10" localSheetId="20">#REF!</definedName>
    <definedName name="csexcel_koncepcio_1szmell_bev_Dim10" localSheetId="21">#REF!</definedName>
    <definedName name="csexcel_koncepcio_1szmell_bev_Dim10" localSheetId="26">#REF!</definedName>
    <definedName name="csexcel_koncepcio_1szmell_bev_Dim10">#REF!</definedName>
    <definedName name="csexcel_koncepcio_1szmell_bev_Dim11" localSheetId="13">#REF!</definedName>
    <definedName name="csexcel_koncepcio_1szmell_bev_Dim11" localSheetId="14">#REF!</definedName>
    <definedName name="csexcel_koncepcio_1szmell_bev_Dim11" localSheetId="15">#REF!</definedName>
    <definedName name="csexcel_koncepcio_1szmell_bev_Dim11" localSheetId="16">#REF!</definedName>
    <definedName name="csexcel_koncepcio_1szmell_bev_Dim11" localSheetId="17">#REF!</definedName>
    <definedName name="csexcel_koncepcio_1szmell_bev_Dim11" localSheetId="18">#REF!</definedName>
    <definedName name="csexcel_koncepcio_1szmell_bev_Dim11" localSheetId="19">#REF!</definedName>
    <definedName name="csexcel_koncepcio_1szmell_bev_Dim11" localSheetId="20">#REF!</definedName>
    <definedName name="csexcel_koncepcio_1szmell_bev_Dim11" localSheetId="21">#REF!</definedName>
    <definedName name="csexcel_koncepcio_1szmell_bev_Dim11" localSheetId="26">#REF!</definedName>
    <definedName name="csexcel_koncepcio_1szmell_bev_Dim11">#REF!</definedName>
    <definedName name="csexcel_koncepcio_1szmell_bevAnchor" localSheetId="13">#REF!</definedName>
    <definedName name="csexcel_koncepcio_1szmell_bevAnchor" localSheetId="14">#REF!</definedName>
    <definedName name="csexcel_koncepcio_1szmell_bevAnchor" localSheetId="15">#REF!</definedName>
    <definedName name="csexcel_koncepcio_1szmell_bevAnchor" localSheetId="16">#REF!</definedName>
    <definedName name="csexcel_koncepcio_1szmell_bevAnchor" localSheetId="17">#REF!</definedName>
    <definedName name="csexcel_koncepcio_1szmell_bevAnchor" localSheetId="18">#REF!</definedName>
    <definedName name="csexcel_koncepcio_1szmell_bevAnchor" localSheetId="19">#REF!</definedName>
    <definedName name="csexcel_koncepcio_1szmell_bevAnchor" localSheetId="20">#REF!</definedName>
    <definedName name="csexcel_koncepcio_1szmell_bevAnchor" localSheetId="21">#REF!</definedName>
    <definedName name="csexcel_koncepcio_1szmell_bevAnchor" localSheetId="26">#REF!</definedName>
    <definedName name="csexcel_koncepcio_1szmell_bevAnchor">#REF!</definedName>
    <definedName name="csexcel_koncepcio_1szmell_kiad_Dim01">"="</definedName>
    <definedName name="csexcel_koncepcio_1szmell_kiad_Dim02">"="</definedName>
    <definedName name="csexcel_koncepcio_1szmell_kiad_Dim03" localSheetId="13">#REF!</definedName>
    <definedName name="csexcel_koncepcio_1szmell_kiad_Dim03" localSheetId="14">#REF!</definedName>
    <definedName name="csexcel_koncepcio_1szmell_kiad_Dim03" localSheetId="15">#REF!</definedName>
    <definedName name="csexcel_koncepcio_1szmell_kiad_Dim03" localSheetId="16">#REF!</definedName>
    <definedName name="csexcel_koncepcio_1szmell_kiad_Dim03" localSheetId="17">#REF!</definedName>
    <definedName name="csexcel_koncepcio_1szmell_kiad_Dim03" localSheetId="18">#REF!</definedName>
    <definedName name="csexcel_koncepcio_1szmell_kiad_Dim03" localSheetId="19">#REF!</definedName>
    <definedName name="csexcel_koncepcio_1szmell_kiad_Dim03" localSheetId="20">#REF!</definedName>
    <definedName name="csexcel_koncepcio_1szmell_kiad_Dim03" localSheetId="21">#REF!</definedName>
    <definedName name="csexcel_koncepcio_1szmell_kiad_Dim03" localSheetId="26">#REF!</definedName>
    <definedName name="csexcel_koncepcio_1szmell_kiad_Dim03">#REF!</definedName>
    <definedName name="csexcel_koncepcio_1szmell_kiad_Dim04" localSheetId="13">#REF!</definedName>
    <definedName name="csexcel_koncepcio_1szmell_kiad_Dim04" localSheetId="14">#REF!</definedName>
    <definedName name="csexcel_koncepcio_1szmell_kiad_Dim04" localSheetId="15">#REF!</definedName>
    <definedName name="csexcel_koncepcio_1szmell_kiad_Dim04" localSheetId="16">#REF!</definedName>
    <definedName name="csexcel_koncepcio_1szmell_kiad_Dim04" localSheetId="17">#REF!</definedName>
    <definedName name="csexcel_koncepcio_1szmell_kiad_Dim04" localSheetId="18">#REF!</definedName>
    <definedName name="csexcel_koncepcio_1szmell_kiad_Dim04" localSheetId="19">#REF!</definedName>
    <definedName name="csexcel_koncepcio_1szmell_kiad_Dim04" localSheetId="20">#REF!</definedName>
    <definedName name="csexcel_koncepcio_1szmell_kiad_Dim04" localSheetId="21">#REF!</definedName>
    <definedName name="csexcel_koncepcio_1szmell_kiad_Dim04" localSheetId="26">#REF!</definedName>
    <definedName name="csexcel_koncepcio_1szmell_kiad_Dim04">#REF!</definedName>
    <definedName name="csexcel_koncepcio_1szmell_kiad_Dim05">"="</definedName>
    <definedName name="csexcel_koncepcio_1szmell_kiad_Dim06" localSheetId="26">#REF!</definedName>
    <definedName name="csexcel_koncepcio_1szmell_kiad_Dim06">#REF!</definedName>
    <definedName name="csexcel_koncepcio_1szmell_kiad_Dim07">"="</definedName>
    <definedName name="csexcel_koncepcio_1szmell_kiad_Dim08">#REF!</definedName>
    <definedName name="csexcel_koncepcio_1szmell_kiad_Dim09" localSheetId="13">#REF!</definedName>
    <definedName name="csexcel_koncepcio_1szmell_kiad_Dim09" localSheetId="14">#REF!</definedName>
    <definedName name="csexcel_koncepcio_1szmell_kiad_Dim09" localSheetId="15">#REF!</definedName>
    <definedName name="csexcel_koncepcio_1szmell_kiad_Dim09" localSheetId="16">#REF!</definedName>
    <definedName name="csexcel_koncepcio_1szmell_kiad_Dim09" localSheetId="17">#REF!</definedName>
    <definedName name="csexcel_koncepcio_1szmell_kiad_Dim09" localSheetId="18">#REF!</definedName>
    <definedName name="csexcel_koncepcio_1szmell_kiad_Dim09" localSheetId="19">#REF!</definedName>
    <definedName name="csexcel_koncepcio_1szmell_kiad_Dim09" localSheetId="20">#REF!</definedName>
    <definedName name="csexcel_koncepcio_1szmell_kiad_Dim09" localSheetId="21">#REF!</definedName>
    <definedName name="csexcel_koncepcio_1szmell_kiad_Dim09" localSheetId="26">#REF!</definedName>
    <definedName name="csexcel_koncepcio_1szmell_kiad_Dim09">#REF!</definedName>
    <definedName name="csexcel_koncepcio_1szmell_kiad_Dim10" localSheetId="13">#REF!</definedName>
    <definedName name="csexcel_koncepcio_1szmell_kiad_Dim10" localSheetId="14">#REF!</definedName>
    <definedName name="csexcel_koncepcio_1szmell_kiad_Dim10" localSheetId="15">#REF!</definedName>
    <definedName name="csexcel_koncepcio_1szmell_kiad_Dim10" localSheetId="16">#REF!</definedName>
    <definedName name="csexcel_koncepcio_1szmell_kiad_Dim10" localSheetId="17">#REF!</definedName>
    <definedName name="csexcel_koncepcio_1szmell_kiad_Dim10" localSheetId="18">#REF!</definedName>
    <definedName name="csexcel_koncepcio_1szmell_kiad_Dim10" localSheetId="19">#REF!</definedName>
    <definedName name="csexcel_koncepcio_1szmell_kiad_Dim10" localSheetId="20">#REF!</definedName>
    <definedName name="csexcel_koncepcio_1szmell_kiad_Dim10" localSheetId="21">#REF!</definedName>
    <definedName name="csexcel_koncepcio_1szmell_kiad_Dim10" localSheetId="26">#REF!</definedName>
    <definedName name="csexcel_koncepcio_1szmell_kiad_Dim10">#REF!</definedName>
    <definedName name="csexcel_koncepcio_1szmell_kiad_Dim11" localSheetId="13">#REF!</definedName>
    <definedName name="csexcel_koncepcio_1szmell_kiad_Dim11" localSheetId="14">#REF!</definedName>
    <definedName name="csexcel_koncepcio_1szmell_kiad_Dim11" localSheetId="15">#REF!</definedName>
    <definedName name="csexcel_koncepcio_1szmell_kiad_Dim11" localSheetId="16">#REF!</definedName>
    <definedName name="csexcel_koncepcio_1szmell_kiad_Dim11" localSheetId="17">#REF!</definedName>
    <definedName name="csexcel_koncepcio_1szmell_kiad_Dim11" localSheetId="18">#REF!</definedName>
    <definedName name="csexcel_koncepcio_1szmell_kiad_Dim11" localSheetId="19">#REF!</definedName>
    <definedName name="csexcel_koncepcio_1szmell_kiad_Dim11" localSheetId="20">#REF!</definedName>
    <definedName name="csexcel_koncepcio_1szmell_kiad_Dim11" localSheetId="21">#REF!</definedName>
    <definedName name="csexcel_koncepcio_1szmell_kiad_Dim11" localSheetId="26">#REF!</definedName>
    <definedName name="csexcel_koncepcio_1szmell_kiad_Dim11">#REF!</definedName>
    <definedName name="csexcel_koncepcio_1szmell_kiadAnchor" localSheetId="13">#REF!</definedName>
    <definedName name="csexcel_koncepcio_1szmell_kiadAnchor" localSheetId="14">#REF!</definedName>
    <definedName name="csexcel_koncepcio_1szmell_kiadAnchor" localSheetId="15">#REF!</definedName>
    <definedName name="csexcel_koncepcio_1szmell_kiadAnchor" localSheetId="16">#REF!</definedName>
    <definedName name="csexcel_koncepcio_1szmell_kiadAnchor" localSheetId="17">#REF!</definedName>
    <definedName name="csexcel_koncepcio_1szmell_kiadAnchor" localSheetId="18">#REF!</definedName>
    <definedName name="csexcel_koncepcio_1szmell_kiadAnchor" localSheetId="19">#REF!</definedName>
    <definedName name="csexcel_koncepcio_1szmell_kiadAnchor" localSheetId="20">#REF!</definedName>
    <definedName name="csexcel_koncepcio_1szmell_kiadAnchor" localSheetId="21">#REF!</definedName>
    <definedName name="csexcel_koncepcio_1szmell_kiadAnchor" localSheetId="26">#REF!</definedName>
    <definedName name="csexcel_koncepcio_1szmell_kiadAnchor">#REF!</definedName>
    <definedName name="csexcel_Nemet_rend_tabla_konc_Dim01">"="</definedName>
    <definedName name="csexcel_Nemet_rend_tabla_konc_Dim02">"="</definedName>
    <definedName name="csexcel_Nemet_rend_tabla_konc_Dim03">"="</definedName>
    <definedName name="csexcel_Nemet_rend_tabla_konc_Dim04">"="</definedName>
    <definedName name="csexcel_Nemet_rend_tabla_konc_Dim05">"="</definedName>
    <definedName name="csexcel_Nemet_rend_tabla_konc_Dim06">"="</definedName>
    <definedName name="csexcel_Nemet_rend_tabla_konc_Dim07">"="</definedName>
    <definedName name="csexcel_Nemet_rend_tabla_konc_Dim08">"="</definedName>
    <definedName name="csexcel_Nemet_rend_tabla_konc_Dim09">"="</definedName>
    <definedName name="csexcel_Nemet_rend_tabla_konc_Dim10">"="</definedName>
    <definedName name="csexcel_Nemet_rend_tabla_konc_Dim11">"="</definedName>
    <definedName name="csexcel_Nemet_rend_tabla_konc_Dim12">"="</definedName>
    <definedName name="csexcel_Szlovak_rend_tabla_konc_Dim01">"="</definedName>
    <definedName name="csexcel_Szlovak_rend_tabla_konc_Dim02">"="</definedName>
    <definedName name="csexcel_Szlovak_rend_tabla_konc_Dim03">"="</definedName>
    <definedName name="csexcel_Szlovak_rend_tabla_konc_Dim04">"="</definedName>
    <definedName name="csexcel_Szlovak_rend_tabla_konc_Dim05">"="</definedName>
    <definedName name="csexcel_Szlovak_rend_tabla_konc_Dim06">"="</definedName>
    <definedName name="csexcel_Szlovak_rend_tabla_konc_Dim07">"="</definedName>
    <definedName name="csexcel_Szlovak_rend_tabla_konc_Dim08">"="</definedName>
    <definedName name="csexcel_Szlovak_rend_tabla_konc_Dim09">"="</definedName>
    <definedName name="csexcel_Szlovak_rend_tabla_konc_Dim10">"="</definedName>
    <definedName name="csexcel_Szlovak_rend_tabla_konc_Dim11">"="</definedName>
    <definedName name="csexcel_Szlovak_rend_tabla_konc_Dim12">"="</definedName>
    <definedName name="csexcel_Tiszk_rend_tabla_konc_Dim01">"="</definedName>
    <definedName name="csexcel_Tiszk_rend_tabla_konc_Dim02">"="</definedName>
    <definedName name="csexcel_Tiszk_rend_tabla_konc_Dim03">"="</definedName>
    <definedName name="csexcel_Tiszk_rend_tabla_konc_Dim04">"="</definedName>
    <definedName name="csexcel_Tiszk_rend_tabla_konc_Dim05">"="</definedName>
    <definedName name="csexcel_Tiszk_rend_tabla_konc_Dim06">"="</definedName>
    <definedName name="csexcel_Tiszk_rend_tabla_konc_Dim07">"="</definedName>
    <definedName name="csexcel_Tiszk_rend_tabla_konc_Dim08">"="</definedName>
    <definedName name="csexcel_Tiszk_rend_tabla_konc_Dim09">"="</definedName>
    <definedName name="csexcel_Tiszk_rend_tabla_konc_Dim10">"="</definedName>
    <definedName name="csexcel_Tiszk_rend_tabla_konc_Dim11">"="</definedName>
    <definedName name="csexcel_Tiszk_rend_tabla_konc_Dim12">"="</definedName>
    <definedName name="csFeichtinger_rendeleti_tabla_excel_Dim01">"="</definedName>
    <definedName name="csFeichtinger_rendeleti_tabla_excel_Dim02">"="</definedName>
    <definedName name="csFeichtinger_rendeleti_tabla_excel_Dim03">"="</definedName>
    <definedName name="csFeichtinger_rendeleti_tabla_excel_Dim04">"="</definedName>
    <definedName name="csFeichtinger_rendeleti_tabla_excel_Dim05">"="</definedName>
    <definedName name="csFeichtinger_rendeleti_tabla_excel_Dim06">"="</definedName>
    <definedName name="csFeichtinger_rendeleti_tabla_excel_Dim07">"="</definedName>
    <definedName name="csFeichtinger_rendeleti_tabla_excel_Dim08">"="</definedName>
    <definedName name="csFeichtinger_rendeleti_tabla_excel_Dim09">"="</definedName>
    <definedName name="csFeichtinger_rendeleti_tabla_excel_Dim10">"="</definedName>
    <definedName name="csFeichtinger_rendeleti_tabla_excel_Dim11">"="</definedName>
    <definedName name="csFeichtinger_rendeleti_tabla_excel_Dim12">"="</definedName>
    <definedName name="csfelhalmozas_merleg_bev_excel_Dim01">"="</definedName>
    <definedName name="csfelhalmozas_merleg_bev_excel_Dim02">"="</definedName>
    <definedName name="csfelhalmozas_merleg_bev_excel_Dim03">"="</definedName>
    <definedName name="csfelhalmozas_merleg_bev_excel_Dim04">"="</definedName>
    <definedName name="csfelhalmozas_merleg_bev_excel_Dim05">"="</definedName>
    <definedName name="csfelhalmozas_merleg_bev_excel_Dim06">"="</definedName>
    <definedName name="csfelhalmozas_merleg_bev_excel_Dim07">"="</definedName>
    <definedName name="csfelhalmozas_merleg_bev_excel_Dim08">"="</definedName>
    <definedName name="csfelhalmozas_merleg_bev_excel_Dim09">"="</definedName>
    <definedName name="csfelhalmozas_merleg_bev_excel_Dim10">"="</definedName>
    <definedName name="csfelhalmozas_merleg_bev_excel_Dim11">"="</definedName>
    <definedName name="csfelhalmozas_merleg_bev_excel_Dim12">"="</definedName>
    <definedName name="csfelhalmozas_merleg_bev_excelAnchor" localSheetId="13">#REF!</definedName>
    <definedName name="csfelhalmozas_merleg_bev_excelAnchor" localSheetId="14">#REF!</definedName>
    <definedName name="csfelhalmozas_merleg_bev_excelAnchor" localSheetId="15">#REF!</definedName>
    <definedName name="csfelhalmozas_merleg_bev_excelAnchor" localSheetId="16">#REF!</definedName>
    <definedName name="csfelhalmozas_merleg_bev_excelAnchor" localSheetId="17">#REF!</definedName>
    <definedName name="csfelhalmozas_merleg_bev_excelAnchor" localSheetId="18">#REF!</definedName>
    <definedName name="csfelhalmozas_merleg_bev_excelAnchor" localSheetId="19">#REF!</definedName>
    <definedName name="csfelhalmozas_merleg_bev_excelAnchor" localSheetId="20">#REF!</definedName>
    <definedName name="csfelhalmozas_merleg_bev_excelAnchor" localSheetId="21">#REF!</definedName>
    <definedName name="csfelhalmozas_merleg_bev_excelAnchor" localSheetId="26">#REF!</definedName>
    <definedName name="csfelhalmozas_merleg_bev_excelAnchor">#REF!</definedName>
    <definedName name="csfelhalmozas_merleg_kiad_excel_Dim01">"="</definedName>
    <definedName name="csfelhalmozas_merleg_kiad_excel_Dim02">"="</definedName>
    <definedName name="csfelhalmozas_merleg_kiad_excel_Dim03">"="</definedName>
    <definedName name="csfelhalmozas_merleg_kiad_excel_Dim04">"="</definedName>
    <definedName name="csfelhalmozas_merleg_kiad_excel_Dim05">"="</definedName>
    <definedName name="csfelhalmozas_merleg_kiad_excel_Dim06">"="</definedName>
    <definedName name="csfelhalmozas_merleg_kiad_excel_Dim07">"="</definedName>
    <definedName name="csfelhalmozas_merleg_kiad_excel_Dim08">"="</definedName>
    <definedName name="csfelhalmozas_merleg_kiad_excel_Dim09">"="</definedName>
    <definedName name="csfelhalmozas_merleg_kiad_excel_Dim10">"="</definedName>
    <definedName name="csfelhalmozas_merleg_kiad_excel_Dim11">"="</definedName>
    <definedName name="csfelhalmozas_merleg_kiad_excel_Dim12">"="</definedName>
    <definedName name="csfelhalmozas_merleg_kiad_excelAnchor" localSheetId="26">#REF!</definedName>
    <definedName name="csfelhalmozas_merleg_kiad_excelAnchor">#REF!</definedName>
    <definedName name="csfo_merleg_kiad_Dim01">"="</definedName>
    <definedName name="csfo_merleg_kiad_Dim02">"="</definedName>
    <definedName name="csfo_merleg_kiad_Dim03">"="</definedName>
    <definedName name="csfo_merleg_kiad_Dim04">"="</definedName>
    <definedName name="csfo_merleg_kiad_Dim05">"="</definedName>
    <definedName name="csfo_merleg_kiad_Dim06">"="</definedName>
    <definedName name="csfo_merleg_kiad_Dim07">"="</definedName>
    <definedName name="csfo_merleg_kiad_Dim08">"="</definedName>
    <definedName name="csfo_merleg_kiad_Dim09">"="</definedName>
    <definedName name="csfo_merleg_kiad_Dim10">"="</definedName>
    <definedName name="csfo_merleg_kiad_Dim11">"="</definedName>
    <definedName name="csfo_merleg_kiad_Dim12">"="</definedName>
    <definedName name="csfo_merleg_kiadAnchor">#REF!</definedName>
    <definedName name="csFogyatekos_tokodaltaro_rendeleti_tabla_excel_Dim01">"="</definedName>
    <definedName name="csFogyatekos_tokodaltaro_rendeleti_tabla_excel_Dim02">"="</definedName>
    <definedName name="csFogyatekos_tokodaltaro_rendeleti_tabla_excel_Dim03">"="</definedName>
    <definedName name="csFogyatekos_tokodaltaro_rendeleti_tabla_excel_Dim04">"="</definedName>
    <definedName name="csFogyatekos_tokodaltaro_rendeleti_tabla_excel_Dim05">"="</definedName>
    <definedName name="csFogyatekos_tokodaltaro_rendeleti_tabla_excel_Dim06">"="</definedName>
    <definedName name="csFogyatekos_tokodaltaro_rendeleti_tabla_excel_Dim07">"="</definedName>
    <definedName name="csFogyatekos_tokodaltaro_rendeleti_tabla_excel_Dim08">"="</definedName>
    <definedName name="csFogyatekos_tokodaltaro_rendeleti_tabla_excel_Dim09">"="</definedName>
    <definedName name="csFogyatekos_tokodaltaro_rendeleti_tabla_excel_Dim10">"="</definedName>
    <definedName name="csFogyatekos_tokodaltaro_rendeleti_tabla_excel_Dim11">"="</definedName>
    <definedName name="csFogyatekos_tokodaltaro_rendeleti_tabla_excel_Dim12">"="</definedName>
    <definedName name="csfomerleg_bev_Dim01">"="</definedName>
    <definedName name="csfomerleg_bev_Dim02">"="</definedName>
    <definedName name="csfomerleg_bev_Dim03">"="</definedName>
    <definedName name="csfomerleg_bev_Dim04">"="</definedName>
    <definedName name="csfomerleg_bev_Dim05">"="</definedName>
    <definedName name="csfomerleg_bev_Dim06">"="</definedName>
    <definedName name="csfomerleg_bev_Dim07">"="</definedName>
    <definedName name="csfomerleg_bev_Dim08">"="</definedName>
    <definedName name="csfomerleg_bev_Dim09">"="</definedName>
    <definedName name="csfomerleg_bev_Dim10">"="</definedName>
    <definedName name="csfomerleg_bev_Dim11">"="</definedName>
    <definedName name="csfomerleg_bev_Dim12">"="</definedName>
    <definedName name="csfomerleg_bev_mod_Dim01">"="</definedName>
    <definedName name="csfomerleg_bev_mod_Dim02">"="</definedName>
    <definedName name="csfomerleg_bev_mod_Dim03">"="</definedName>
    <definedName name="csfomerleg_bev_mod_Dim04">"="</definedName>
    <definedName name="csfomerleg_bev_mod_Dim05">"="</definedName>
    <definedName name="csfomerleg_bev_mod_Dim06">"="</definedName>
    <definedName name="csfomerleg_bev_mod_Dim07">"="</definedName>
    <definedName name="csfomerleg_bev_mod_Dim08">"="</definedName>
    <definedName name="csfomerleg_bev_mod_Dim09">"="</definedName>
    <definedName name="csfomerleg_bev_mod_Dim10">"="</definedName>
    <definedName name="csfomerleg_bev_mod_Dim11">"="</definedName>
    <definedName name="csfomerleg_bev_mod_Dim12">"="</definedName>
    <definedName name="csfomerleg_bevAnchor">#REF!</definedName>
    <definedName name="csGeza_fejedelem_rendeleti_tabla_excel_Dim01">"="</definedName>
    <definedName name="csGeza_fejedelem_rendeleti_tabla_excel_Dim02">"="</definedName>
    <definedName name="csGeza_fejedelem_rendeleti_tabla_excel_Dim03">"="</definedName>
    <definedName name="csGeza_fejedelem_rendeleti_tabla_excel_Dim04">"="</definedName>
    <definedName name="csGeza_fejedelem_rendeleti_tabla_excel_Dim05">"="</definedName>
    <definedName name="csGeza_fejedelem_rendeleti_tabla_excel_Dim06">"="</definedName>
    <definedName name="csGeza_fejedelem_rendeleti_tabla_excel_Dim07">"="</definedName>
    <definedName name="csGeza_fejedelem_rendeleti_tabla_excel_Dim08">"="</definedName>
    <definedName name="csGeza_fejedelem_rendeleti_tabla_excel_Dim09">"="</definedName>
    <definedName name="csGeza_fejedelem_rendeleti_tabla_excel_Dim10">"="</definedName>
    <definedName name="csGeza_fejedelem_rendeleti_tabla_excel_Dim11">"="</definedName>
    <definedName name="csGeza_fejedelem_rendeleti_tabla_excel_Dim12">"="</definedName>
    <definedName name="csGyermekvedelmi_rendeleti_tabla_excel_Dim01">"="</definedName>
    <definedName name="csGyermekvedelmi_rendeleti_tabla_excel_Dim02">"="</definedName>
    <definedName name="csGyermekvedelmi_rendeleti_tabla_excel_Dim03">"="</definedName>
    <definedName name="csGyermekvedelmi_rendeleti_tabla_excel_Dim04">"="</definedName>
    <definedName name="csGyermekvedelmi_rendeleti_tabla_excel_Dim05">"="</definedName>
    <definedName name="csGyermekvedelmi_rendeleti_tabla_excel_Dim06">"="</definedName>
    <definedName name="csGyermekvedelmi_rendeleti_tabla_excel_Dim07">"="</definedName>
    <definedName name="csGyermekvedelmi_rendeleti_tabla_excel_Dim08">"="</definedName>
    <definedName name="csGyermekvedelmi_rendeleti_tabla_excel_Dim09">"="</definedName>
    <definedName name="csGyermekvedelmi_rendeleti_tabla_excel_Dim10">"="</definedName>
    <definedName name="csGyermekvedelmi_rendeleti_tabla_excel_Dim11">"="</definedName>
    <definedName name="csGyermekvedelmi_rendeleti_tabla_excel_Dim12">"="</definedName>
    <definedName name="csHegyhati_rendeleti_tabla_excel_Dim01">"="</definedName>
    <definedName name="csHegyhati_rendeleti_tabla_excel_Dim02">"="</definedName>
    <definedName name="csHegyhati_rendeleti_tabla_excel_Dim03">"="</definedName>
    <definedName name="csHegyhati_rendeleti_tabla_excel_Dim04">"="</definedName>
    <definedName name="csHegyhati_rendeleti_tabla_excel_Dim05">"="</definedName>
    <definedName name="csHegyhati_rendeleti_tabla_excel_Dim06">"="</definedName>
    <definedName name="csHegyhati_rendeleti_tabla_excel_Dim07">"="</definedName>
    <definedName name="csHegyhati_rendeleti_tabla_excel_Dim08">"="</definedName>
    <definedName name="csHegyhati_rendeleti_tabla_excel_Dim09">"="</definedName>
    <definedName name="csHegyhati_rendeleti_tabla_excel_Dim10">"="</definedName>
    <definedName name="csHegyhati_rendeleti_tabla_excel_Dim11">"="</definedName>
    <definedName name="csHegyhati_rendeleti_tabla_excel_Dim12">"="</definedName>
    <definedName name="cshivatal_rendeleti_tabla_excel_Dim01">"="</definedName>
    <definedName name="cshivatal_rendeleti_tabla_excel_Dim02">"="</definedName>
    <definedName name="cshivatal_rendeleti_tabla_excel_Dim03">"="</definedName>
    <definedName name="cshivatal_rendeleti_tabla_excel_Dim04">"="</definedName>
    <definedName name="cshivatal_rendeleti_tabla_excel_Dim05">"="</definedName>
    <definedName name="cshivatal_rendeleti_tabla_excel_Dim06">"="</definedName>
    <definedName name="cshivatal_rendeleti_tabla_excel_Dim07">"="</definedName>
    <definedName name="cshivatal_rendeleti_tabla_excel_Dim08">"="</definedName>
    <definedName name="cshivatal_rendeleti_tabla_excel_Dim09">"="</definedName>
    <definedName name="cshivatal_rendeleti_tabla_excel_Dim10">"="</definedName>
    <definedName name="cshivatal_rendeleti_tabla_excel_Dim11">"="</definedName>
    <definedName name="cshivatal_rendeleti_tabla_excel_Dim12">"="</definedName>
    <definedName name="cshivatal_rendeleti_tabla_excelAnchor">#REF!</definedName>
    <definedName name="csIntegralt_szoc_int_rendeleti_tabla_excel_Dim01">"="</definedName>
    <definedName name="csIntegralt_szoc_int_rendeleti_tabla_excel_Dim02">"="</definedName>
    <definedName name="csIntegralt_szoc_int_rendeleti_tabla_excel_Dim03">"="</definedName>
    <definedName name="csIntegralt_szoc_int_rendeleti_tabla_excel_Dim04">"="</definedName>
    <definedName name="csIntegralt_szoc_int_rendeleti_tabla_excel_Dim05">"="</definedName>
    <definedName name="csIntegralt_szoc_int_rendeleti_tabla_excel_Dim06">"="</definedName>
    <definedName name="csIntegralt_szoc_int_rendeleti_tabla_excel_Dim07">"="</definedName>
    <definedName name="csIntegralt_szoc_int_rendeleti_tabla_excel_Dim08">"="</definedName>
    <definedName name="csIntegralt_szoc_int_rendeleti_tabla_excel_Dim09">"="</definedName>
    <definedName name="csIntegralt_szoc_int_rendeleti_tabla_excel_Dim10">"="</definedName>
    <definedName name="csIntegralt_szoc_int_rendeleti_tabla_excel_Dim11">"="</definedName>
    <definedName name="csIntegralt_szoc_int_rendeleti_tabla_excel_Dim12">"="</definedName>
    <definedName name="csintezmenyi_rendeleti_tabla_excel_Dim01">"="</definedName>
    <definedName name="csintezmenyi_rendeleti_tabla_excel_Dim02">"="</definedName>
    <definedName name="csintezmenyi_rendeleti_tabla_excel_Dim03">"="</definedName>
    <definedName name="csintezmenyi_rendeleti_tabla_excel_Dim04">"="</definedName>
    <definedName name="csintezmenyi_rendeleti_tabla_excel_Dim05">"="</definedName>
    <definedName name="csintezmenyi_rendeleti_tabla_excel_Dim06">"="</definedName>
    <definedName name="csintezmenyi_rendeleti_tabla_excel_Dim07">"="</definedName>
    <definedName name="csintezmenyi_rendeleti_tabla_excel_Dim08">"="</definedName>
    <definedName name="csintezmenyi_rendeleti_tabla_excel_Dim09">"="</definedName>
    <definedName name="csintezmenyi_rendeleti_tabla_excel_Dim10">"="</definedName>
    <definedName name="csintezmenyi_rendeleti_tabla_excel_Dim11">"="</definedName>
    <definedName name="csintezmenyi_rendeleti_tabla_excel_Dim12">"="</definedName>
    <definedName name="csJavorka_rendeleti_tabla_excel_Dim01">"="</definedName>
    <definedName name="csJavorka_rendeleti_tabla_excel_Dim02">"="</definedName>
    <definedName name="csJavorka_rendeleti_tabla_excel_Dim03">"="</definedName>
    <definedName name="csJavorka_rendeleti_tabla_excel_Dim04">"="</definedName>
    <definedName name="csJavorka_rendeleti_tabla_excel_Dim05">"="</definedName>
    <definedName name="csJavorka_rendeleti_tabla_excel_Dim06">"="</definedName>
    <definedName name="csJavorka_rendeleti_tabla_excel_Dim07">"="</definedName>
    <definedName name="csJavorka_rendeleti_tabla_excel_Dim08">"="</definedName>
    <definedName name="csJavorka_rendeleti_tabla_excel_Dim09">"="</definedName>
    <definedName name="csJavorka_rendeleti_tabla_excel_Dim10">"="</definedName>
    <definedName name="csJavorka_rendeleti_tabla_excel_Dim11">"="</definedName>
    <definedName name="csJavorka_rendeleti_tabla_excel_Dim12">"="</definedName>
    <definedName name="csJokai_rendeleti_tabla_excel_Dim01">"="</definedName>
    <definedName name="csJokai_rendeleti_tabla_excel_Dim02">"="</definedName>
    <definedName name="csJokai_rendeleti_tabla_excel_Dim03">"="</definedName>
    <definedName name="csJokai_rendeleti_tabla_excel_Dim04">"="</definedName>
    <definedName name="csJokai_rendeleti_tabla_excel_Dim05">"="</definedName>
    <definedName name="csJokai_rendeleti_tabla_excel_Dim06">"="</definedName>
    <definedName name="csJokai_rendeleti_tabla_excel_Dim07">"="</definedName>
    <definedName name="csJokai_rendeleti_tabla_excel_Dim08">"="</definedName>
    <definedName name="csJokai_rendeleti_tabla_excel_Dim09">"="</definedName>
    <definedName name="csJokai_rendeleti_tabla_excel_Dim10">"="</definedName>
    <definedName name="csJokai_rendeleti_tabla_excel_Dim11">"="</definedName>
    <definedName name="csJokai_rendeleti_tabla_excel_Dim12">"="</definedName>
    <definedName name="csJozsef_A_konyvtar_rendeleti_tabla_excel_Dim01">"="</definedName>
    <definedName name="csJozsef_A_konyvtar_rendeleti_tabla_excel_Dim02">"="</definedName>
    <definedName name="csJozsef_A_konyvtar_rendeleti_tabla_excel_Dim03">"="</definedName>
    <definedName name="csJozsef_A_konyvtar_rendeleti_tabla_excel_Dim04">"="</definedName>
    <definedName name="csJozsef_A_konyvtar_rendeleti_tabla_excel_Dim05">"="</definedName>
    <definedName name="csJozsef_A_konyvtar_rendeleti_tabla_excel_Dim06">"="</definedName>
    <definedName name="csJozsef_A_konyvtar_rendeleti_tabla_excel_Dim07">"="</definedName>
    <definedName name="csJozsef_A_konyvtar_rendeleti_tabla_excel_Dim08">"="</definedName>
    <definedName name="csJozsef_A_konyvtar_rendeleti_tabla_excel_Dim09">"="</definedName>
    <definedName name="csJozsef_A_konyvtar_rendeleti_tabla_excel_Dim10">"="</definedName>
    <definedName name="csJozsef_A_konyvtar_rendeleti_tabla_excel_Dim11">"="</definedName>
    <definedName name="csJozsef_A_konyvtar_rendeleti_tabla_excel_Dim12">"="</definedName>
    <definedName name="csKeepAlive">5</definedName>
    <definedName name="cskimutatas_2009_kv_Dim01">"="</definedName>
    <definedName name="cskimutatas_2009_kv_Dim02">"="</definedName>
    <definedName name="cskimutatas_2009_kv_Dim03">"="</definedName>
    <definedName name="cskimutatas_2009_kv_Dim04">"="</definedName>
    <definedName name="cskimutatas_2009_kv_Dim05">"="</definedName>
    <definedName name="cskimutatas_2009_kv_Dim06">"="</definedName>
    <definedName name="cskimutatas_2009_kv_Dim07">"="</definedName>
    <definedName name="cskimutatas_2009_kv_Dim08">"="</definedName>
    <definedName name="cskimutatas_2009_kv_Dim09">#REF!</definedName>
    <definedName name="cskimutatas_2009_kv_Dim10">"="</definedName>
    <definedName name="cskimutatas_2009_kv_Dim11">#REF!</definedName>
    <definedName name="cskimutatas_2009_kv_Dim12">"="</definedName>
    <definedName name="cskimutatas_2009_kvAnchor">#REF!</definedName>
    <definedName name="cskimutatas_bev_fobb_jogcim_Dim01">"="</definedName>
    <definedName name="cskimutatas_bev_fobb_jogcim_Dim02">"="</definedName>
    <definedName name="cskimutatas_bev_fobb_jogcim_Dim03">"="</definedName>
    <definedName name="cskimutatas_bev_fobb_jogcim_Dim04">"="</definedName>
    <definedName name="cskimutatas_bev_fobb_jogcim_Dim05">"="</definedName>
    <definedName name="cskimutatas_bev_fobb_jogcim_Dim06">"="</definedName>
    <definedName name="cskimutatas_bev_fobb_jogcim_Dim07">"="</definedName>
    <definedName name="cskimutatas_bev_fobb_jogcim_Dim08">"="</definedName>
    <definedName name="cskimutatas_bev_fobb_jogcim_Dim09">"="</definedName>
    <definedName name="cskimutatas_bev_fobb_jogcim_Dim10">"="</definedName>
    <definedName name="cskimutatas_bev_fobb_jogcim_Dim11">"="</definedName>
    <definedName name="cskimutatas_bev_fobb_jogcim_Dim12">"="</definedName>
    <definedName name="cskimutatas_bev_fobb_jogcimAnchor">[2]Bevétel!$A$10</definedName>
    <definedName name="cskimutatas_felhalmmerleg_bev_Dim01">"="</definedName>
    <definedName name="cskimutatas_felhalmmerleg_bev_Dim02">"="</definedName>
    <definedName name="cskimutatas_felhalmmerleg_bev_Dim03">"="</definedName>
    <definedName name="cskimutatas_felhalmmerleg_bev_Dim04">"="</definedName>
    <definedName name="cskimutatas_felhalmmerleg_bev_Dim05">"="</definedName>
    <definedName name="cskimutatas_felhalmmerleg_bev_Dim06">"="</definedName>
    <definedName name="cskimutatas_felhalmmerleg_bev_Dim07">"="</definedName>
    <definedName name="cskimutatas_felhalmmerleg_bev_Dim08">"="</definedName>
    <definedName name="cskimutatas_felhalmmerleg_bev_Dim09">"="</definedName>
    <definedName name="cskimutatas_felhalmmerleg_bev_Dim10">"="</definedName>
    <definedName name="cskimutatas_felhalmmerleg_bev_Dim11">"="</definedName>
    <definedName name="cskimutatas_felhalmmerleg_bev_Dim12">"="</definedName>
    <definedName name="cskimutatas_felhalmmerleg_bevAnchor">#REF!</definedName>
    <definedName name="cskimutatas_felhalmmerleg_kiad_Dim01">"="</definedName>
    <definedName name="cskimutatas_felhalmmerleg_kiad_Dim02">"="</definedName>
    <definedName name="cskimutatas_felhalmmerleg_kiad_Dim03">"="</definedName>
    <definedName name="cskimutatas_felhalmmerleg_kiad_Dim04">"="</definedName>
    <definedName name="cskimutatas_felhalmmerleg_kiad_Dim05">"="</definedName>
    <definedName name="cskimutatas_felhalmmerleg_kiad_Dim06">"="</definedName>
    <definedName name="cskimutatas_felhalmmerleg_kiad_Dim07">"="</definedName>
    <definedName name="cskimutatas_felhalmmerleg_kiad_Dim08">"="</definedName>
    <definedName name="cskimutatas_felhalmmerleg_kiad_Dim09">"="</definedName>
    <definedName name="cskimutatas_felhalmmerleg_kiad_Dim10">"="</definedName>
    <definedName name="cskimutatas_felhalmmerleg_kiad_Dim11">"="</definedName>
    <definedName name="cskimutatas_felhalmmerleg_kiad_Dim12">"="</definedName>
    <definedName name="cskimutatas_felhalmmerleg_kiadAnchor">#REF!</definedName>
    <definedName name="cskimutatas_felhalmozas_bev_merleg_jo_Dim01">"="</definedName>
    <definedName name="cskimutatas_felhalmozas_bev_merleg_jo_Dim02">"="</definedName>
    <definedName name="cskimutatas_felhalmozas_bev_merleg_jo_Dim03">"="</definedName>
    <definedName name="cskimutatas_felhalmozas_bev_merleg_jo_Dim04">"="</definedName>
    <definedName name="cskimutatas_felhalmozas_bev_merleg_jo_Dim05">"="</definedName>
    <definedName name="cskimutatas_felhalmozas_bev_merleg_jo_Dim06">"="</definedName>
    <definedName name="cskimutatas_felhalmozas_bev_merleg_jo_Dim07">"="</definedName>
    <definedName name="cskimutatas_felhalmozas_bev_merleg_jo_Dim08">"="</definedName>
    <definedName name="cskimutatas_felhalmozas_bev_merleg_jo_Dim09">"="</definedName>
    <definedName name="cskimutatas_felhalmozas_bev_merleg_jo_Dim10">"="</definedName>
    <definedName name="cskimutatas_felhalmozas_bev_merleg_jo_Dim11">"="</definedName>
    <definedName name="cskimutatas_felhalmozas_bev_merleg_jo_Dim12">"="</definedName>
    <definedName name="cskimutatas_felhalmozas_bev_merleg_joAnchor">#REF!</definedName>
    <definedName name="cskimutatas_felhalmozas_bev_merleg_konc_Dim01">"="</definedName>
    <definedName name="cskimutatas_felhalmozas_bev_merleg_konc_Dim02">"="</definedName>
    <definedName name="cskimutatas_felhalmozas_bev_merleg_konc_Dim03">"="</definedName>
    <definedName name="cskimutatas_felhalmozas_bev_merleg_konc_Dim04">"="</definedName>
    <definedName name="cskimutatas_felhalmozas_bev_merleg_konc_Dim05">"="</definedName>
    <definedName name="cskimutatas_felhalmozas_bev_merleg_konc_Dim06">"="</definedName>
    <definedName name="cskimutatas_felhalmozas_bev_merleg_konc_Dim07">"="</definedName>
    <definedName name="cskimutatas_felhalmozas_bev_merleg_konc_Dim08">"="</definedName>
    <definedName name="cskimutatas_felhalmozas_bev_merleg_konc_Dim09">"="</definedName>
    <definedName name="cskimutatas_felhalmozas_bev_merleg_konc_Dim10">"="</definedName>
    <definedName name="cskimutatas_felhalmozas_bev_merleg_konc_Dim11">"="</definedName>
    <definedName name="cskimutatas_felhalmozas_bev_merleg_konc_Dim12">"="</definedName>
    <definedName name="cskimutatas_felhalmozas_bev_merleg_koncAnchor">#REF!</definedName>
    <definedName name="cskimutatas_felhalmozas_kiad_merleg_jo_Dim01">"="</definedName>
    <definedName name="cskimutatas_felhalmozas_kiad_merleg_jo_Dim02">"="</definedName>
    <definedName name="cskimutatas_felhalmozas_kiad_merleg_jo_Dim03">"="</definedName>
    <definedName name="cskimutatas_felhalmozas_kiad_merleg_jo_Dim04">"="</definedName>
    <definedName name="cskimutatas_felhalmozas_kiad_merleg_jo_Dim05">"="</definedName>
    <definedName name="cskimutatas_felhalmozas_kiad_merleg_jo_Dim06">"="</definedName>
    <definedName name="cskimutatas_felhalmozas_kiad_merleg_jo_Dim07">"="</definedName>
    <definedName name="cskimutatas_felhalmozas_kiad_merleg_jo_Dim08">"="</definedName>
    <definedName name="cskimutatas_felhalmozas_kiad_merleg_jo_Dim09">"="</definedName>
    <definedName name="cskimutatas_felhalmozas_kiad_merleg_jo_Dim10">"="</definedName>
    <definedName name="cskimutatas_felhalmozas_kiad_merleg_jo_Dim11">"="</definedName>
    <definedName name="cskimutatas_felhalmozas_kiad_merleg_jo_Dim12">"="</definedName>
    <definedName name="cskimutatas_felhalmozas_kiad_merleg_joAnchor">#REF!</definedName>
    <definedName name="cskimutatas_felhalmozas_kiad_merleg_konc_Dim01">"="</definedName>
    <definedName name="cskimutatas_felhalmozas_kiad_merleg_konc_Dim02">"="</definedName>
    <definedName name="cskimutatas_felhalmozas_kiad_merleg_konc_Dim03">"="</definedName>
    <definedName name="cskimutatas_felhalmozas_kiad_merleg_konc_Dim04">"="</definedName>
    <definedName name="cskimutatas_felhalmozas_kiad_merleg_konc_Dim05">"="</definedName>
    <definedName name="cskimutatas_felhalmozas_kiad_merleg_konc_Dim06">"="</definedName>
    <definedName name="cskimutatas_felhalmozas_kiad_merleg_konc_Dim07">"="</definedName>
    <definedName name="cskimutatas_felhalmozas_kiad_merleg_konc_Dim08">"="</definedName>
    <definedName name="cskimutatas_felhalmozas_kiad_merleg_konc_Dim09">"="</definedName>
    <definedName name="cskimutatas_felhalmozas_kiad_merleg_konc_Dim10">"="</definedName>
    <definedName name="cskimutatas_felhalmozas_kiad_merleg_konc_Dim11">"="</definedName>
    <definedName name="cskimutatas_felhalmozas_kiad_merleg_konc_Dim12">"="</definedName>
    <definedName name="cskimutatas_felhalmozas_kiad_merleg_koncAnchor">#REF!</definedName>
    <definedName name="cskimutatas_fomerleg_bev_Dim01">"="</definedName>
    <definedName name="cskimutatas_fomerleg_bev_Dim02">"="</definedName>
    <definedName name="cskimutatas_fomerleg_bev_Dim03">"="</definedName>
    <definedName name="cskimutatas_fomerleg_bev_Dim04">"="</definedName>
    <definedName name="cskimutatas_fomerleg_bev_Dim05">"="</definedName>
    <definedName name="cskimutatas_fomerleg_bev_Dim06">"="</definedName>
    <definedName name="cskimutatas_fomerleg_bev_Dim07">"="</definedName>
    <definedName name="cskimutatas_fomerleg_bev_Dim08">"="</definedName>
    <definedName name="cskimutatas_fomerleg_bev_Dim09">"="</definedName>
    <definedName name="cskimutatas_fomerleg_bev_Dim10">"="</definedName>
    <definedName name="cskimutatas_fomerleg_bev_Dim11">"="</definedName>
    <definedName name="cskimutatas_fomerleg_bev_Dim12">"="</definedName>
    <definedName name="cskimutatas_fomerleg_bev_jo_Dim01">"="</definedName>
    <definedName name="cskimutatas_fomerleg_bev_jo_Dim02">"="</definedName>
    <definedName name="cskimutatas_fomerleg_bev_jo_Dim03">"="</definedName>
    <definedName name="cskimutatas_fomerleg_bev_jo_Dim04">"="</definedName>
    <definedName name="cskimutatas_fomerleg_bev_jo_Dim05">"="</definedName>
    <definedName name="cskimutatas_fomerleg_bev_jo_Dim06">"="</definedName>
    <definedName name="cskimutatas_fomerleg_bev_jo_Dim07">"="</definedName>
    <definedName name="cskimutatas_fomerleg_bev_jo_Dim08">"="</definedName>
    <definedName name="cskimutatas_fomerleg_bev_jo_Dim09">"="</definedName>
    <definedName name="cskimutatas_fomerleg_bev_jo_Dim10">"="</definedName>
    <definedName name="cskimutatas_fomerleg_bev_jo_Dim11">"="</definedName>
    <definedName name="cskimutatas_fomerleg_bev_jo_Dim12">"="</definedName>
    <definedName name="cskimutatas_fomerleg_bev_joAnchor">#REF!</definedName>
    <definedName name="cskimutatas_fomerleg_bev_konc_Dim01">"="</definedName>
    <definedName name="cskimutatas_fomerleg_bev_konc_Dim02">"="</definedName>
    <definedName name="cskimutatas_fomerleg_bev_konc_Dim03">"="</definedName>
    <definedName name="cskimutatas_fomerleg_bev_konc_Dim04">"="</definedName>
    <definedName name="cskimutatas_fomerleg_bev_konc_Dim05">"="</definedName>
    <definedName name="cskimutatas_fomerleg_bev_konc_Dim06">"="</definedName>
    <definedName name="cskimutatas_fomerleg_bev_konc_Dim07">"="</definedName>
    <definedName name="cskimutatas_fomerleg_bev_konc_Dim08">"="</definedName>
    <definedName name="cskimutatas_fomerleg_bev_konc_Dim09">"="</definedName>
    <definedName name="cskimutatas_fomerleg_bev_konc_Dim10">"="</definedName>
    <definedName name="cskimutatas_fomerleg_bev_konc_Dim11">"="</definedName>
    <definedName name="cskimutatas_fomerleg_bev_konc_Dim12">"="</definedName>
    <definedName name="cskimutatas_fomerleg_bev_koncAnchor">#REF!</definedName>
    <definedName name="cskimutatas_fomerleg_bevAnchor" localSheetId="13">#REF!</definedName>
    <definedName name="cskimutatas_fomerleg_bevAnchor" localSheetId="14">#REF!</definedName>
    <definedName name="cskimutatas_fomerleg_bevAnchor" localSheetId="15">#REF!</definedName>
    <definedName name="cskimutatas_fomerleg_bevAnchor" localSheetId="16">#REF!</definedName>
    <definedName name="cskimutatas_fomerleg_bevAnchor" localSheetId="17">#REF!</definedName>
    <definedName name="cskimutatas_fomerleg_bevAnchor" localSheetId="18">#REF!</definedName>
    <definedName name="cskimutatas_fomerleg_bevAnchor" localSheetId="19">#REF!</definedName>
    <definedName name="cskimutatas_fomerleg_bevAnchor" localSheetId="20">#REF!</definedName>
    <definedName name="cskimutatas_fomerleg_bevAnchor" localSheetId="21">#REF!</definedName>
    <definedName name="cskimutatas_fomerleg_bevAnchor" localSheetId="26">#REF!</definedName>
    <definedName name="cskimutatas_fomerleg_bevAnchor">#REF!</definedName>
    <definedName name="cskimutatas_fomerleg_kiad_Dim01">"="</definedName>
    <definedName name="cskimutatas_fomerleg_kiad_Dim02">"="</definedName>
    <definedName name="cskimutatas_fomerleg_kiad_Dim03">"="</definedName>
    <definedName name="cskimutatas_fomerleg_kiad_Dim04">"="</definedName>
    <definedName name="cskimutatas_fomerleg_kiad_Dim05">"="</definedName>
    <definedName name="cskimutatas_fomerleg_kiad_Dim06">"="</definedName>
    <definedName name="cskimutatas_fomerleg_kiad_Dim07">"="</definedName>
    <definedName name="cskimutatas_fomerleg_kiad_Dim08">"="</definedName>
    <definedName name="cskimutatas_fomerleg_kiad_Dim09">"="</definedName>
    <definedName name="cskimutatas_fomerleg_kiad_Dim10">"="</definedName>
    <definedName name="cskimutatas_fomerleg_kiad_Dim11">"="</definedName>
    <definedName name="cskimutatas_fomerleg_kiad_Dim12">"="</definedName>
    <definedName name="cskimutatas_fomerleg_kiad_jo_Dim01">"="</definedName>
    <definedName name="cskimutatas_fomerleg_kiad_jo_Dim02">"="</definedName>
    <definedName name="cskimutatas_fomerleg_kiad_jo_Dim03">"="</definedName>
    <definedName name="cskimutatas_fomerleg_kiad_jo_Dim04">"="</definedName>
    <definedName name="cskimutatas_fomerleg_kiad_jo_Dim05">"="</definedName>
    <definedName name="cskimutatas_fomerleg_kiad_jo_Dim06">"="</definedName>
    <definedName name="cskimutatas_fomerleg_kiad_jo_Dim07">"="</definedName>
    <definedName name="cskimutatas_fomerleg_kiad_jo_Dim08">"="</definedName>
    <definedName name="cskimutatas_fomerleg_kiad_jo_Dim09">"="</definedName>
    <definedName name="cskimutatas_fomerleg_kiad_jo_Dim10">"="</definedName>
    <definedName name="cskimutatas_fomerleg_kiad_jo_Dim11">"="</definedName>
    <definedName name="cskimutatas_fomerleg_kiad_jo_Dim12">"="</definedName>
    <definedName name="cskimutatas_fomerleg_kiad_joAnchor" localSheetId="26">#REF!</definedName>
    <definedName name="cskimutatas_fomerleg_kiad_joAnchor">#REF!</definedName>
    <definedName name="cskimutatas_fomerleg_kiad_konc_Dim01">"="</definedName>
    <definedName name="cskimutatas_fomerleg_kiad_konc_Dim02">"="</definedName>
    <definedName name="cskimutatas_fomerleg_kiad_konc_Dim03">"="</definedName>
    <definedName name="cskimutatas_fomerleg_kiad_konc_Dim04">"="</definedName>
    <definedName name="cskimutatas_fomerleg_kiad_konc_Dim05">"="</definedName>
    <definedName name="cskimutatas_fomerleg_kiad_konc_Dim06">"="</definedName>
    <definedName name="cskimutatas_fomerleg_kiad_konc_Dim07">"="</definedName>
    <definedName name="cskimutatas_fomerleg_kiad_konc_Dim08">"="</definedName>
    <definedName name="cskimutatas_fomerleg_kiad_konc_Dim09">"="</definedName>
    <definedName name="cskimutatas_fomerleg_kiad_konc_Dim10">"="</definedName>
    <definedName name="cskimutatas_fomerleg_kiad_konc_Dim11">"="</definedName>
    <definedName name="cskimutatas_fomerleg_kiad_konc_Dim12">"="</definedName>
    <definedName name="cskimutatas_fomerleg_kiad_koncAnchor">#REF!</definedName>
    <definedName name="cskimutatas_fomerleg_kiadAnchor" localSheetId="13">#REF!</definedName>
    <definedName name="cskimutatas_fomerleg_kiadAnchor" localSheetId="14">#REF!</definedName>
    <definedName name="cskimutatas_fomerleg_kiadAnchor" localSheetId="15">#REF!</definedName>
    <definedName name="cskimutatas_fomerleg_kiadAnchor" localSheetId="16">#REF!</definedName>
    <definedName name="cskimutatas_fomerleg_kiadAnchor" localSheetId="17">#REF!</definedName>
    <definedName name="cskimutatas_fomerleg_kiadAnchor" localSheetId="18">#REF!</definedName>
    <definedName name="cskimutatas_fomerleg_kiadAnchor" localSheetId="19">#REF!</definedName>
    <definedName name="cskimutatas_fomerleg_kiadAnchor" localSheetId="20">#REF!</definedName>
    <definedName name="cskimutatas_fomerleg_kiadAnchor" localSheetId="21">#REF!</definedName>
    <definedName name="cskimutatas_fomerleg_kiadAnchor" localSheetId="26">#REF!</definedName>
    <definedName name="cskimutatas_fomerleg_kiadAnchor">#REF!</definedName>
    <definedName name="cskimutatas_hivatal_belso_penzeszkoz_Dim01">"="</definedName>
    <definedName name="cskimutatas_hivatal_belso_penzeszkoz_Dim02">"="</definedName>
    <definedName name="cskimutatas_hivatal_belso_penzeszkoz_Dim03">"="</definedName>
    <definedName name="cskimutatas_hivatal_belso_penzeszkoz_Dim04">"="</definedName>
    <definedName name="cskimutatas_hivatal_belso_penzeszkoz_Dim05">"="</definedName>
    <definedName name="cskimutatas_hivatal_belso_penzeszkoz_Dim06">"="</definedName>
    <definedName name="cskimutatas_hivatal_belso_penzeszkoz_Dim07">"="</definedName>
    <definedName name="cskimutatas_hivatal_belso_penzeszkoz_Dim08">"="</definedName>
    <definedName name="cskimutatas_hivatal_belso_penzeszkoz_Dim09">"="</definedName>
    <definedName name="cskimutatas_hivatal_belso_penzeszkoz_Dim10">"="</definedName>
    <definedName name="cskimutatas_hivatal_belso_penzeszkoz_Dim11">"="</definedName>
    <definedName name="cskimutatas_hivatal_belso_penzeszkoz_Dim12">"="</definedName>
    <definedName name="cskimutatas_hivatal_belso_penzeszkozAnchor" localSheetId="26">#REF!</definedName>
    <definedName name="cskimutatas_hivatal_belso_penzeszkozAnchor">#REF!</definedName>
    <definedName name="cskimutatas_hivatal_rend_tabla_Dim01">"="</definedName>
    <definedName name="cskimutatas_hivatal_rend_tabla_Dim02">"="</definedName>
    <definedName name="cskimutatas_hivatal_rend_tabla_Dim03">"="</definedName>
    <definedName name="cskimutatas_hivatal_rend_tabla_Dim04">"="</definedName>
    <definedName name="cskimutatas_hivatal_rend_tabla_Dim05">"="</definedName>
    <definedName name="cskimutatas_hivatal_rend_tabla_Dim06">"="</definedName>
    <definedName name="cskimutatas_hivatal_rend_tabla_Dim07">"="</definedName>
    <definedName name="cskimutatas_hivatal_rend_tabla_Dim08">"="</definedName>
    <definedName name="cskimutatas_hivatal_rend_tabla_Dim09">"="</definedName>
    <definedName name="cskimutatas_hivatal_rend_tabla_Dim10">"="</definedName>
    <definedName name="cskimutatas_hivatal_rend_tabla_Dim11">"="</definedName>
    <definedName name="cskimutatas_hivatal_rend_tabla_Dim12">"="</definedName>
    <definedName name="cskimutatas_hivatal_rend_tablaAnchor">#REF!</definedName>
    <definedName name="cskimutatas_hivatal_rendeleti_tabla_jo_Dim01">"="</definedName>
    <definedName name="cskimutatas_hivatal_rendeleti_tabla_jo_Dim02">"="</definedName>
    <definedName name="cskimutatas_hivatal_rendeleti_tabla_jo_Dim03">"="</definedName>
    <definedName name="cskimutatas_hivatal_rendeleti_tabla_jo_Dim04">"="</definedName>
    <definedName name="cskimutatas_hivatal_rendeleti_tabla_jo_Dim05">"="</definedName>
    <definedName name="cskimutatas_hivatal_rendeleti_tabla_jo_Dim06">"="</definedName>
    <definedName name="cskimutatas_hivatal_rendeleti_tabla_jo_Dim07">"="</definedName>
    <definedName name="cskimutatas_hivatal_rendeleti_tabla_jo_Dim08">"="</definedName>
    <definedName name="cskimutatas_hivatal_rendeleti_tabla_jo_Dim09">"="</definedName>
    <definedName name="cskimutatas_hivatal_rendeleti_tabla_jo_Dim10">"="</definedName>
    <definedName name="cskimutatas_hivatal_rendeleti_tabla_jo_Dim11">"="</definedName>
    <definedName name="cskimutatas_hivatal_rendeleti_tabla_jo_Dim12">"="</definedName>
    <definedName name="cskimutatas_hivatal_rendeleti_tabla_joAnchor">#REF!</definedName>
    <definedName name="cskimutatas_hivatal_rendeleti_tabla_konc_Dim01">"="</definedName>
    <definedName name="cskimutatas_hivatal_rendeleti_tabla_konc_Dim02">"="</definedName>
    <definedName name="cskimutatas_hivatal_rendeleti_tabla_konc_Dim03">"="</definedName>
    <definedName name="cskimutatas_hivatal_rendeleti_tabla_konc_Dim04">"="</definedName>
    <definedName name="cskimutatas_hivatal_rendeleti_tabla_konc_Dim05">"="</definedName>
    <definedName name="cskimutatas_hivatal_rendeleti_tabla_konc_Dim06">"="</definedName>
    <definedName name="cskimutatas_hivatal_rendeleti_tabla_konc_Dim07">"="</definedName>
    <definedName name="cskimutatas_hivatal_rendeleti_tabla_konc_Dim08">"="</definedName>
    <definedName name="cskimutatas_hivatal_rendeleti_tabla_konc_Dim09">"="</definedName>
    <definedName name="cskimutatas_hivatal_rendeleti_tabla_konc_Dim10">"="</definedName>
    <definedName name="cskimutatas_hivatal_rendeleti_tabla_konc_Dim11">"="</definedName>
    <definedName name="cskimutatas_hivatal_rendeleti_tabla_konc_Dim12">"="</definedName>
    <definedName name="cskimutatas_hivatal_szakmai_igenyek_Dim01">"="</definedName>
    <definedName name="cskimutatas_hivatal_szakmai_igenyek_Dim02">"="</definedName>
    <definedName name="cskimutatas_hivatal_szakmai_igenyek_Dim03">"="</definedName>
    <definedName name="cskimutatas_hivatal_szakmai_igenyek_Dim04">"="</definedName>
    <definedName name="cskimutatas_hivatal_szakmai_igenyek_Dim05">"="</definedName>
    <definedName name="cskimutatas_hivatal_szakmai_igenyek_Dim06" localSheetId="10">'[3]összes igény'!#REF!</definedName>
    <definedName name="cskimutatas_hivatal_szakmai_igenyek_Dim06" localSheetId="11">'[3]összes igény'!#REF!</definedName>
    <definedName name="cskimutatas_hivatal_szakmai_igenyek_Dim06" localSheetId="12">'[3]összes igény'!#REF!</definedName>
    <definedName name="cskimutatas_hivatal_szakmai_igenyek_Dim06" localSheetId="22">'[3]összes igény'!#REF!</definedName>
    <definedName name="cskimutatas_hivatal_szakmai_igenyek_Dim06" localSheetId="23">'[3]összes igény'!#REF!</definedName>
    <definedName name="cskimutatas_hivatal_szakmai_igenyek_Dim06" localSheetId="24">'[3]összes igény'!#REF!</definedName>
    <definedName name="cskimutatas_hivatal_szakmai_igenyek_Dim06" localSheetId="25">'[3]összes igény'!#REF!</definedName>
    <definedName name="cskimutatas_hivatal_szakmai_igenyek_Dim06">'[4]összes igény'!#REF!</definedName>
    <definedName name="cskimutatas_hivatal_szakmai_igenyek_Dim07">"="</definedName>
    <definedName name="cskimutatas_hivatal_szakmai_igenyek_Dim08">"="</definedName>
    <definedName name="cskimutatas_hivatal_szakmai_igenyek_Dim09" localSheetId="10">'[3]összes igény'!#REF!</definedName>
    <definedName name="cskimutatas_hivatal_szakmai_igenyek_Dim09" localSheetId="11">'[3]összes igény'!#REF!</definedName>
    <definedName name="cskimutatas_hivatal_szakmai_igenyek_Dim09" localSheetId="12">'[3]összes igény'!#REF!</definedName>
    <definedName name="cskimutatas_hivatal_szakmai_igenyek_Dim09" localSheetId="22">'[3]összes igény'!#REF!</definedName>
    <definedName name="cskimutatas_hivatal_szakmai_igenyek_Dim09" localSheetId="23">'[3]összes igény'!#REF!</definedName>
    <definedName name="cskimutatas_hivatal_szakmai_igenyek_Dim09" localSheetId="24">'[3]összes igény'!#REF!</definedName>
    <definedName name="cskimutatas_hivatal_szakmai_igenyek_Dim09" localSheetId="25">'[3]összes igény'!#REF!</definedName>
    <definedName name="cskimutatas_hivatal_szakmai_igenyek_Dim09">'[4]összes igény'!#REF!</definedName>
    <definedName name="cskimutatas_hivatal_szakmai_igenyek_Dim10">"="</definedName>
    <definedName name="cskimutatas_hivatal_szakmai_igenyek_Dim11">"="</definedName>
    <definedName name="cskimutatas_hivatal_szakmai_igenyekAnchor" localSheetId="10">'[3]összes igény'!#REF!</definedName>
    <definedName name="cskimutatas_hivatal_szakmai_igenyekAnchor" localSheetId="11">'[3]összes igény'!#REF!</definedName>
    <definedName name="cskimutatas_hivatal_szakmai_igenyekAnchor" localSheetId="12">'[3]összes igény'!#REF!</definedName>
    <definedName name="cskimutatas_hivatal_szakmai_igenyekAnchor" localSheetId="22">'[3]összes igény'!#REF!</definedName>
    <definedName name="cskimutatas_hivatal_szakmai_igenyekAnchor" localSheetId="23">'[3]összes igény'!#REF!</definedName>
    <definedName name="cskimutatas_hivatal_szakmai_igenyekAnchor" localSheetId="24">'[3]összes igény'!#REF!</definedName>
    <definedName name="cskimutatas_hivatal_szakmai_igenyekAnchor" localSheetId="25">'[3]összes igény'!#REF!</definedName>
    <definedName name="cskimutatas_hivatal_szakmai_igenyekAnchor">'[4]összes igény'!#REF!</definedName>
    <definedName name="cskimutatas_intezmenyi_rendeleti_tabla_Dim01">"="</definedName>
    <definedName name="cskimutatas_intezmenyi_rendeleti_tabla_Dim02">#REF!</definedName>
    <definedName name="cskimutatas_intezmenyi_rendeleti_tabla_Dim03">"="</definedName>
    <definedName name="cskimutatas_intezmenyi_rendeleti_tabla_Dim04">#REF!</definedName>
    <definedName name="cskimutatas_intezmenyi_rendeleti_tabla_Dim05">"="</definedName>
    <definedName name="cskimutatas_intezmenyi_rendeleti_tabla_Dim06">"="</definedName>
    <definedName name="cskimutatas_intezmenyi_rendeleti_tabla_Dim07">"="</definedName>
    <definedName name="cskimutatas_intezmenyi_rendeleti_tabla_Dim08">"="</definedName>
    <definedName name="cskimutatas_intezmenyi_rendeleti_tabla_Dim09">"="</definedName>
    <definedName name="cskimutatas_intezmenyi_rendeleti_tabla_Dim10">"="</definedName>
    <definedName name="cskimutatas_intezmenyi_rendeleti_tabla_Dim11">"="</definedName>
    <definedName name="cskimutatas_intezmenyi_rendeleti_tabla_Dim12">"="</definedName>
    <definedName name="cskimutatas_intezmenyi_rendeleti_tablaAnchor">#REF!</definedName>
    <definedName name="cskimutatas_kiad_fobb_jogcim_Dim01">"="</definedName>
    <definedName name="cskimutatas_kiad_fobb_jogcim_Dim02">"="</definedName>
    <definedName name="cskimutatas_kiad_fobb_jogcim_Dim03">"="</definedName>
    <definedName name="cskimutatas_kiad_fobb_jogcim_Dim04">"="</definedName>
    <definedName name="cskimutatas_kiad_fobb_jogcim_Dim05">"="</definedName>
    <definedName name="cskimutatas_kiad_fobb_jogcim_Dim06">"="</definedName>
    <definedName name="cskimutatas_kiad_fobb_jogcim_Dim07">"="</definedName>
    <definedName name="cskimutatas_kiad_fobb_jogcim_Dim08">"="</definedName>
    <definedName name="cskimutatas_kiad_fobb_jogcim_Dim09">"="</definedName>
    <definedName name="cskimutatas_kiad_fobb_jogcim_Dim10">"="</definedName>
    <definedName name="cskimutatas_kiad_fobb_jogcim_Dim11">"="</definedName>
    <definedName name="cskimutatas_kiad_fobb_jogcim_Dim12">"="</definedName>
    <definedName name="cskimutatas_kiad_fobb_jogcimAnchor">[2]Kiadás!$A$8</definedName>
    <definedName name="cskimutatas_mukod_merleg_bev_Dim01">"="</definedName>
    <definedName name="cskimutatas_mukod_merleg_bev_Dim02">"="</definedName>
    <definedName name="cskimutatas_mukod_merleg_bev_Dim03">"="</definedName>
    <definedName name="cskimutatas_mukod_merleg_bev_Dim04">"="</definedName>
    <definedName name="cskimutatas_mukod_merleg_bev_Dim05">"="</definedName>
    <definedName name="cskimutatas_mukod_merleg_bev_Dim06">"="</definedName>
    <definedName name="cskimutatas_mukod_merleg_bev_Dim07">"="</definedName>
    <definedName name="cskimutatas_mukod_merleg_bev_Dim08">"="</definedName>
    <definedName name="cskimutatas_mukod_merleg_bev_Dim09">"="</definedName>
    <definedName name="cskimutatas_mukod_merleg_bev_Dim10">"="</definedName>
    <definedName name="cskimutatas_mukod_merleg_bev_Dim11">"="</definedName>
    <definedName name="cskimutatas_mukod_merleg_bev_Dim12">"="</definedName>
    <definedName name="cskimutatas_mukod_merleg_bevAnchor">#REF!</definedName>
    <definedName name="cskimutatas_mukod_merleg_kiad_Dim01">"="</definedName>
    <definedName name="cskimutatas_mukod_merleg_kiad_Dim02">"="</definedName>
    <definedName name="cskimutatas_mukod_merleg_kiad_Dim03">"="</definedName>
    <definedName name="cskimutatas_mukod_merleg_kiad_Dim04">"="</definedName>
    <definedName name="cskimutatas_mukod_merleg_kiad_Dim05">"="</definedName>
    <definedName name="cskimutatas_mukod_merleg_kiad_Dim06">"="</definedName>
    <definedName name="cskimutatas_mukod_merleg_kiad_Dim07">"="</definedName>
    <definedName name="cskimutatas_mukod_merleg_kiad_Dim08">"="</definedName>
    <definedName name="cskimutatas_mukod_merleg_kiad_Dim09">"="</definedName>
    <definedName name="cskimutatas_mukod_merleg_kiad_Dim10">"="</definedName>
    <definedName name="cskimutatas_mukod_merleg_kiad_Dim11">"="</definedName>
    <definedName name="cskimutatas_mukod_merleg_kiad_Dim12">"="</definedName>
    <definedName name="cskimutatas_mukod_merleg_kiadAnchor">#REF!</definedName>
    <definedName name="cskimutatas_mukodesi_bev_merleg_jo_Dim01">"="</definedName>
    <definedName name="cskimutatas_mukodesi_bev_merleg_jo_Dim02">"="</definedName>
    <definedName name="cskimutatas_mukodesi_bev_merleg_jo_Dim03">"="</definedName>
    <definedName name="cskimutatas_mukodesi_bev_merleg_jo_Dim04">"="</definedName>
    <definedName name="cskimutatas_mukodesi_bev_merleg_jo_Dim05">"="</definedName>
    <definedName name="cskimutatas_mukodesi_bev_merleg_jo_Dim06">"="</definedName>
    <definedName name="cskimutatas_mukodesi_bev_merleg_jo_Dim07">"="</definedName>
    <definedName name="cskimutatas_mukodesi_bev_merleg_jo_Dim08">"="</definedName>
    <definedName name="cskimutatas_mukodesi_bev_merleg_jo_Dim09">"="</definedName>
    <definedName name="cskimutatas_mukodesi_bev_merleg_jo_Dim10">"="</definedName>
    <definedName name="cskimutatas_mukodesi_bev_merleg_jo_Dim11">"="</definedName>
    <definedName name="cskimutatas_mukodesi_bev_merleg_jo_Dim12">"="</definedName>
    <definedName name="cskimutatas_mukodesi_bev_merleg_joAnchor">#REF!</definedName>
    <definedName name="cskimutatas_mukodesi_bev_merleg_konc_Dim01">"="</definedName>
    <definedName name="cskimutatas_mukodesi_bev_merleg_konc_Dim02">"="</definedName>
    <definedName name="cskimutatas_mukodesi_bev_merleg_konc_Dim03">"="</definedName>
    <definedName name="cskimutatas_mukodesi_bev_merleg_konc_Dim04">"="</definedName>
    <definedName name="cskimutatas_mukodesi_bev_merleg_konc_Dim05">"="</definedName>
    <definedName name="cskimutatas_mukodesi_bev_merleg_konc_Dim06">"="</definedName>
    <definedName name="cskimutatas_mukodesi_bev_merleg_konc_Dim07">"="</definedName>
    <definedName name="cskimutatas_mukodesi_bev_merleg_konc_Dim08">"="</definedName>
    <definedName name="cskimutatas_mukodesi_bev_merleg_konc_Dim09">"="</definedName>
    <definedName name="cskimutatas_mukodesi_bev_merleg_konc_Dim10">"="</definedName>
    <definedName name="cskimutatas_mukodesi_bev_merleg_konc_Dim11">"="</definedName>
    <definedName name="cskimutatas_mukodesi_bev_merleg_konc_Dim12">"="</definedName>
    <definedName name="cskimutatas_mukodesi_bev_merleg_koncAnchor">#REF!</definedName>
    <definedName name="cskimutatas_mukodesi_kiad_merleg_jo_Dim01">"="</definedName>
    <definedName name="cskimutatas_mukodesi_kiad_merleg_jo_Dim02">"="</definedName>
    <definedName name="cskimutatas_mukodesi_kiad_merleg_jo_Dim03">"="</definedName>
    <definedName name="cskimutatas_mukodesi_kiad_merleg_jo_Dim04">"="</definedName>
    <definedName name="cskimutatas_mukodesi_kiad_merleg_jo_Dim05">"="</definedName>
    <definedName name="cskimutatas_mukodesi_kiad_merleg_jo_Dim06">"="</definedName>
    <definedName name="cskimutatas_mukodesi_kiad_merleg_jo_Dim07">"="</definedName>
    <definedName name="cskimutatas_mukodesi_kiad_merleg_jo_Dim08">"="</definedName>
    <definedName name="cskimutatas_mukodesi_kiad_merleg_jo_Dim09">"="</definedName>
    <definedName name="cskimutatas_mukodesi_kiad_merleg_jo_Dim10">"="</definedName>
    <definedName name="cskimutatas_mukodesi_kiad_merleg_jo_Dim11">"="</definedName>
    <definedName name="cskimutatas_mukodesi_kiad_merleg_jo_Dim12">"="</definedName>
    <definedName name="cskimutatas_mukodesi_kiad_merleg_joAnchor">#REF!</definedName>
    <definedName name="cskimutatas_mukodesi_kiad_merleg_konc_Dim01">"="</definedName>
    <definedName name="cskimutatas_mukodesi_kiad_merleg_konc_Dim02">"="</definedName>
    <definedName name="cskimutatas_mukodesi_kiad_merleg_konc_Dim03">"="</definedName>
    <definedName name="cskimutatas_mukodesi_kiad_merleg_konc_Dim04">"="</definedName>
    <definedName name="cskimutatas_mukodesi_kiad_merleg_konc_Dim05">"="</definedName>
    <definedName name="cskimutatas_mukodesi_kiad_merleg_konc_Dim06">"="</definedName>
    <definedName name="cskimutatas_mukodesi_kiad_merleg_konc_Dim07">"="</definedName>
    <definedName name="cskimutatas_mukodesi_kiad_merleg_konc_Dim08">"="</definedName>
    <definedName name="cskimutatas_mukodesi_kiad_merleg_konc_Dim09">"="</definedName>
    <definedName name="cskimutatas_mukodesi_kiad_merleg_konc_Dim10">"="</definedName>
    <definedName name="cskimutatas_mukodesi_kiad_merleg_konc_Dim11">"="</definedName>
    <definedName name="cskimutatas_mukodesi_kiad_merleg_konc_Dim12">"="</definedName>
    <definedName name="cskimutatas_mukodesi_kiad_merleg_koncAnchor">#REF!</definedName>
    <definedName name="cskimutatas_pm_jogcim_Dim01">"="</definedName>
    <definedName name="cskimutatas_pm_jogcim_Dim02">"="</definedName>
    <definedName name="cskimutatas_pm_jogcim_Dim03">"="</definedName>
    <definedName name="cskimutatas_pm_jogcim_Dim04">"="</definedName>
    <definedName name="cskimutatas_pm_jogcim_Dim05">"="</definedName>
    <definedName name="cskimutatas_pm_jogcim_Dim06">"="</definedName>
    <definedName name="cskimutatas_pm_jogcim_Dim07">"="</definedName>
    <definedName name="cskimutatas_pm_jogcim_Dim08">"="</definedName>
    <definedName name="cskimutatas_pm_jogcim_Dim09">"="</definedName>
    <definedName name="cskimutatas_pm_jogcim_Dim10">"="</definedName>
    <definedName name="cskimutatas_pm_jogcim_Dim11">"="</definedName>
    <definedName name="cskimutatas_pm_jogcim_Dim12">"="</definedName>
    <definedName name="cskimutatas_pm_jogcim_jo_Dim01">"="</definedName>
    <definedName name="cskimutatas_pm_jogcim_jo_Dim02">"="</definedName>
    <definedName name="cskimutatas_pm_jogcim_jo_Dim03">"="</definedName>
    <definedName name="cskimutatas_pm_jogcim_jo_Dim04">"="</definedName>
    <definedName name="cskimutatas_pm_jogcim_jo_Dim05">"="</definedName>
    <definedName name="cskimutatas_pm_jogcim_jo_Dim06">"="</definedName>
    <definedName name="cskimutatas_pm_jogcim_jo_Dim07">"="</definedName>
    <definedName name="cskimutatas_pm_jogcim_jo_Dim08">"="</definedName>
    <definedName name="cskimutatas_pm_jogcim_jo_Dim09">"="</definedName>
    <definedName name="cskimutatas_pm_jogcim_jo_Dim10">"="</definedName>
    <definedName name="cskimutatas_pm_jogcim_jo_Dim11">"="</definedName>
    <definedName name="cskimutatas_pm_jogcim_jo_Dim12">"="</definedName>
    <definedName name="cskimutatas_pm_jogcim_joAnchor">#REF!</definedName>
    <definedName name="cskimutatas_pm_jogcim_konc_Dim01">"="</definedName>
    <definedName name="cskimutatas_pm_jogcim_konc_Dim02">"="</definedName>
    <definedName name="cskimutatas_pm_jogcim_konc_Dim03">"="</definedName>
    <definedName name="cskimutatas_pm_jogcim_konc_Dim04">"="</definedName>
    <definedName name="cskimutatas_pm_jogcim_konc_Dim05">"="</definedName>
    <definedName name="cskimutatas_pm_jogcim_konc_Dim06">"="</definedName>
    <definedName name="cskimutatas_pm_jogcim_konc_Dim07">"="</definedName>
    <definedName name="cskimutatas_pm_jogcim_konc_Dim08">"="</definedName>
    <definedName name="cskimutatas_pm_jogcim_konc_Dim09">"="</definedName>
    <definedName name="cskimutatas_pm_jogcim_konc_Dim10">"="</definedName>
    <definedName name="cskimutatas_pm_jogcim_konc_Dim11">"="</definedName>
    <definedName name="cskimutatas_pm_jogcim_konc_Dim12">"="</definedName>
    <definedName name="cskimutatas_pm_jogcim_koncAnchor">#REF!</definedName>
    <definedName name="cskimutatas_pm_jogcimAnchor" localSheetId="13">#REF!</definedName>
    <definedName name="cskimutatas_pm_jogcimAnchor" localSheetId="14">#REF!</definedName>
    <definedName name="cskimutatas_pm_jogcimAnchor" localSheetId="15">#REF!</definedName>
    <definedName name="cskimutatas_pm_jogcimAnchor" localSheetId="16">#REF!</definedName>
    <definedName name="cskimutatas_pm_jogcimAnchor" localSheetId="17">#REF!</definedName>
    <definedName name="cskimutatas_pm_jogcimAnchor" localSheetId="18">#REF!</definedName>
    <definedName name="cskimutatas_pm_jogcimAnchor" localSheetId="19">#REF!</definedName>
    <definedName name="cskimutatas_pm_jogcimAnchor" localSheetId="20">#REF!</definedName>
    <definedName name="cskimutatas_pm_jogcimAnchor" localSheetId="21">#REF!</definedName>
    <definedName name="cskimutatas_pm_jogcimAnchor" localSheetId="26">#REF!</definedName>
    <definedName name="cskimutatas_pm_jogcimAnchor">#REF!</definedName>
    <definedName name="cskisebbsegi_rendeleti_tabla_Dim01">"="</definedName>
    <definedName name="cskisebbsegi_rendeleti_tabla_Dim02">"="</definedName>
    <definedName name="cskisebbsegi_rendeleti_tabla_Dim03">"="</definedName>
    <definedName name="cskisebbsegi_rendeleti_tabla_Dim04">"="</definedName>
    <definedName name="cskisebbsegi_rendeleti_tabla_Dim05">"="</definedName>
    <definedName name="cskisebbsegi_rendeleti_tabla_Dim06">"="</definedName>
    <definedName name="cskisebbsegi_rendeleti_tabla_Dim07">"="</definedName>
    <definedName name="cskisebbsegi_rendeleti_tabla_Dim08">"="</definedName>
    <definedName name="cskisebbsegi_rendeleti_tabla_Dim09">"="</definedName>
    <definedName name="cskisebbsegi_rendeleti_tabla_Dim10">"="</definedName>
    <definedName name="cskisebbsegi_rendeleti_tabla_Dim11">"="</definedName>
    <definedName name="cskisebbsegi_rendeleti_tabla_Dim12">"="</definedName>
    <definedName name="cskisebbsegi_rendeleti_tablaAnchor" localSheetId="26">#REF!</definedName>
    <definedName name="cskisebbsegi_rendeleti_tablaAnchor">#REF!</definedName>
    <definedName name="csKozepfoku_kolegium_rendeleti_tabla_excel_Dim01">"="</definedName>
    <definedName name="csKozepfoku_kolegium_rendeleti_tabla_excel_Dim02">"="</definedName>
    <definedName name="csKozepfoku_kolegium_rendeleti_tabla_excel_Dim03">"="</definedName>
    <definedName name="csKozepfoku_kolegium_rendeleti_tabla_excel_Dim04">"="</definedName>
    <definedName name="csKozepfoku_kolegium_rendeleti_tabla_excel_Dim05">"="</definedName>
    <definedName name="csKozepfoku_kolegium_rendeleti_tabla_excel_Dim06">"="</definedName>
    <definedName name="csKozepfoku_kolegium_rendeleti_tabla_excel_Dim07">"="</definedName>
    <definedName name="csKozepfoku_kolegium_rendeleti_tabla_excel_Dim08">"="</definedName>
    <definedName name="csKozepfoku_kolegium_rendeleti_tabla_excel_Dim09">"="</definedName>
    <definedName name="csKozepfoku_kolegium_rendeleti_tabla_excel_Dim10">"="</definedName>
    <definedName name="csKozepfoku_kolegium_rendeleti_tabla_excel_Dim11">"="</definedName>
    <definedName name="csKozepfoku_kolegium_rendeleti_tabla_excel_Dim12">"="</definedName>
    <definedName name="csKultsar_rendeleti_tabla_excel_Dim01">"="</definedName>
    <definedName name="csKultsar_rendeleti_tabla_excel_Dim02">"="</definedName>
    <definedName name="csKultsar_rendeleti_tabla_excel_Dim03">"="</definedName>
    <definedName name="csKultsar_rendeleti_tabla_excel_Dim04">"="</definedName>
    <definedName name="csKultsar_rendeleti_tabla_excel_Dim05">"="</definedName>
    <definedName name="csKultsar_rendeleti_tabla_excel_Dim06">"="</definedName>
    <definedName name="csKultsar_rendeleti_tabla_excel_Dim07">"="</definedName>
    <definedName name="csKultsar_rendeleti_tabla_excel_Dim08">"="</definedName>
    <definedName name="csKultsar_rendeleti_tabla_excel_Dim09">"="</definedName>
    <definedName name="csKultsar_rendeleti_tabla_excel_Dim10">"="</definedName>
    <definedName name="csKultsar_rendeleti_tabla_excel_Dim11">"="</definedName>
    <definedName name="csKultsar_rendeleti_tabla_excel_Dim12">"="</definedName>
    <definedName name="csLocalConsolidationOnSubmit">1</definedName>
    <definedName name="csMegyei_leveltar_rendeleti_tabla_excel_Dim01">"="</definedName>
    <definedName name="csMegyei_leveltar_rendeleti_tabla_excel_Dim02">"="</definedName>
    <definedName name="csMegyei_leveltar_rendeleti_tabla_excel_Dim03">"="</definedName>
    <definedName name="csMegyei_leveltar_rendeleti_tabla_excel_Dim04">"="</definedName>
    <definedName name="csMegyei_leveltar_rendeleti_tabla_excel_Dim05">"="</definedName>
    <definedName name="csMegyei_leveltar_rendeleti_tabla_excel_Dim06">"="</definedName>
    <definedName name="csMegyei_leveltar_rendeleti_tabla_excel_Dim07">"="</definedName>
    <definedName name="csMegyei_leveltar_rendeleti_tabla_excel_Dim08">"="</definedName>
    <definedName name="csMegyei_leveltar_rendeleti_tabla_excel_Dim09">"="</definedName>
    <definedName name="csMegyei_leveltar_rendeleti_tabla_excel_Dim10">"="</definedName>
    <definedName name="csMegyei_leveltar_rendeleti_tabla_excel_Dim11">"="</definedName>
    <definedName name="csMegyei_leveltar_rendeleti_tabla_excel_Dim12">"="</definedName>
    <definedName name="csMentalhighiene_rendeleti_tabla_excel_Dim01">"="</definedName>
    <definedName name="csMentalhighiene_rendeleti_tabla_excel_Dim02">"="</definedName>
    <definedName name="csMentalhighiene_rendeleti_tabla_excel_Dim03">"="</definedName>
    <definedName name="csMentalhighiene_rendeleti_tabla_excel_Dim04">"="</definedName>
    <definedName name="csMentalhighiene_rendeleti_tabla_excel_Dim05">"="</definedName>
    <definedName name="csMentalhighiene_rendeleti_tabla_excel_Dim06">"="</definedName>
    <definedName name="csMentalhighiene_rendeleti_tabla_excel_Dim07">"="</definedName>
    <definedName name="csMentalhighiene_rendeleti_tabla_excel_Dim08">"="</definedName>
    <definedName name="csMentalhighiene_rendeleti_tabla_excel_Dim09">"="</definedName>
    <definedName name="csMentalhighiene_rendeleti_tabla_excel_Dim10">"="</definedName>
    <definedName name="csMentalhighiene_rendeleti_tabla_excel_Dim11">"="</definedName>
    <definedName name="csMentalhighiene_rendeleti_tabla_excel_Dim12">"="</definedName>
    <definedName name="csMora_rendeleti_tabla_excel_Dim01">"="</definedName>
    <definedName name="csMora_rendeleti_tabla_excel_Dim02">"="</definedName>
    <definedName name="csMora_rendeleti_tabla_excel_Dim03">"="</definedName>
    <definedName name="csMora_rendeleti_tabla_excel_Dim04">"="</definedName>
    <definedName name="csMora_rendeleti_tabla_excel_Dim05">"="</definedName>
    <definedName name="csMora_rendeleti_tabla_excel_Dim06">"="</definedName>
    <definedName name="csMora_rendeleti_tabla_excel_Dim07">"="</definedName>
    <definedName name="csMora_rendeleti_tabla_excel_Dim08">"="</definedName>
    <definedName name="csMora_rendeleti_tabla_excel_Dim09">"="</definedName>
    <definedName name="csMora_rendeleti_tabla_excel_Dim10">"="</definedName>
    <definedName name="csMora_rendeleti_tabla_excel_Dim11">"="</definedName>
    <definedName name="csMora_rendeleti_tabla_excel_Dim12">"="</definedName>
    <definedName name="csmukodesi_merleg_bev_excel_Dim01">"="</definedName>
    <definedName name="csmukodesi_merleg_bev_excel_Dim02">"="</definedName>
    <definedName name="csmukodesi_merleg_bev_excel_Dim03">"="</definedName>
    <definedName name="csmukodesi_merleg_bev_excel_Dim04">"="</definedName>
    <definedName name="csmukodesi_merleg_bev_excel_Dim05">"="</definedName>
    <definedName name="csmukodesi_merleg_bev_excel_Dim06">"="</definedName>
    <definedName name="csmukodesi_merleg_bev_excel_Dim07">"="</definedName>
    <definedName name="csmukodesi_merleg_bev_excel_Dim08">"="</definedName>
    <definedName name="csmukodesi_merleg_bev_excel_Dim09">"="</definedName>
    <definedName name="csmukodesi_merleg_bev_excel_Dim10">"="</definedName>
    <definedName name="csmukodesi_merleg_bev_excel_Dim11">"="</definedName>
    <definedName name="csmukodesi_merleg_bev_excel_Dim12">"="</definedName>
    <definedName name="csmukodesi_merleg_bev_excelAnchor">#REF!</definedName>
    <definedName name="csmukodesi_merleg_kiad_excel_Dim01">"="</definedName>
    <definedName name="csmukodesi_merleg_kiad_excel_Dim02">"="</definedName>
    <definedName name="csmukodesi_merleg_kiad_excel_Dim03">"="</definedName>
    <definedName name="csmukodesi_merleg_kiad_excel_Dim04">"="</definedName>
    <definedName name="csmukodesi_merleg_kiad_excel_Dim05">"="</definedName>
    <definedName name="csmukodesi_merleg_kiad_excel_Dim06">"="</definedName>
    <definedName name="csmukodesi_merleg_kiad_excel_Dim07">"="</definedName>
    <definedName name="csmukodesi_merleg_kiad_excel_Dim08">"="</definedName>
    <definedName name="csmukodesi_merleg_kiad_excel_Dim09">"="</definedName>
    <definedName name="csmukodesi_merleg_kiad_excel_Dim10">"="</definedName>
    <definedName name="csmukodesi_merleg_kiad_excel_Dim11">"="</definedName>
    <definedName name="csmukodesi_merleg_kiad_excel_Dim12">"="</definedName>
    <definedName name="csmukodesi_merleg_kiad_excelAnchor">#REF!</definedName>
    <definedName name="csMuzeum_igazg_tabla_excel_Dim01">"="</definedName>
    <definedName name="csMuzeum_igazg_tabla_excel_Dim02">"="</definedName>
    <definedName name="csMuzeum_igazg_tabla_excel_Dim03">"="</definedName>
    <definedName name="csMuzeum_igazg_tabla_excel_Dim04">"="</definedName>
    <definedName name="csMuzeum_igazg_tabla_excel_Dim05">"="</definedName>
    <definedName name="csMuzeum_igazg_tabla_excel_Dim06">"="</definedName>
    <definedName name="csMuzeum_igazg_tabla_excel_Dim07">"="</definedName>
    <definedName name="csMuzeum_igazg_tabla_excel_Dim08">"="</definedName>
    <definedName name="csMuzeum_igazg_tabla_excel_Dim09">"="</definedName>
    <definedName name="csMuzeum_igazg_tabla_excel_Dim10">"="</definedName>
    <definedName name="csMuzeum_igazg_tabla_excel_Dim11">"="</definedName>
    <definedName name="csMuzeum_igazg_tabla_excel_Dim12">"="</definedName>
    <definedName name="csNemet_rendeleti_tabla_Dim01">"="</definedName>
    <definedName name="csNemet_rendeleti_tabla_Dim02">"="</definedName>
    <definedName name="csNemet_rendeleti_tabla_Dim03">"="</definedName>
    <definedName name="csNemet_rendeleti_tabla_Dim04">"="</definedName>
    <definedName name="csNemet_rendeleti_tabla_Dim05">"="</definedName>
    <definedName name="csNemet_rendeleti_tabla_Dim06">"="</definedName>
    <definedName name="csNemet_rendeleti_tabla_Dim07">"="</definedName>
    <definedName name="csNemet_rendeleti_tabla_Dim08">"="</definedName>
    <definedName name="csNemet_rendeleti_tabla_Dim09">"="</definedName>
    <definedName name="csNemet_rendeleti_tabla_Dim10">"="</definedName>
    <definedName name="csNemet_rendeleti_tabla_Dim11">"="</definedName>
    <definedName name="csNemet_rendeleti_tabla_Dim12">"="</definedName>
    <definedName name="csNemet_rendeleti_tablaAnchor">#REF!</definedName>
    <definedName name="csPszichiatriai_Esztergom_rendeleti_tabla_excel_Dim01">"="</definedName>
    <definedName name="csPszichiatriai_Esztergom_rendeleti_tabla_excel_Dim02">"="</definedName>
    <definedName name="csPszichiatriai_Esztergom_rendeleti_tabla_excel_Dim03">"="</definedName>
    <definedName name="csPszichiatriai_Esztergom_rendeleti_tabla_excel_Dim04">"="</definedName>
    <definedName name="csPszichiatriai_Esztergom_rendeleti_tabla_excel_Dim05">"="</definedName>
    <definedName name="csPszichiatriai_Esztergom_rendeleti_tabla_excel_Dim06">"="</definedName>
    <definedName name="csPszichiatriai_Esztergom_rendeleti_tabla_excel_Dim07">"="</definedName>
    <definedName name="csPszichiatriai_Esztergom_rendeleti_tabla_excel_Dim08">"="</definedName>
    <definedName name="csPszichiatriai_Esztergom_rendeleti_tabla_excel_Dim09">"="</definedName>
    <definedName name="csPszichiatriai_Esztergom_rendeleti_tabla_excel_Dim10">"="</definedName>
    <definedName name="csPszichiatriai_Esztergom_rendeleti_tabla_excel_Dim11">"="</definedName>
    <definedName name="csPszichiatriai_Esztergom_rendeleti_tabla_excel_Dim12">"="</definedName>
    <definedName name="csRefreshOnOpen">1</definedName>
    <definedName name="csRefreshOnRotate">1</definedName>
    <definedName name="csSzabolcsi_rendeleti_tabla_excel_Dim01">"="</definedName>
    <definedName name="csSzabolcsi_rendeleti_tabla_excel_Dim02">"="</definedName>
    <definedName name="csSzabolcsi_rendeleti_tabla_excel_Dim03">"="</definedName>
    <definedName name="csSzabolcsi_rendeleti_tabla_excel_Dim04">"="</definedName>
    <definedName name="csSzabolcsi_rendeleti_tabla_excel_Dim05">"="</definedName>
    <definedName name="csSzabolcsi_rendeleti_tabla_excel_Dim06">"="</definedName>
    <definedName name="csSzabolcsi_rendeleti_tabla_excel_Dim07">"="</definedName>
    <definedName name="csSzabolcsi_rendeleti_tabla_excel_Dim08">"="</definedName>
    <definedName name="csSzabolcsi_rendeleti_tabla_excel_Dim09">"="</definedName>
    <definedName name="csSzabolcsi_rendeleti_tabla_excel_Dim10">"="</definedName>
    <definedName name="csSzabolcsi_rendeleti_tabla_excel_Dim11">"="</definedName>
    <definedName name="csSzabolcsi_rendeleti_tabla_excel_Dim12">"="</definedName>
    <definedName name="csSzechenyi_rendeleti_tabla_excel_Dim01">"="</definedName>
    <definedName name="csSzechenyi_rendeleti_tabla_excel_Dim02">"="</definedName>
    <definedName name="csSzechenyi_rendeleti_tabla_excel_Dim03">"="</definedName>
    <definedName name="csSzechenyi_rendeleti_tabla_excel_Dim04">"="</definedName>
    <definedName name="csSzechenyi_rendeleti_tabla_excel_Dim05">"="</definedName>
    <definedName name="csSzechenyi_rendeleti_tabla_excel_Dim06">"="</definedName>
    <definedName name="csSzechenyi_rendeleti_tabla_excel_Dim07">"="</definedName>
    <definedName name="csSzechenyi_rendeleti_tabla_excel_Dim08">"="</definedName>
    <definedName name="csSzechenyi_rendeleti_tabla_excel_Dim09">"="</definedName>
    <definedName name="csSzechenyi_rendeleti_tabla_excel_Dim10">"="</definedName>
    <definedName name="csSzechenyi_rendeleti_tabla_excel_Dim11">"="</definedName>
    <definedName name="csSzechenyi_rendeleti_tabla_excel_Dim12">"="</definedName>
    <definedName name="csSzent_Rita_int_rendeleti_tabla_excel_Dim01">"="</definedName>
    <definedName name="csSzent_Rita_int_rendeleti_tabla_excel_Dim02">"="</definedName>
    <definedName name="csSzent_Rita_int_rendeleti_tabla_excel_Dim03">"="</definedName>
    <definedName name="csSzent_Rita_int_rendeleti_tabla_excel_Dim04">"="</definedName>
    <definedName name="csSzent_Rita_int_rendeleti_tabla_excel_Dim05">"="</definedName>
    <definedName name="csSzent_Rita_int_rendeleti_tabla_excel_Dim06">"="</definedName>
    <definedName name="csSzent_Rita_int_rendeleti_tabla_excel_Dim07">"="</definedName>
    <definedName name="csSzent_Rita_int_rendeleti_tabla_excel_Dim08">"="</definedName>
    <definedName name="csSzent_Rita_int_rendeleti_tabla_excel_Dim09">"="</definedName>
    <definedName name="csSzent_Rita_int_rendeleti_tabla_excel_Dim10">"="</definedName>
    <definedName name="csSzent_Rita_int_rendeleti_tabla_excel_Dim11">"="</definedName>
    <definedName name="csSzent_Rita_int_rendeleti_tabla_excel_Dim12">"="</definedName>
    <definedName name="csSzlovak_rendeleti_tabla_Dim01">"="</definedName>
    <definedName name="csSzlovak_rendeleti_tabla_Dim02">"="</definedName>
    <definedName name="csSzlovak_rendeleti_tabla_Dim03">"="</definedName>
    <definedName name="csSzlovak_rendeleti_tabla_Dim04">"="</definedName>
    <definedName name="csSzlovak_rendeleti_tabla_Dim05">"="</definedName>
    <definedName name="csSzlovak_rendeleti_tabla_Dim06">"="</definedName>
    <definedName name="csSzlovak_rendeleti_tabla_Dim07">"="</definedName>
    <definedName name="csSzlovak_rendeleti_tabla_Dim08">"="</definedName>
    <definedName name="csSzlovak_rendeleti_tabla_Dim09">"="</definedName>
    <definedName name="csSzlovak_rendeleti_tabla_Dim10">"="</definedName>
    <definedName name="csSzlovak_rendeleti_tabla_Dim11">"="</definedName>
    <definedName name="csSzlovak_rendeleti_tabla_Dim12">"="</definedName>
    <definedName name="csSzlovak_rendeleti_tablaAnchor">#REF!</definedName>
    <definedName name="csSzt_Borbala_rendeleti_tabla_excel_Dim01">"="</definedName>
    <definedName name="csSzt_Borbala_rendeleti_tabla_excel_Dim02">"="</definedName>
    <definedName name="csSzt_Borbala_rendeleti_tabla_excel_Dim03">"="</definedName>
    <definedName name="csSzt_Borbala_rendeleti_tabla_excel_Dim04">"="</definedName>
    <definedName name="csSzt_Borbala_rendeleti_tabla_excel_Dim05">"="</definedName>
    <definedName name="csSzt_Borbala_rendeleti_tabla_excel_Dim06">"="</definedName>
    <definedName name="csSzt_Borbala_rendeleti_tabla_excel_Dim07">"="</definedName>
    <definedName name="csSzt_Borbala_rendeleti_tabla_excel_Dim08">"="</definedName>
    <definedName name="csSzt_Borbala_rendeleti_tabla_excel_Dim09">"="</definedName>
    <definedName name="csSzt_Borbala_rendeleti_tabla_excel_Dim10">"="</definedName>
    <definedName name="csSzt_Borbala_rendeleti_tabla_excel_Dim11">"="</definedName>
    <definedName name="csSzt_Borbala_rendeleti_tabla_excel_Dim12">"="</definedName>
    <definedName name="csTanulasi_tata_rendeleti_tabla_excel_Dim01">"="</definedName>
    <definedName name="csTanulasi_tata_rendeleti_tabla_excel_Dim02">"="</definedName>
    <definedName name="csTanulasi_tata_rendeleti_tabla_excel_Dim03">"="</definedName>
    <definedName name="csTanulasi_tata_rendeleti_tabla_excel_Dim04">"="</definedName>
    <definedName name="csTanulasi_tata_rendeleti_tabla_excel_Dim05">"="</definedName>
    <definedName name="csTanulasi_tata_rendeleti_tabla_excel_Dim06">"="</definedName>
    <definedName name="csTanulasi_tata_rendeleti_tabla_excel_Dim07">"="</definedName>
    <definedName name="csTanulasi_tata_rendeleti_tabla_excel_Dim08">"="</definedName>
    <definedName name="csTanulasi_tata_rendeleti_tabla_excel_Dim09">"="</definedName>
    <definedName name="csTanulasi_tata_rendeleti_tabla_excel_Dim10">"="</definedName>
    <definedName name="csTanulasi_tata_rendeleti_tabla_excel_Dim11">"="</definedName>
    <definedName name="csTanulasi_tata_rendeleti_tabla_excel_Dim12">"="</definedName>
    <definedName name="csTGSZ_rendeleti_tabla_excel_Dim01">"="</definedName>
    <definedName name="csTGSZ_rendeleti_tabla_excel_Dim02">"="</definedName>
    <definedName name="csTGSZ_rendeleti_tabla_excel_Dim03">"="</definedName>
    <definedName name="csTGSZ_rendeleti_tabla_excel_Dim04">"="</definedName>
    <definedName name="csTGSZ_rendeleti_tabla_excel_Dim05">"="</definedName>
    <definedName name="csTGSZ_rendeleti_tabla_excel_Dim06">"="</definedName>
    <definedName name="csTGSZ_rendeleti_tabla_excel_Dim07">"="</definedName>
    <definedName name="csTGSZ_rendeleti_tabla_excel_Dim08">"="</definedName>
    <definedName name="csTGSZ_rendeleti_tabla_excel_Dim09">"="</definedName>
    <definedName name="csTGSZ_rendeleti_tabla_excel_Dim10">"="</definedName>
    <definedName name="csTGSZ_rendeleti_tabla_excel_Dim11">"="</definedName>
    <definedName name="csTGSZ_rendeleti_tabla_excel_Dim12">"="</definedName>
    <definedName name="cstiszk_mod_Dim01">"="</definedName>
    <definedName name="cstiszk_mod_Dim02">"="</definedName>
    <definedName name="cstiszk_mod_Dim03">"="</definedName>
    <definedName name="cstiszk_mod_Dim04">"="</definedName>
    <definedName name="cstiszk_mod_Dim05">"="</definedName>
    <definedName name="cstiszk_mod_Dim06">"="</definedName>
    <definedName name="cstiszk_mod_Dim07">"="</definedName>
    <definedName name="cstiszk_mod_Dim08">"="</definedName>
    <definedName name="cstiszk_mod_Dim09">"="</definedName>
    <definedName name="cstiszk_mod_Dim10">"="</definedName>
    <definedName name="cstiszk_mod_Dim11">"="</definedName>
    <definedName name="cstiszk_mod_Dim12">"="</definedName>
    <definedName name="cstiszk_modAnchor">#REF!</definedName>
    <definedName name="csTiszk_rendeleti_tabla_Dim01">"="</definedName>
    <definedName name="csTiszk_rendeleti_tabla_Dim02">"="</definedName>
    <definedName name="csTiszk_rendeleti_tabla_Dim03">"="</definedName>
    <definedName name="csTiszk_rendeleti_tabla_Dim04">"="</definedName>
    <definedName name="csTiszk_rendeleti_tabla_Dim05">"="</definedName>
    <definedName name="csTiszk_rendeleti_tabla_Dim06">"="</definedName>
    <definedName name="csTiszk_rendeleti_tabla_Dim07">"="</definedName>
    <definedName name="csTiszk_rendeleti_tabla_Dim08">"="</definedName>
    <definedName name="csTiszk_rendeleti_tabla_Dim09">"="</definedName>
    <definedName name="csTiszk_rendeleti_tabla_Dim10">"="</definedName>
    <definedName name="csTiszk_rendeleti_tabla_Dim11">"="</definedName>
    <definedName name="csTiszk_rendeleti_tabla_Dim12">"="</definedName>
    <definedName name="csTiszk_rendeleti_tablaAnchor">#REF!</definedName>
    <definedName name="csZsigmondi_rendeleti_tabla_excel_Dim01">"="</definedName>
    <definedName name="csZsigmondi_rendeleti_tabla_excel_Dim02">"="</definedName>
    <definedName name="csZsigmondi_rendeleti_tabla_excel_Dim03">"="</definedName>
    <definedName name="csZsigmondi_rendeleti_tabla_excel_Dim04">"="</definedName>
    <definedName name="csZsigmondi_rendeleti_tabla_excel_Dim05">"="</definedName>
    <definedName name="csZsigmondi_rendeleti_tabla_excel_Dim06">"="</definedName>
    <definedName name="csZsigmondi_rendeleti_tabla_excel_Dim07">"="</definedName>
    <definedName name="csZsigmondi_rendeleti_tabla_excel_Dim08">"="</definedName>
    <definedName name="csZsigmondi_rendeleti_tabla_excel_Dim09">"="</definedName>
    <definedName name="csZsigmondi_rendeleti_tabla_excel_Dim10">"="</definedName>
    <definedName name="csZsigmondi_rendeleti_tabla_excel_Dim11">"="</definedName>
    <definedName name="csZsigmondi_rendeleti_tabla_excel_Dim12">"="</definedName>
    <definedName name="felúj">'[5]10intberuh-felúj'!$A$10</definedName>
    <definedName name="Hiv.felújtás">1</definedName>
    <definedName name="kkkkk">#REF!</definedName>
    <definedName name="kkkkkkk" localSheetId="10">'[3]összes igény'!#REF!</definedName>
    <definedName name="kkkkkkk" localSheetId="11">'[3]összes igény'!#REF!</definedName>
    <definedName name="kkkkkkk" localSheetId="12">'[3]összes igény'!#REF!</definedName>
    <definedName name="kkkkkkk" localSheetId="22">'[3]összes igény'!#REF!</definedName>
    <definedName name="kkkkkkk" localSheetId="23">'[3]összes igény'!#REF!</definedName>
    <definedName name="kkkkkkk" localSheetId="24">'[3]összes igény'!#REF!</definedName>
    <definedName name="kkkkkkk" localSheetId="25">'[3]összes igény'!#REF!</definedName>
    <definedName name="kkkkkkk">'[4]összes igény'!#REF!</definedName>
    <definedName name="l" localSheetId="10">#REF!</definedName>
    <definedName name="l" localSheetId="11">#REF!</definedName>
    <definedName name="l" localSheetId="12">#REF!</definedName>
    <definedName name="l" localSheetId="13">#REF!</definedName>
    <definedName name="l" localSheetId="14">#REF!</definedName>
    <definedName name="l" localSheetId="15">#REF!</definedName>
    <definedName name="l" localSheetId="16">#REF!</definedName>
    <definedName name="l" localSheetId="17">#REF!</definedName>
    <definedName name="l" localSheetId="18">#REF!</definedName>
    <definedName name="l" localSheetId="19">#REF!</definedName>
    <definedName name="l" localSheetId="20">#REF!</definedName>
    <definedName name="l" localSheetId="21">#REF!</definedName>
    <definedName name="l" localSheetId="22">#REF!</definedName>
    <definedName name="l" localSheetId="23">#REF!</definedName>
    <definedName name="l" localSheetId="24">#REF!</definedName>
    <definedName name="l" localSheetId="25">#REF!</definedName>
    <definedName name="l" localSheetId="26">#REF!</definedName>
    <definedName name="l">#REF!</definedName>
    <definedName name="nem">1</definedName>
    <definedName name="nnn" localSheetId="13">'[3]összes igény'!#REF!</definedName>
    <definedName name="nnn" localSheetId="14">'[3]összes igény'!#REF!</definedName>
    <definedName name="nnn" localSheetId="15">'[3]összes igény'!#REF!</definedName>
    <definedName name="nnn" localSheetId="16">'[3]összes igény'!#REF!</definedName>
    <definedName name="nnn" localSheetId="17">'[3]összes igény'!#REF!</definedName>
    <definedName name="nnn" localSheetId="18">'[3]összes igény'!#REF!</definedName>
    <definedName name="nnn" localSheetId="19">'[3]összes igény'!#REF!</definedName>
    <definedName name="nnn" localSheetId="20">'[3]összes igény'!#REF!</definedName>
    <definedName name="nnn" localSheetId="21">'[3]összes igény'!#REF!</definedName>
    <definedName name="nnn" localSheetId="26">'[3]összes igény'!#REF!</definedName>
    <definedName name="nnn">'[3]összes igény'!#REF!</definedName>
    <definedName name="_xlnm.Print_Titles" localSheetId="9">'10.mell. '!$7:$10</definedName>
    <definedName name="_xlnm.Print_Titles" localSheetId="12">'13.mell. '!$8:$11</definedName>
    <definedName name="_xlnm.Print_Titles" localSheetId="1">'2.mell. '!$5:$7</definedName>
    <definedName name="_xlnm.Print_Titles" localSheetId="22">'23.mell.'!$8:$9</definedName>
    <definedName name="_xlnm.Print_Titles" localSheetId="23">'24.mell.'!$5:$6</definedName>
    <definedName name="_xlnm.Print_Titles" localSheetId="2">'3.mell.'!$4:$8</definedName>
    <definedName name="_xlnm.Print_Titles" localSheetId="3">'4.mell.'!$1:$8</definedName>
    <definedName name="_xlnm.Print_Titles" localSheetId="4">'5.mell.'!$3:$7</definedName>
    <definedName name="_xlnm.Print_Titles" localSheetId="5">'6.mell.'!$4:$8</definedName>
    <definedName name="_xlnm.Print_Titles" localSheetId="6">'7.mell.'!$4:$8</definedName>
    <definedName name="_xlnm.Print_Titles" localSheetId="7">'8.mell.'!$3:$7</definedName>
    <definedName name="_xlnm.Print_Titles" localSheetId="8">'9.mell '!$4:$8</definedName>
    <definedName name="_xlnm.Print_Area" localSheetId="0">'1.mell.'!$A$1:$N$60</definedName>
    <definedName name="_xlnm.Print_Area" localSheetId="10">'11.mell. '!$A$1:$N$57</definedName>
    <definedName name="_xlnm.Print_Area" localSheetId="1">'2.mell. '!$A$1:$I$265</definedName>
    <definedName name="_xlnm.Print_Area" localSheetId="2">'3.mell.'!$A$1:$I$151</definedName>
    <definedName name="_xlnm.Print_Area" localSheetId="3">'4.mell.'!$A$1:$I$760</definedName>
    <definedName name="_xlnm.Print_Area" localSheetId="8">'9.mell '!$A$1:$J$82</definedName>
    <definedName name="székház" localSheetId="10">#REF!</definedName>
    <definedName name="székház" localSheetId="11">#REF!</definedName>
    <definedName name="székház" localSheetId="12">#REF!</definedName>
    <definedName name="székház" localSheetId="13">#REF!</definedName>
    <definedName name="székház" localSheetId="14">#REF!</definedName>
    <definedName name="székház" localSheetId="15">#REF!</definedName>
    <definedName name="székház" localSheetId="16">#REF!</definedName>
    <definedName name="székház" localSheetId="17">#REF!</definedName>
    <definedName name="székház" localSheetId="18">#REF!</definedName>
    <definedName name="székház" localSheetId="19">#REF!</definedName>
    <definedName name="székház" localSheetId="20">#REF!</definedName>
    <definedName name="székház" localSheetId="21">#REF!</definedName>
    <definedName name="székház" localSheetId="22">#REF!</definedName>
    <definedName name="székház" localSheetId="23">#REF!</definedName>
    <definedName name="székház" localSheetId="24">#REF!</definedName>
    <definedName name="székház" localSheetId="25">#REF!</definedName>
    <definedName name="székház" localSheetId="26">#REF!</definedName>
    <definedName name="székház">#REF!</definedName>
    <definedName name="székházbérlők" localSheetId="10">'[6]3-aBevétel'!#REF!</definedName>
    <definedName name="székházbérlők" localSheetId="11">'[6]3-aBevétel'!#REF!</definedName>
    <definedName name="székházbérlők" localSheetId="12">'[6]3-aBevétel'!#REF!</definedName>
    <definedName name="székházbérlők" localSheetId="22">'[6]3-aBevétel'!#REF!</definedName>
    <definedName name="székházbérlők" localSheetId="23">'[6]3-aBevétel'!#REF!</definedName>
    <definedName name="székházbérlők" localSheetId="24">'[6]3-aBevétel'!#REF!</definedName>
    <definedName name="székházbérlők" localSheetId="25">'[6]3-aBevétel'!#REF!</definedName>
    <definedName name="székházbérlők">'[6]3-aBevétel'!#REF!</definedName>
    <definedName name="szintrehotzás" localSheetId="10">#REF!</definedName>
    <definedName name="szintrehotzás" localSheetId="11">#REF!</definedName>
    <definedName name="szintrehotzás" localSheetId="12">#REF!</definedName>
    <definedName name="szintrehotzás" localSheetId="13">#REF!</definedName>
    <definedName name="szintrehotzás" localSheetId="14">#REF!</definedName>
    <definedName name="szintrehotzás" localSheetId="15">#REF!</definedName>
    <definedName name="szintrehotzás" localSheetId="16">#REF!</definedName>
    <definedName name="szintrehotzás" localSheetId="17">#REF!</definedName>
    <definedName name="szintrehotzás" localSheetId="18">#REF!</definedName>
    <definedName name="szintrehotzás" localSheetId="19">#REF!</definedName>
    <definedName name="szintrehotzás" localSheetId="20">#REF!</definedName>
    <definedName name="szintrehotzás" localSheetId="21">#REF!</definedName>
    <definedName name="szintrehotzás" localSheetId="22">#REF!</definedName>
    <definedName name="szintrehotzás" localSheetId="23">#REF!</definedName>
    <definedName name="szintrehotzás" localSheetId="24">#REF!</definedName>
    <definedName name="szintrehotzás" localSheetId="25">#REF!</definedName>
    <definedName name="szintrehotzás" localSheetId="26">#REF!</definedName>
    <definedName name="szintrehotzás">#REF!</definedName>
    <definedName name="szintrehozás2" localSheetId="10">#REF!</definedName>
    <definedName name="szintrehozás2" localSheetId="11">#REF!</definedName>
    <definedName name="szintrehozás2" localSheetId="12">#REF!</definedName>
    <definedName name="szintrehozás2" localSheetId="13">#REF!</definedName>
    <definedName name="szintrehozás2" localSheetId="14">#REF!</definedName>
    <definedName name="szintrehozás2" localSheetId="15">#REF!</definedName>
    <definedName name="szintrehozás2" localSheetId="16">#REF!</definedName>
    <definedName name="szintrehozás2" localSheetId="17">#REF!</definedName>
    <definedName name="szintrehozás2" localSheetId="18">#REF!</definedName>
    <definedName name="szintrehozás2" localSheetId="19">#REF!</definedName>
    <definedName name="szintrehozás2" localSheetId="20">#REF!</definedName>
    <definedName name="szintrehozás2" localSheetId="21">#REF!</definedName>
    <definedName name="szintrehozás2" localSheetId="22">#REF!</definedName>
    <definedName name="szintrehozás2" localSheetId="23">#REF!</definedName>
    <definedName name="szintrehozás2" localSheetId="24">#REF!</definedName>
    <definedName name="szintrehozás2" localSheetId="25">#REF!</definedName>
    <definedName name="szintrehozás2" localSheetId="26">#REF!</definedName>
    <definedName name="szintrehozás2">#REF!</definedName>
    <definedName name="szintrhozás2" localSheetId="10">#REF!</definedName>
    <definedName name="szintrhozás2" localSheetId="11">#REF!</definedName>
    <definedName name="szintrhozás2" localSheetId="12">#REF!</definedName>
    <definedName name="szintrhozás2" localSheetId="13">#REF!</definedName>
    <definedName name="szintrhozás2" localSheetId="14">#REF!</definedName>
    <definedName name="szintrhozás2" localSheetId="15">#REF!</definedName>
    <definedName name="szintrhozás2" localSheetId="16">#REF!</definedName>
    <definedName name="szintrhozás2" localSheetId="17">#REF!</definedName>
    <definedName name="szintrhozás2" localSheetId="18">#REF!</definedName>
    <definedName name="szintrhozás2" localSheetId="19">#REF!</definedName>
    <definedName name="szintrhozás2" localSheetId="20">#REF!</definedName>
    <definedName name="szintrhozás2" localSheetId="21">#REF!</definedName>
    <definedName name="szintrhozás2" localSheetId="22">#REF!</definedName>
    <definedName name="szintrhozás2" localSheetId="23">#REF!</definedName>
    <definedName name="szintrhozás2" localSheetId="24">#REF!</definedName>
    <definedName name="szintrhozás2" localSheetId="25">#REF!</definedName>
    <definedName name="szintrhozás2" localSheetId="26">#REF!</definedName>
    <definedName name="szintrhozás2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7" i="153" l="1"/>
  <c r="C109" i="153" s="1"/>
  <c r="L37" i="154"/>
  <c r="K37" i="154"/>
  <c r="C37" i="154"/>
  <c r="B37" i="154"/>
  <c r="D36" i="154"/>
  <c r="E36" i="154" s="1"/>
  <c r="D37" i="154" l="1"/>
  <c r="E37" i="154"/>
  <c r="F36" i="154"/>
  <c r="F37" i="154" s="1"/>
  <c r="L26" i="154"/>
  <c r="N26" i="154"/>
  <c r="O26" i="154"/>
  <c r="M24" i="154"/>
  <c r="N23" i="154"/>
  <c r="M23" i="154"/>
  <c r="K23" i="154"/>
  <c r="M22" i="154"/>
  <c r="K22" i="154"/>
  <c r="K26" i="154" s="1"/>
  <c r="M21" i="154"/>
  <c r="M20" i="154"/>
  <c r="M14" i="154"/>
  <c r="L12" i="154"/>
  <c r="M11" i="154"/>
  <c r="M26" i="154" s="1"/>
  <c r="G36" i="154" l="1"/>
  <c r="H36" i="154"/>
  <c r="H37" i="154" s="1"/>
  <c r="G37" i="154"/>
  <c r="I65" i="48" l="1"/>
  <c r="I66" i="48"/>
  <c r="I93" i="47"/>
  <c r="I94" i="47"/>
  <c r="I90" i="47"/>
  <c r="I61" i="47"/>
  <c r="I57" i="47"/>
  <c r="I58" i="47"/>
  <c r="I42" i="47"/>
  <c r="I27" i="47"/>
  <c r="I758" i="44"/>
  <c r="I378" i="44"/>
  <c r="I386" i="44"/>
  <c r="I262" i="44"/>
  <c r="I207" i="44"/>
  <c r="I181" i="44"/>
  <c r="I106" i="44"/>
  <c r="I87" i="44"/>
  <c r="I48" i="44"/>
  <c r="I47" i="44"/>
  <c r="I426" i="44"/>
  <c r="I26" i="44"/>
  <c r="I32" i="43"/>
  <c r="I31" i="43"/>
  <c r="I611" i="135"/>
  <c r="I420" i="135"/>
  <c r="I298" i="135"/>
  <c r="I174" i="135"/>
  <c r="F169" i="141" l="1"/>
  <c r="G169" i="141"/>
  <c r="K169" i="141"/>
  <c r="M169" i="141"/>
  <c r="I169" i="141"/>
  <c r="D9" i="142"/>
  <c r="D10" i="142"/>
  <c r="C24" i="142"/>
  <c r="C19" i="142" l="1"/>
  <c r="C23" i="142"/>
  <c r="C30" i="142"/>
  <c r="C44" i="142"/>
  <c r="C54" i="142"/>
  <c r="C55" i="142"/>
  <c r="C56" i="142"/>
  <c r="C57" i="142"/>
  <c r="C59" i="142"/>
  <c r="C61" i="142"/>
  <c r="C62" i="142"/>
  <c r="C67" i="142"/>
  <c r="C68" i="142"/>
  <c r="C69" i="142"/>
  <c r="C70" i="142"/>
  <c r="C71" i="142"/>
  <c r="C72" i="142"/>
  <c r="C73" i="142"/>
  <c r="C74" i="142"/>
  <c r="C75" i="142"/>
  <c r="C76" i="142"/>
  <c r="C77" i="142"/>
  <c r="C78" i="142"/>
  <c r="C79" i="142"/>
  <c r="C80" i="142"/>
  <c r="C81" i="142"/>
  <c r="C82" i="142"/>
  <c r="C83" i="142"/>
  <c r="C84" i="142"/>
  <c r="C85" i="142"/>
  <c r="C86" i="142"/>
  <c r="C87" i="142"/>
  <c r="C90" i="142"/>
  <c r="C92" i="142"/>
  <c r="C95" i="142"/>
  <c r="C98" i="142"/>
  <c r="C99" i="142"/>
  <c r="C20" i="141"/>
  <c r="C21" i="141"/>
  <c r="C23" i="141"/>
  <c r="C24" i="141"/>
  <c r="C26" i="141"/>
  <c r="C27" i="141"/>
  <c r="C31" i="141"/>
  <c r="C32" i="141"/>
  <c r="C33" i="141"/>
  <c r="C37" i="141"/>
  <c r="C36" i="141" s="1"/>
  <c r="C51" i="141"/>
  <c r="C81" i="141"/>
  <c r="C83" i="141"/>
  <c r="C84" i="141"/>
  <c r="C96" i="141"/>
  <c r="C99" i="141"/>
  <c r="C100" i="141"/>
  <c r="C102" i="141"/>
  <c r="C103" i="141"/>
  <c r="C105" i="141"/>
  <c r="C106" i="141"/>
  <c r="C107" i="141"/>
  <c r="C108" i="141"/>
  <c r="C110" i="141"/>
  <c r="C111" i="141"/>
  <c r="C112" i="141"/>
  <c r="C115" i="141"/>
  <c r="C116" i="141"/>
  <c r="C117" i="141"/>
  <c r="C118" i="141"/>
  <c r="C119" i="141"/>
  <c r="C122" i="141"/>
  <c r="C123" i="141"/>
  <c r="C137" i="141"/>
  <c r="C148" i="141"/>
  <c r="C149" i="141"/>
  <c r="C150" i="141"/>
  <c r="C151" i="141"/>
  <c r="C152" i="141"/>
  <c r="C153" i="141"/>
  <c r="C154" i="141"/>
  <c r="C159" i="141"/>
  <c r="C160" i="141"/>
  <c r="C161" i="141"/>
  <c r="F25" i="154" l="1"/>
  <c r="H25" i="154" s="1"/>
  <c r="C23" i="154" l="1"/>
  <c r="C35" i="153" l="1"/>
  <c r="D101" i="158" l="1"/>
  <c r="E31" i="158" l="1"/>
  <c r="I703" i="135" l="1"/>
  <c r="H685" i="135"/>
  <c r="H687" i="135"/>
  <c r="H697" i="135" s="1"/>
  <c r="H705" i="135"/>
  <c r="H714" i="135"/>
  <c r="H718" i="135"/>
  <c r="H699" i="135" l="1"/>
  <c r="H708" i="135" s="1"/>
  <c r="H719" i="135"/>
  <c r="C167" i="141" s="1"/>
  <c r="I615" i="135" l="1"/>
  <c r="I548" i="135"/>
  <c r="I546" i="135"/>
  <c r="I544" i="135"/>
  <c r="I509" i="135"/>
  <c r="H500" i="135"/>
  <c r="I498" i="135"/>
  <c r="D46" i="156" l="1"/>
  <c r="C46" i="156"/>
  <c r="I400" i="135" l="1"/>
  <c r="H356" i="135"/>
  <c r="D18" i="157" l="1"/>
  <c r="D77" i="161"/>
  <c r="C77" i="161"/>
  <c r="E76" i="161"/>
  <c r="E75" i="161"/>
  <c r="E74" i="161"/>
  <c r="E72" i="161"/>
  <c r="E71" i="161"/>
  <c r="E70" i="161"/>
  <c r="E69" i="161"/>
  <c r="E68" i="161"/>
  <c r="E67" i="161"/>
  <c r="E66" i="161"/>
  <c r="E65" i="161"/>
  <c r="D64" i="161"/>
  <c r="C64" i="161"/>
  <c r="E63" i="161"/>
  <c r="E62" i="161"/>
  <c r="E61" i="161"/>
  <c r="E60" i="161"/>
  <c r="D59" i="161"/>
  <c r="D73" i="161" s="1"/>
  <c r="C59" i="161"/>
  <c r="C73" i="161" s="1"/>
  <c r="D58" i="161"/>
  <c r="C58" i="161"/>
  <c r="E57" i="161"/>
  <c r="E56" i="161"/>
  <c r="E55" i="161"/>
  <c r="E54" i="161"/>
  <c r="E53" i="161"/>
  <c r="E50" i="161"/>
  <c r="D49" i="161"/>
  <c r="C49" i="161"/>
  <c r="E48" i="161"/>
  <c r="E47" i="161"/>
  <c r="E46" i="161"/>
  <c r="E44" i="161"/>
  <c r="E43" i="161"/>
  <c r="E42" i="161"/>
  <c r="E41" i="161"/>
  <c r="E40" i="161"/>
  <c r="E39" i="161"/>
  <c r="D38" i="161"/>
  <c r="C38" i="161"/>
  <c r="E37" i="161"/>
  <c r="E36" i="161"/>
  <c r="E35" i="161"/>
  <c r="E34" i="161"/>
  <c r="E33" i="161"/>
  <c r="D32" i="161"/>
  <c r="C32" i="161"/>
  <c r="D31" i="161"/>
  <c r="C31" i="161"/>
  <c r="E30" i="161"/>
  <c r="E29" i="161"/>
  <c r="E28" i="161"/>
  <c r="E27" i="161"/>
  <c r="E26" i="161"/>
  <c r="E24" i="161"/>
  <c r="D23" i="161"/>
  <c r="D22" i="161" s="1"/>
  <c r="C23" i="161"/>
  <c r="C22" i="161" s="1"/>
  <c r="E21" i="161"/>
  <c r="D20" i="161"/>
  <c r="C20" i="161"/>
  <c r="E20" i="161" s="1"/>
  <c r="E18" i="161"/>
  <c r="D17" i="161"/>
  <c r="C17" i="161"/>
  <c r="E16" i="161"/>
  <c r="E15" i="161"/>
  <c r="E14" i="161"/>
  <c r="D13" i="161"/>
  <c r="C13" i="161"/>
  <c r="E13" i="161" s="1"/>
  <c r="E12" i="161"/>
  <c r="E11" i="161"/>
  <c r="D10" i="161"/>
  <c r="C10" i="161"/>
  <c r="E10" i="161" s="1"/>
  <c r="E14" i="151"/>
  <c r="C12" i="151"/>
  <c r="C16" i="151" s="1"/>
  <c r="B12" i="151"/>
  <c r="B16" i="151" s="1"/>
  <c r="E11" i="151"/>
  <c r="D11" i="151"/>
  <c r="E10" i="151"/>
  <c r="D10" i="151"/>
  <c r="E9" i="151"/>
  <c r="D9" i="151"/>
  <c r="E8" i="151"/>
  <c r="D8" i="151"/>
  <c r="E7" i="151"/>
  <c r="D7" i="151"/>
  <c r="L14" i="150"/>
  <c r="M14" i="150" s="1"/>
  <c r="F14" i="150"/>
  <c r="L13" i="150"/>
  <c r="I13" i="150"/>
  <c r="F13" i="150"/>
  <c r="L12" i="150"/>
  <c r="M12" i="150" s="1"/>
  <c r="F12" i="150"/>
  <c r="L11" i="150"/>
  <c r="I11" i="150"/>
  <c r="M11" i="150" s="1"/>
  <c r="F11" i="150"/>
  <c r="L10" i="150"/>
  <c r="M10" i="150" s="1"/>
  <c r="F10" i="150"/>
  <c r="L9" i="150"/>
  <c r="M9" i="150" s="1"/>
  <c r="F9" i="150"/>
  <c r="I8" i="150"/>
  <c r="M8" i="150" s="1"/>
  <c r="F8" i="150"/>
  <c r="M7" i="150"/>
  <c r="E7" i="150"/>
  <c r="F7" i="150" s="1"/>
  <c r="I79" i="98"/>
  <c r="M13" i="150" l="1"/>
  <c r="E49" i="161"/>
  <c r="E17" i="161"/>
  <c r="E31" i="161"/>
  <c r="E12" i="151"/>
  <c r="C45" i="161"/>
  <c r="D45" i="161"/>
  <c r="D25" i="161"/>
  <c r="D12" i="151"/>
  <c r="D16" i="151" s="1"/>
  <c r="E59" i="161"/>
  <c r="D19" i="161"/>
  <c r="D51" i="161" s="1"/>
  <c r="E16" i="151"/>
  <c r="E38" i="161"/>
  <c r="E73" i="161"/>
  <c r="E64" i="161"/>
  <c r="C78" i="161"/>
  <c r="E58" i="161"/>
  <c r="D78" i="161"/>
  <c r="E22" i="161"/>
  <c r="C25" i="161"/>
  <c r="E25" i="161" s="1"/>
  <c r="C19" i="161"/>
  <c r="E23" i="161"/>
  <c r="E32" i="161"/>
  <c r="E77" i="161"/>
  <c r="E45" i="161" l="1"/>
  <c r="E78" i="161"/>
  <c r="E19" i="161"/>
  <c r="C51" i="161"/>
  <c r="E51" i="161" s="1"/>
  <c r="E113" i="160"/>
  <c r="D113" i="160" l="1"/>
  <c r="H358" i="44" l="1"/>
  <c r="H16" i="98"/>
  <c r="H22" i="43"/>
  <c r="H21" i="43"/>
  <c r="I153" i="136" l="1"/>
  <c r="I139" i="136"/>
  <c r="I134" i="136"/>
  <c r="I126" i="136"/>
  <c r="H119" i="136"/>
  <c r="I115" i="136"/>
  <c r="I98" i="136"/>
  <c r="I77" i="136"/>
  <c r="I75" i="136"/>
  <c r="I74" i="136"/>
  <c r="I52" i="136"/>
  <c r="I53" i="136"/>
  <c r="C91" i="153"/>
  <c r="C22" i="152" l="1"/>
  <c r="C12" i="145" l="1"/>
  <c r="D21" i="157"/>
  <c r="D10" i="157"/>
  <c r="D147" i="156"/>
  <c r="C147" i="156"/>
  <c r="D143" i="156"/>
  <c r="C143" i="156"/>
  <c r="D136" i="156"/>
  <c r="C136" i="156"/>
  <c r="D120" i="156"/>
  <c r="C120" i="156"/>
  <c r="D115" i="156"/>
  <c r="C115" i="156"/>
  <c r="D102" i="156"/>
  <c r="C102" i="156"/>
  <c r="D98" i="156"/>
  <c r="C98" i="156"/>
  <c r="C87" i="156"/>
  <c r="C77" i="156"/>
  <c r="D74" i="156"/>
  <c r="C74" i="156"/>
  <c r="D66" i="156"/>
  <c r="C66" i="156"/>
  <c r="D62" i="156"/>
  <c r="C62" i="156"/>
  <c r="D54" i="156"/>
  <c r="C54" i="156"/>
  <c r="D50" i="156"/>
  <c r="C50" i="156"/>
  <c r="D41" i="156"/>
  <c r="C41" i="156"/>
  <c r="D32" i="156"/>
  <c r="D31" i="156" s="1"/>
  <c r="C32" i="156"/>
  <c r="C31" i="156" s="1"/>
  <c r="D28" i="156"/>
  <c r="C28" i="156"/>
  <c r="D24" i="156"/>
  <c r="C24" i="156"/>
  <c r="D19" i="156"/>
  <c r="C19" i="156"/>
  <c r="D13" i="156"/>
  <c r="C13" i="156"/>
  <c r="D8" i="156"/>
  <c r="C8" i="156"/>
  <c r="I26" i="154"/>
  <c r="G26" i="154"/>
  <c r="E26" i="154"/>
  <c r="C26" i="154"/>
  <c r="B26" i="154"/>
  <c r="D24" i="154"/>
  <c r="F24" i="154" s="1"/>
  <c r="D23" i="154"/>
  <c r="F23" i="154" s="1"/>
  <c r="J23" i="154" s="1"/>
  <c r="D22" i="154"/>
  <c r="F22" i="154" s="1"/>
  <c r="D21" i="154"/>
  <c r="F21" i="154" s="1"/>
  <c r="D20" i="154"/>
  <c r="F20" i="154" s="1"/>
  <c r="D19" i="154"/>
  <c r="F19" i="154" s="1"/>
  <c r="H19" i="154" s="1"/>
  <c r="D18" i="154"/>
  <c r="F18" i="154" s="1"/>
  <c r="H18" i="154" s="1"/>
  <c r="D17" i="154"/>
  <c r="F17" i="154" s="1"/>
  <c r="H17" i="154" s="1"/>
  <c r="D16" i="154"/>
  <c r="F16" i="154" s="1"/>
  <c r="H16" i="154" s="1"/>
  <c r="D15" i="154"/>
  <c r="F15" i="154" s="1"/>
  <c r="H15" i="154" s="1"/>
  <c r="D14" i="154"/>
  <c r="F14" i="154" s="1"/>
  <c r="D13" i="154"/>
  <c r="F13" i="154" s="1"/>
  <c r="H13" i="154" s="1"/>
  <c r="D12" i="154"/>
  <c r="F12" i="154" s="1"/>
  <c r="D11" i="154"/>
  <c r="C99" i="153"/>
  <c r="C95" i="153"/>
  <c r="C81" i="153"/>
  <c r="C15" i="153"/>
  <c r="C12" i="153"/>
  <c r="C33" i="152"/>
  <c r="C27" i="152"/>
  <c r="C17" i="152"/>
  <c r="C15" i="152"/>
  <c r="K16" i="150"/>
  <c r="J16" i="150"/>
  <c r="H16" i="150"/>
  <c r="G16" i="150"/>
  <c r="D16" i="150"/>
  <c r="C16" i="150"/>
  <c r="B16" i="150"/>
  <c r="I15" i="150"/>
  <c r="M15" i="150" s="1"/>
  <c r="F15" i="150"/>
  <c r="N40" i="138"/>
  <c r="N42" i="138"/>
  <c r="N56" i="138" s="1"/>
  <c r="N49" i="138"/>
  <c r="N9" i="138"/>
  <c r="N13" i="138"/>
  <c r="N22" i="138"/>
  <c r="N27" i="138"/>
  <c r="N36" i="138"/>
  <c r="N37" i="138"/>
  <c r="N48" i="138" s="1"/>
  <c r="N45" i="138"/>
  <c r="N46" i="138"/>
  <c r="N52" i="138"/>
  <c r="N54" i="138"/>
  <c r="N55" i="138"/>
  <c r="M13" i="138"/>
  <c r="M22" i="138"/>
  <c r="M27" i="138"/>
  <c r="M36" i="138"/>
  <c r="M37" i="138"/>
  <c r="M48" i="138" s="1"/>
  <c r="M42" i="138"/>
  <c r="M56" i="138" s="1"/>
  <c r="M45" i="138"/>
  <c r="M46" i="138"/>
  <c r="M49" i="138"/>
  <c r="M50" i="138"/>
  <c r="M52" i="138"/>
  <c r="M54" i="138"/>
  <c r="M55" i="138"/>
  <c r="I102" i="98"/>
  <c r="J21" i="154" l="1"/>
  <c r="H21" i="154"/>
  <c r="J14" i="154"/>
  <c r="H14" i="154"/>
  <c r="J22" i="154"/>
  <c r="H22" i="154"/>
  <c r="J12" i="154"/>
  <c r="H12" i="154"/>
  <c r="J20" i="154"/>
  <c r="H20" i="154"/>
  <c r="J24" i="154"/>
  <c r="H24" i="154"/>
  <c r="H23" i="154"/>
  <c r="D124" i="156"/>
  <c r="N51" i="138"/>
  <c r="D23" i="156"/>
  <c r="C124" i="156"/>
  <c r="N47" i="138"/>
  <c r="N50" i="138"/>
  <c r="D12" i="156"/>
  <c r="D11" i="156" s="1"/>
  <c r="D38" i="156" s="1"/>
  <c r="D56" i="156" s="1"/>
  <c r="C16" i="153"/>
  <c r="C69" i="156"/>
  <c r="C12" i="156"/>
  <c r="C108" i="156"/>
  <c r="C153" i="156"/>
  <c r="C101" i="153"/>
  <c r="D153" i="156"/>
  <c r="D108" i="156"/>
  <c r="C90" i="156"/>
  <c r="D69" i="156"/>
  <c r="C23" i="156"/>
  <c r="D26" i="154"/>
  <c r="F11" i="154"/>
  <c r="C37" i="152"/>
  <c r="C18" i="152"/>
  <c r="L16" i="150"/>
  <c r="F16" i="150"/>
  <c r="E16" i="150"/>
  <c r="C39" i="152" l="1"/>
  <c r="C41" i="152"/>
  <c r="J11" i="154"/>
  <c r="H11" i="154"/>
  <c r="M16" i="150"/>
  <c r="I16" i="150"/>
  <c r="C11" i="156"/>
  <c r="C38" i="156" s="1"/>
  <c r="F26" i="154"/>
  <c r="H26" i="154" l="1"/>
  <c r="J26" i="154"/>
  <c r="C56" i="156"/>
  <c r="I43" i="48" l="1"/>
  <c r="H42" i="48"/>
  <c r="C94" i="142" s="1"/>
  <c r="I28" i="47" l="1"/>
  <c r="H19" i="125" l="1"/>
  <c r="I794" i="44" l="1"/>
  <c r="I390" i="44"/>
  <c r="N13" i="115" l="1"/>
  <c r="N14" i="115"/>
  <c r="G9" i="115"/>
  <c r="I164" i="136" l="1"/>
  <c r="I160" i="136"/>
  <c r="I157" i="136"/>
  <c r="I105" i="136"/>
  <c r="I86" i="136"/>
  <c r="I37" i="136"/>
  <c r="I16" i="136"/>
  <c r="H106" i="98"/>
  <c r="H61" i="136" l="1"/>
  <c r="H10" i="136"/>
  <c r="H24" i="136"/>
  <c r="H27" i="136"/>
  <c r="H31" i="136"/>
  <c r="H45" i="136"/>
  <c r="H55" i="136"/>
  <c r="H66" i="136"/>
  <c r="H82" i="136"/>
  <c r="H89" i="136"/>
  <c r="H242" i="136" s="1"/>
  <c r="G38" i="115" s="1"/>
  <c r="H95" i="136"/>
  <c r="H97" i="136"/>
  <c r="H102" i="136"/>
  <c r="H116" i="136"/>
  <c r="H127" i="136"/>
  <c r="H131" i="136"/>
  <c r="H132" i="136"/>
  <c r="H154" i="136"/>
  <c r="H158" i="136"/>
  <c r="H162" i="136"/>
  <c r="H165" i="136"/>
  <c r="H215" i="136"/>
  <c r="H216" i="136"/>
  <c r="G11" i="115" s="1"/>
  <c r="H218" i="136"/>
  <c r="G12" i="115" s="1"/>
  <c r="H219" i="136"/>
  <c r="G13" i="115" s="1"/>
  <c r="H228" i="136"/>
  <c r="G23" i="115" s="1"/>
  <c r="H239" i="136"/>
  <c r="H240" i="136"/>
  <c r="G36" i="115" s="1"/>
  <c r="H241" i="136"/>
  <c r="G37" i="115" s="1"/>
  <c r="H250" i="136"/>
  <c r="H255" i="136"/>
  <c r="H256" i="136"/>
  <c r="H257" i="136"/>
  <c r="G53" i="115" s="1"/>
  <c r="I71" i="98"/>
  <c r="I64" i="98"/>
  <c r="H54" i="98"/>
  <c r="H45" i="98"/>
  <c r="H70" i="98"/>
  <c r="C155" i="141" s="1"/>
  <c r="H72" i="98"/>
  <c r="C156" i="141" s="1"/>
  <c r="H75" i="98"/>
  <c r="C157" i="141" s="1"/>
  <c r="H78" i="98"/>
  <c r="C158" i="141" s="1"/>
  <c r="H91" i="98"/>
  <c r="H110" i="98"/>
  <c r="H126" i="98"/>
  <c r="H144" i="98"/>
  <c r="N49" i="115" s="1"/>
  <c r="H146" i="98"/>
  <c r="H147" i="98"/>
  <c r="N50" i="115" s="1"/>
  <c r="H149" i="98"/>
  <c r="I623" i="135"/>
  <c r="I621" i="135"/>
  <c r="I619" i="135"/>
  <c r="I506" i="135"/>
  <c r="I507" i="135"/>
  <c r="I450" i="135"/>
  <c r="I412" i="135"/>
  <c r="I665" i="135"/>
  <c r="I640" i="135"/>
  <c r="I637" i="135"/>
  <c r="I627" i="135"/>
  <c r="I564" i="135"/>
  <c r="I561" i="135"/>
  <c r="I552" i="135"/>
  <c r="I528" i="135"/>
  <c r="I517" i="135"/>
  <c r="I514" i="135"/>
  <c r="I454" i="135"/>
  <c r="I453" i="135"/>
  <c r="I452" i="135"/>
  <c r="I448" i="135"/>
  <c r="I444" i="135"/>
  <c r="I443" i="135"/>
  <c r="I442" i="135"/>
  <c r="I441" i="135"/>
  <c r="I434" i="135"/>
  <c r="I430" i="135"/>
  <c r="I427" i="135"/>
  <c r="I426" i="135"/>
  <c r="I425" i="135"/>
  <c r="I424" i="135"/>
  <c r="I419" i="135"/>
  <c r="I408" i="135"/>
  <c r="I405" i="135"/>
  <c r="I403" i="135"/>
  <c r="I401" i="135"/>
  <c r="I399" i="135"/>
  <c r="I398" i="135"/>
  <c r="I397" i="135"/>
  <c r="I395" i="135"/>
  <c r="I394" i="135"/>
  <c r="I392" i="135"/>
  <c r="I391" i="135"/>
  <c r="I387" i="135"/>
  <c r="I386" i="135"/>
  <c r="I371" i="135"/>
  <c r="I300" i="135"/>
  <c r="I294" i="135"/>
  <c r="I278" i="135"/>
  <c r="I266" i="135"/>
  <c r="I235" i="135"/>
  <c r="I232" i="135"/>
  <c r="I226" i="135"/>
  <c r="I210" i="135"/>
  <c r="I208" i="135"/>
  <c r="I164" i="135"/>
  <c r="I162" i="135"/>
  <c r="I130" i="135"/>
  <c r="I128" i="135"/>
  <c r="I124" i="135"/>
  <c r="I95" i="135"/>
  <c r="I93" i="135"/>
  <c r="I89" i="135"/>
  <c r="I73" i="135"/>
  <c r="I61" i="135"/>
  <c r="I26" i="135"/>
  <c r="H649" i="135"/>
  <c r="G571" i="135"/>
  <c r="H499" i="135"/>
  <c r="H299" i="135"/>
  <c r="H295" i="135"/>
  <c r="H286" i="135"/>
  <c r="H252" i="135"/>
  <c r="H227" i="135"/>
  <c r="H218" i="135"/>
  <c r="H184" i="135"/>
  <c r="H163" i="135"/>
  <c r="H150" i="135"/>
  <c r="H129" i="135"/>
  <c r="H125" i="135"/>
  <c r="H115" i="135"/>
  <c r="H97" i="135"/>
  <c r="H94" i="135"/>
  <c r="H90" i="135"/>
  <c r="H81" i="135"/>
  <c r="H46" i="135"/>
  <c r="H21" i="135"/>
  <c r="H28" i="135"/>
  <c r="H37" i="135"/>
  <c r="H41" i="135"/>
  <c r="H63" i="135"/>
  <c r="H72" i="135"/>
  <c r="H343" i="135"/>
  <c r="H76" i="135"/>
  <c r="H106" i="135"/>
  <c r="H110" i="135"/>
  <c r="H132" i="135"/>
  <c r="H341" i="135"/>
  <c r="H145" i="135"/>
  <c r="H166" i="135"/>
  <c r="H175" i="135"/>
  <c r="H179" i="135"/>
  <c r="H200" i="135"/>
  <c r="H209" i="135"/>
  <c r="H213" i="135"/>
  <c r="H234" i="135"/>
  <c r="H236" i="135"/>
  <c r="H243" i="135"/>
  <c r="H347" i="135"/>
  <c r="H247" i="135"/>
  <c r="H268" i="135"/>
  <c r="H277" i="135"/>
  <c r="H281" i="135"/>
  <c r="H302" i="135"/>
  <c r="H311" i="135"/>
  <c r="H315" i="135"/>
  <c r="H335" i="135"/>
  <c r="H336" i="135"/>
  <c r="H338" i="135"/>
  <c r="H345" i="135"/>
  <c r="H366" i="135"/>
  <c r="H370" i="135"/>
  <c r="H375" i="135"/>
  <c r="H384" i="135"/>
  <c r="H385" i="135"/>
  <c r="H415" i="135"/>
  <c r="H462" i="135"/>
  <c r="H463" i="135"/>
  <c r="H464" i="135"/>
  <c r="H465" i="135"/>
  <c r="H466" i="135"/>
  <c r="H467" i="135"/>
  <c r="H468" i="135"/>
  <c r="H469" i="135"/>
  <c r="H478" i="135"/>
  <c r="H480" i="135"/>
  <c r="H488" i="135"/>
  <c r="H574" i="135"/>
  <c r="H577" i="135"/>
  <c r="H518" i="135"/>
  <c r="H596" i="135"/>
  <c r="H597" i="135"/>
  <c r="H531" i="135"/>
  <c r="H547" i="135"/>
  <c r="H554" i="135"/>
  <c r="H563" i="135"/>
  <c r="H567" i="135"/>
  <c r="H578" i="135"/>
  <c r="H579" i="135"/>
  <c r="H580" i="135"/>
  <c r="H581" i="135"/>
  <c r="H582" i="135"/>
  <c r="H584" i="135"/>
  <c r="H586" i="135"/>
  <c r="H588" i="135"/>
  <c r="H589" i="135"/>
  <c r="H591" i="135"/>
  <c r="H593" i="135"/>
  <c r="H594" i="135" s="1"/>
  <c r="H598" i="135"/>
  <c r="H599" i="135"/>
  <c r="H600" i="135"/>
  <c r="H602" i="135"/>
  <c r="H603" i="135"/>
  <c r="H610" i="135"/>
  <c r="H612" i="135"/>
  <c r="H629" i="135"/>
  <c r="H638" i="135"/>
  <c r="H643" i="135"/>
  <c r="H667" i="135"/>
  <c r="H676" i="135"/>
  <c r="H680" i="135"/>
  <c r="H724" i="135"/>
  <c r="H739" i="135"/>
  <c r="H753" i="135"/>
  <c r="G12" i="135"/>
  <c r="G20" i="135"/>
  <c r="G21" i="135"/>
  <c r="G27" i="135"/>
  <c r="G32" i="135"/>
  <c r="G33" i="135"/>
  <c r="G34" i="135"/>
  <c r="G38" i="135"/>
  <c r="G45" i="135"/>
  <c r="G46" i="135"/>
  <c r="G58" i="135"/>
  <c r="G62" i="135"/>
  <c r="G63" i="135" s="1"/>
  <c r="G67" i="135"/>
  <c r="G68" i="135"/>
  <c r="G69" i="135"/>
  <c r="G76" i="135"/>
  <c r="G80" i="135"/>
  <c r="G81" i="135"/>
  <c r="G92" i="135"/>
  <c r="G96" i="135"/>
  <c r="G101" i="135"/>
  <c r="G102" i="135"/>
  <c r="G103" i="135"/>
  <c r="G107" i="135"/>
  <c r="G114" i="135"/>
  <c r="G115" i="135"/>
  <c r="G127" i="135" s="1"/>
  <c r="G131" i="135"/>
  <c r="I131" i="135" s="1"/>
  <c r="G136" i="135"/>
  <c r="G137" i="135"/>
  <c r="G138" i="135"/>
  <c r="G142" i="135"/>
  <c r="G149" i="135"/>
  <c r="G150" i="135"/>
  <c r="G165" i="135"/>
  <c r="G170" i="135"/>
  <c r="G171" i="135"/>
  <c r="G172" i="135"/>
  <c r="G176" i="135"/>
  <c r="G179" i="135"/>
  <c r="G183" i="135"/>
  <c r="G184" i="135"/>
  <c r="G198" i="135"/>
  <c r="G199" i="135"/>
  <c r="G204" i="135"/>
  <c r="G205" i="135"/>
  <c r="G206" i="135"/>
  <c r="G213" i="135"/>
  <c r="G217" i="135"/>
  <c r="G218" i="135"/>
  <c r="G233" i="135"/>
  <c r="G236" i="135"/>
  <c r="G238" i="135"/>
  <c r="G239" i="135"/>
  <c r="G240" i="135"/>
  <c r="G244" i="135"/>
  <c r="G247" i="135" s="1"/>
  <c r="G251" i="135"/>
  <c r="G252" i="135"/>
  <c r="G263" i="135" s="1"/>
  <c r="G267" i="135"/>
  <c r="G272" i="135"/>
  <c r="G273" i="135"/>
  <c r="G274" i="135"/>
  <c r="G281" i="135"/>
  <c r="G285" i="135"/>
  <c r="G286" i="135"/>
  <c r="G295" i="135"/>
  <c r="G301" i="135"/>
  <c r="G306" i="135"/>
  <c r="G307" i="135"/>
  <c r="G308" i="135"/>
  <c r="G312" i="135"/>
  <c r="G330" i="135"/>
  <c r="G333" i="135"/>
  <c r="G334" i="135"/>
  <c r="G338" i="135"/>
  <c r="G339" i="135" s="1"/>
  <c r="G345" i="135"/>
  <c r="G489" i="135" s="1"/>
  <c r="G357" i="135"/>
  <c r="G358" i="135"/>
  <c r="G359" i="135"/>
  <c r="G360" i="135"/>
  <c r="G361" i="135"/>
  <c r="G362" i="135"/>
  <c r="G363" i="135"/>
  <c r="G364" i="135"/>
  <c r="G365" i="135"/>
  <c r="G370" i="135"/>
  <c r="G475" i="135" s="1"/>
  <c r="G740" i="135" s="1"/>
  <c r="G373" i="135"/>
  <c r="G374" i="135"/>
  <c r="G379" i="135"/>
  <c r="G380" i="135"/>
  <c r="G381" i="135"/>
  <c r="G388" i="135"/>
  <c r="G389" i="135"/>
  <c r="G390" i="135"/>
  <c r="G393" i="135"/>
  <c r="G396" i="135"/>
  <c r="G402" i="135"/>
  <c r="G404" i="135"/>
  <c r="G406" i="135"/>
  <c r="G407" i="135"/>
  <c r="G410" i="135"/>
  <c r="G411" i="135"/>
  <c r="G413" i="135"/>
  <c r="G414" i="135"/>
  <c r="G416" i="135"/>
  <c r="G417" i="135"/>
  <c r="G423" i="135"/>
  <c r="G435" i="135"/>
  <c r="G436" i="135"/>
  <c r="G438" i="135"/>
  <c r="G439" i="135"/>
  <c r="G440" i="135"/>
  <c r="G446" i="135"/>
  <c r="G447" i="135"/>
  <c r="G449" i="135"/>
  <c r="G451" i="135"/>
  <c r="G469" i="135"/>
  <c r="G478" i="135"/>
  <c r="G488" i="135"/>
  <c r="G501" i="135"/>
  <c r="G504" i="135"/>
  <c r="G505" i="135"/>
  <c r="G516" i="135"/>
  <c r="G522" i="135"/>
  <c r="G523" i="135"/>
  <c r="G524" i="135"/>
  <c r="G531" i="135"/>
  <c r="G541" i="135"/>
  <c r="G542" i="135"/>
  <c r="G543" i="135"/>
  <c r="G553" i="135"/>
  <c r="G558" i="135"/>
  <c r="G559" i="135"/>
  <c r="G560" i="135"/>
  <c r="G567" i="135"/>
  <c r="G580" i="135"/>
  <c r="G581" i="135"/>
  <c r="G582" i="135"/>
  <c r="G584" i="135"/>
  <c r="G736" i="135" s="1"/>
  <c r="G586" i="135"/>
  <c r="G587" i="135" s="1"/>
  <c r="G588" i="135"/>
  <c r="G589" i="135"/>
  <c r="G591" i="135"/>
  <c r="G593" i="135"/>
  <c r="G594" i="135" s="1"/>
  <c r="G599" i="135"/>
  <c r="G600" i="135"/>
  <c r="G602" i="135"/>
  <c r="G603" i="135"/>
  <c r="G609" i="135"/>
  <c r="G613" i="135"/>
  <c r="G617" i="135"/>
  <c r="G628" i="135"/>
  <c r="G629" i="135" s="1"/>
  <c r="G633" i="135"/>
  <c r="G634" i="135"/>
  <c r="G635" i="135"/>
  <c r="G639" i="135"/>
  <c r="G643" i="135"/>
  <c r="G650" i="135"/>
  <c r="G654" i="135"/>
  <c r="G655" i="135"/>
  <c r="G666" i="135"/>
  <c r="G667" i="135" s="1"/>
  <c r="G671" i="135"/>
  <c r="I671" i="135" s="1"/>
  <c r="G672" i="135"/>
  <c r="G673" i="135"/>
  <c r="G677" i="135"/>
  <c r="G684" i="135"/>
  <c r="G686" i="135"/>
  <c r="G724" i="135" s="1"/>
  <c r="G688" i="135"/>
  <c r="G689" i="135"/>
  <c r="G690" i="135"/>
  <c r="G696" i="135"/>
  <c r="G704" i="135"/>
  <c r="G705" i="135" s="1"/>
  <c r="G709" i="135"/>
  <c r="G710" i="135"/>
  <c r="G711" i="135"/>
  <c r="G715" i="135"/>
  <c r="G716" i="135"/>
  <c r="G739" i="135"/>
  <c r="G753" i="135"/>
  <c r="H18" i="43"/>
  <c r="C11" i="142" s="1"/>
  <c r="H54" i="43"/>
  <c r="H14" i="98" s="1"/>
  <c r="H60" i="43"/>
  <c r="H17" i="98" s="1"/>
  <c r="H39" i="43"/>
  <c r="H49" i="43"/>
  <c r="H52" i="43"/>
  <c r="H12" i="98" s="1"/>
  <c r="H53" i="43"/>
  <c r="H13" i="98" s="1"/>
  <c r="H55" i="43"/>
  <c r="H15" i="98" s="1"/>
  <c r="H59" i="43"/>
  <c r="H18" i="98" s="1"/>
  <c r="H61" i="43"/>
  <c r="H19" i="98" s="1"/>
  <c r="I441" i="44"/>
  <c r="I432" i="44"/>
  <c r="H17" i="44"/>
  <c r="C11" i="141" s="1"/>
  <c r="H36" i="44"/>
  <c r="C13" i="141" s="1"/>
  <c r="H45" i="44"/>
  <c r="C14" i="141" s="1"/>
  <c r="H54" i="44"/>
  <c r="C13" i="142" s="1"/>
  <c r="H63" i="44"/>
  <c r="C15" i="141" s="1"/>
  <c r="H71" i="44"/>
  <c r="H72" i="44" s="1"/>
  <c r="C16" i="141" s="1"/>
  <c r="H81" i="44"/>
  <c r="H91" i="44"/>
  <c r="C87" i="141" s="1"/>
  <c r="H99" i="44"/>
  <c r="C17" i="141" s="1"/>
  <c r="H109" i="44"/>
  <c r="C88" i="141" s="1"/>
  <c r="H117" i="44"/>
  <c r="C89" i="141" s="1"/>
  <c r="H125" i="44"/>
  <c r="C42" i="141" s="1"/>
  <c r="H134" i="44"/>
  <c r="C90" i="141" s="1"/>
  <c r="H142" i="44"/>
  <c r="C91" i="141" s="1"/>
  <c r="H150" i="44"/>
  <c r="C92" i="141" s="1"/>
  <c r="H158" i="44"/>
  <c r="C93" i="141" s="1"/>
  <c r="H166" i="44"/>
  <c r="C94" i="141" s="1"/>
  <c r="H192" i="44"/>
  <c r="C128" i="141" s="1"/>
  <c r="H200" i="44"/>
  <c r="C130" i="141" s="1"/>
  <c r="H209" i="44"/>
  <c r="C129" i="141" s="1"/>
  <c r="H218" i="44"/>
  <c r="C63" i="141" s="1"/>
  <c r="H227" i="44"/>
  <c r="C15" i="142" s="1"/>
  <c r="H236" i="44"/>
  <c r="C142" i="141" s="1"/>
  <c r="H247" i="44"/>
  <c r="C143" i="141" s="1"/>
  <c r="H255" i="44"/>
  <c r="C139" i="141" s="1"/>
  <c r="H263" i="44"/>
  <c r="C136" i="141" s="1"/>
  <c r="C135" i="141" s="1"/>
  <c r="H291" i="44"/>
  <c r="C17" i="142" s="1"/>
  <c r="H299" i="44"/>
  <c r="C146" i="141" s="1"/>
  <c r="H308" i="44"/>
  <c r="C18" i="142" s="1"/>
  <c r="H328" i="44"/>
  <c r="C41" i="141" s="1"/>
  <c r="H339" i="44"/>
  <c r="C39" i="141" s="1"/>
  <c r="C38" i="141" s="1"/>
  <c r="H348" i="44"/>
  <c r="C95" i="141" s="1"/>
  <c r="H356" i="44"/>
  <c r="C19" i="141" s="1"/>
  <c r="H392" i="44"/>
  <c r="C147" i="141" s="1"/>
  <c r="H401" i="44"/>
  <c r="C22" i="142" s="1"/>
  <c r="H428" i="44"/>
  <c r="H437" i="44"/>
  <c r="H446" i="44"/>
  <c r="H455" i="44"/>
  <c r="C25" i="142" s="1"/>
  <c r="H464" i="44"/>
  <c r="C26" i="142" s="1"/>
  <c r="H473" i="44"/>
  <c r="C49" i="141" s="1"/>
  <c r="H492" i="44"/>
  <c r="C29" i="142" s="1"/>
  <c r="H501" i="44"/>
  <c r="C31" i="142" s="1"/>
  <c r="H510" i="44"/>
  <c r="C32" i="142" s="1"/>
  <c r="H519" i="44"/>
  <c r="C33" i="142" s="1"/>
  <c r="H527" i="44"/>
  <c r="C34" i="142" s="1"/>
  <c r="H535" i="44"/>
  <c r="C66" i="141" s="1"/>
  <c r="H543" i="44"/>
  <c r="C35" i="142" s="1"/>
  <c r="H551" i="44"/>
  <c r="C36" i="142" s="1"/>
  <c r="H559" i="44"/>
  <c r="C37" i="142" s="1"/>
  <c r="H567" i="44"/>
  <c r="C38" i="142" s="1"/>
  <c r="H583" i="44"/>
  <c r="C39" i="142" s="1"/>
  <c r="H607" i="44"/>
  <c r="C69" i="141" s="1"/>
  <c r="H616" i="44"/>
  <c r="C70" i="141" s="1"/>
  <c r="H625" i="44"/>
  <c r="C41" i="142" s="1"/>
  <c r="H633" i="44"/>
  <c r="C77" i="141" s="1"/>
  <c r="C76" i="141" s="1"/>
  <c r="H641" i="44"/>
  <c r="C71" i="141" s="1"/>
  <c r="H649" i="44"/>
  <c r="C72" i="141" s="1"/>
  <c r="H657" i="44"/>
  <c r="C73" i="141" s="1"/>
  <c r="H665" i="44"/>
  <c r="C50" i="141" s="1"/>
  <c r="H673" i="44"/>
  <c r="C74" i="141" s="1"/>
  <c r="H681" i="44"/>
  <c r="C75" i="141" s="1"/>
  <c r="H690" i="44"/>
  <c r="C40" i="142" s="1"/>
  <c r="H699" i="44"/>
  <c r="C42" i="142" s="1"/>
  <c r="H723" i="44"/>
  <c r="C131" i="141" s="1"/>
  <c r="H752" i="44"/>
  <c r="C45" i="142" s="1"/>
  <c r="H761" i="44"/>
  <c r="C132" i="141" s="1"/>
  <c r="H770" i="44"/>
  <c r="C133" i="141" s="1"/>
  <c r="H779" i="44"/>
  <c r="C46" i="142" s="1"/>
  <c r="H787" i="44"/>
  <c r="C47" i="142" s="1"/>
  <c r="H829" i="44"/>
  <c r="C79" i="141" s="1"/>
  <c r="H837" i="44"/>
  <c r="C80" i="141" s="1"/>
  <c r="H853" i="44"/>
  <c r="C82" i="141" s="1"/>
  <c r="H878" i="44"/>
  <c r="C52" i="142" s="1"/>
  <c r="H887" i="44"/>
  <c r="C53" i="142" s="1"/>
  <c r="H900" i="44"/>
  <c r="H905" i="44"/>
  <c r="H29" i="98" s="1"/>
  <c r="H906" i="44"/>
  <c r="H30" i="98" s="1"/>
  <c r="I884" i="44"/>
  <c r="I876" i="44"/>
  <c r="I869" i="44"/>
  <c r="I868" i="44"/>
  <c r="I867" i="44"/>
  <c r="I866" i="44"/>
  <c r="I865" i="44"/>
  <c r="I864" i="44"/>
  <c r="I863" i="44"/>
  <c r="I862" i="44"/>
  <c r="I861" i="44"/>
  <c r="I860" i="44"/>
  <c r="I859" i="44"/>
  <c r="I858" i="44"/>
  <c r="I857" i="44"/>
  <c r="I856" i="44"/>
  <c r="I855" i="44"/>
  <c r="I854" i="44"/>
  <c r="I849" i="44"/>
  <c r="I833" i="44"/>
  <c r="I825" i="44"/>
  <c r="I785" i="44"/>
  <c r="I777" i="44"/>
  <c r="I776" i="44"/>
  <c r="I774" i="44"/>
  <c r="I764" i="44"/>
  <c r="I763" i="44"/>
  <c r="I749" i="44"/>
  <c r="I743" i="44"/>
  <c r="I742" i="44"/>
  <c r="I741" i="44"/>
  <c r="I740" i="44"/>
  <c r="I739" i="44"/>
  <c r="I738" i="44"/>
  <c r="I737" i="44"/>
  <c r="I736" i="44"/>
  <c r="I735" i="44"/>
  <c r="I734" i="44"/>
  <c r="I733" i="44"/>
  <c r="I732" i="44"/>
  <c r="I731" i="44"/>
  <c r="I730" i="44"/>
  <c r="I729" i="44"/>
  <c r="I728" i="44"/>
  <c r="I727" i="44"/>
  <c r="I726" i="44"/>
  <c r="I719" i="44"/>
  <c r="I669" i="44"/>
  <c r="I637" i="44"/>
  <c r="I611" i="44"/>
  <c r="I591" i="44"/>
  <c r="I590" i="44"/>
  <c r="I589" i="44"/>
  <c r="I588" i="44"/>
  <c r="I587" i="44"/>
  <c r="I586" i="44"/>
  <c r="I585" i="44"/>
  <c r="I584" i="44"/>
  <c r="I506" i="44"/>
  <c r="I487" i="44"/>
  <c r="I472" i="44"/>
  <c r="I468" i="44"/>
  <c r="I467" i="44"/>
  <c r="I459" i="44"/>
  <c r="I396" i="44"/>
  <c r="I385" i="44"/>
  <c r="I358" i="44"/>
  <c r="I357" i="44"/>
  <c r="I340" i="44"/>
  <c r="I330" i="44"/>
  <c r="I329" i="44"/>
  <c r="I307" i="44"/>
  <c r="I287" i="44"/>
  <c r="I282" i="44"/>
  <c r="I245" i="44"/>
  <c r="I234" i="44"/>
  <c r="I206" i="44"/>
  <c r="I203" i="44"/>
  <c r="I202" i="44"/>
  <c r="I187" i="44"/>
  <c r="I186" i="44"/>
  <c r="I161" i="44"/>
  <c r="I160" i="44"/>
  <c r="I154" i="44"/>
  <c r="G375" i="135" l="1"/>
  <c r="C27" i="142"/>
  <c r="C28" i="142"/>
  <c r="C78" i="141"/>
  <c r="G66" i="135"/>
  <c r="C145" i="141"/>
  <c r="N52" i="115"/>
  <c r="C162" i="141"/>
  <c r="H73" i="44"/>
  <c r="C65" i="141"/>
  <c r="I345" i="135"/>
  <c r="I272" i="135"/>
  <c r="I688" i="135"/>
  <c r="I273" i="135"/>
  <c r="I274" i="135"/>
  <c r="I136" i="135"/>
  <c r="G610" i="135"/>
  <c r="I610" i="135" s="1"/>
  <c r="H732" i="135"/>
  <c r="I365" i="135"/>
  <c r="G680" i="135"/>
  <c r="I634" i="135"/>
  <c r="G596" i="135"/>
  <c r="I596" i="135" s="1"/>
  <c r="I438" i="135"/>
  <c r="I404" i="135"/>
  <c r="I373" i="135"/>
  <c r="I34" i="135"/>
  <c r="I45" i="135"/>
  <c r="I711" i="135"/>
  <c r="I633" i="135"/>
  <c r="G500" i="135"/>
  <c r="I500" i="135" s="1"/>
  <c r="I436" i="135"/>
  <c r="I402" i="135"/>
  <c r="I33" i="135"/>
  <c r="I710" i="135"/>
  <c r="I672" i="135"/>
  <c r="I543" i="135"/>
  <c r="I435" i="135"/>
  <c r="I396" i="135"/>
  <c r="I233" i="135"/>
  <c r="G132" i="135"/>
  <c r="I172" i="135"/>
  <c r="I689" i="135"/>
  <c r="I440" i="135"/>
  <c r="I684" i="135"/>
  <c r="I406" i="135"/>
  <c r="I138" i="135"/>
  <c r="I504" i="135"/>
  <c r="I238" i="135"/>
  <c r="I183" i="135"/>
  <c r="I673" i="135"/>
  <c r="G554" i="135"/>
  <c r="I80" i="135"/>
  <c r="I628" i="135"/>
  <c r="I542" i="135"/>
  <c r="I423" i="135"/>
  <c r="I393" i="135"/>
  <c r="I364" i="135"/>
  <c r="I176" i="135"/>
  <c r="I553" i="135"/>
  <c r="I686" i="135"/>
  <c r="I639" i="135"/>
  <c r="I560" i="135"/>
  <c r="I407" i="135"/>
  <c r="G462" i="135"/>
  <c r="I462" i="135" s="1"/>
  <c r="I240" i="135"/>
  <c r="I142" i="135"/>
  <c r="I96" i="135"/>
  <c r="I716" i="135"/>
  <c r="I635" i="135"/>
  <c r="I559" i="135"/>
  <c r="I505" i="135"/>
  <c r="I439" i="135"/>
  <c r="I285" i="135"/>
  <c r="G41" i="135"/>
  <c r="I617" i="135"/>
  <c r="I541" i="135"/>
  <c r="I390" i="135"/>
  <c r="I704" i="135"/>
  <c r="I416" i="135"/>
  <c r="I362" i="135"/>
  <c r="I308" i="135"/>
  <c r="G110" i="135"/>
  <c r="I696" i="135"/>
  <c r="I655" i="135"/>
  <c r="I524" i="135"/>
  <c r="I451" i="135"/>
  <c r="I414" i="135"/>
  <c r="I307" i="135"/>
  <c r="I206" i="135"/>
  <c r="G166" i="135"/>
  <c r="G23" i="135"/>
  <c r="I107" i="135"/>
  <c r="I690" i="135"/>
  <c r="I654" i="135"/>
  <c r="I413" i="135"/>
  <c r="I381" i="135"/>
  <c r="I251" i="135"/>
  <c r="I205" i="135"/>
  <c r="I102" i="135"/>
  <c r="I62" i="135"/>
  <c r="I609" i="135"/>
  <c r="I417" i="135"/>
  <c r="I363" i="135"/>
  <c r="I171" i="135"/>
  <c r="I68" i="135"/>
  <c r="I389" i="135"/>
  <c r="I103" i="135"/>
  <c r="G649" i="135"/>
  <c r="I522" i="135"/>
  <c r="I411" i="135"/>
  <c r="I380" i="135"/>
  <c r="G302" i="135"/>
  <c r="I204" i="135"/>
  <c r="I149" i="135"/>
  <c r="I101" i="135"/>
  <c r="G590" i="135"/>
  <c r="G592" i="135" s="1"/>
  <c r="G480" i="135"/>
  <c r="I217" i="135"/>
  <c r="I558" i="135"/>
  <c r="I666" i="135"/>
  <c r="G468" i="135"/>
  <c r="G732" i="135" s="1"/>
  <c r="I20" i="135"/>
  <c r="G518" i="135"/>
  <c r="I518" i="135" s="1"/>
  <c r="I446" i="135"/>
  <c r="I379" i="135"/>
  <c r="I358" i="135"/>
  <c r="I244" i="135"/>
  <c r="I199" i="135"/>
  <c r="G145" i="135"/>
  <c r="G97" i="135"/>
  <c r="G100" i="135" s="1"/>
  <c r="G745" i="135"/>
  <c r="I567" i="135"/>
  <c r="H659" i="135"/>
  <c r="H661" i="135" s="1"/>
  <c r="H670" i="135" s="1"/>
  <c r="I499" i="135"/>
  <c r="H297" i="135"/>
  <c r="H305" i="135" s="1"/>
  <c r="H199" i="136"/>
  <c r="H200" i="136" s="1"/>
  <c r="H249" i="136" s="1"/>
  <c r="G46" i="115" s="1"/>
  <c r="H622" i="135"/>
  <c r="H624" i="135" s="1"/>
  <c r="H587" i="135"/>
  <c r="H475" i="135"/>
  <c r="I184" i="135"/>
  <c r="I582" i="135"/>
  <c r="G754" i="135"/>
  <c r="I213" i="135"/>
  <c r="I602" i="135"/>
  <c r="I643" i="135"/>
  <c r="H120" i="98"/>
  <c r="H736" i="135"/>
  <c r="I736" i="135" s="1"/>
  <c r="G605" i="135"/>
  <c r="I705" i="135"/>
  <c r="H571" i="135"/>
  <c r="I501" i="135"/>
  <c r="G579" i="135"/>
  <c r="G384" i="135"/>
  <c r="I384" i="135" s="1"/>
  <c r="G106" i="135"/>
  <c r="H195" i="135"/>
  <c r="H203" i="135" s="1"/>
  <c r="I649" i="135"/>
  <c r="I374" i="135"/>
  <c r="I650" i="135"/>
  <c r="G574" i="135"/>
  <c r="I574" i="135" s="1"/>
  <c r="I599" i="135"/>
  <c r="H492" i="135"/>
  <c r="H728" i="135"/>
  <c r="H368" i="135"/>
  <c r="I302" i="135"/>
  <c r="I299" i="135"/>
  <c r="I295" i="135"/>
  <c r="I286" i="135"/>
  <c r="I281" i="135"/>
  <c r="I247" i="135"/>
  <c r="H482" i="135"/>
  <c r="H483" i="135" s="1"/>
  <c r="I236" i="135"/>
  <c r="I227" i="135"/>
  <c r="H489" i="135"/>
  <c r="I489" i="135" s="1"/>
  <c r="I179" i="135"/>
  <c r="I163" i="135"/>
  <c r="H161" i="135"/>
  <c r="H169" i="135" s="1"/>
  <c r="I129" i="135"/>
  <c r="I125" i="135"/>
  <c r="I94" i="135"/>
  <c r="I90" i="135"/>
  <c r="I81" i="135"/>
  <c r="H350" i="135"/>
  <c r="I76" i="135"/>
  <c r="H477" i="135"/>
  <c r="H479" i="135"/>
  <c r="H58" i="135"/>
  <c r="I21" i="135"/>
  <c r="G718" i="135"/>
  <c r="I46" i="135"/>
  <c r="I580" i="135"/>
  <c r="G733" i="135"/>
  <c r="I531" i="135"/>
  <c r="H339" i="135"/>
  <c r="G52" i="115"/>
  <c r="G135" i="135"/>
  <c r="G175" i="135"/>
  <c r="G180" i="135" s="1"/>
  <c r="H729" i="135"/>
  <c r="G209" i="135"/>
  <c r="G214" i="135" s="1"/>
  <c r="H681" i="135"/>
  <c r="C7" i="142" s="1"/>
  <c r="H316" i="135"/>
  <c r="C62" i="141" s="1"/>
  <c r="H77" i="135"/>
  <c r="C55" i="141" s="1"/>
  <c r="I115" i="135"/>
  <c r="G297" i="135"/>
  <c r="I677" i="135"/>
  <c r="I375" i="135"/>
  <c r="G743" i="135"/>
  <c r="H644" i="135"/>
  <c r="C166" i="141" s="1"/>
  <c r="I753" i="135"/>
  <c r="G474" i="135"/>
  <c r="G738" i="135" s="1"/>
  <c r="G741" i="135" s="1"/>
  <c r="I629" i="135"/>
  <c r="I588" i="135"/>
  <c r="H731" i="135"/>
  <c r="I170" i="135"/>
  <c r="I301" i="135"/>
  <c r="I715" i="135"/>
  <c r="G229" i="135"/>
  <c r="I218" i="135"/>
  <c r="H549" i="135"/>
  <c r="I724" i="135"/>
  <c r="G315" i="135"/>
  <c r="I315" i="135" s="1"/>
  <c r="I312" i="135"/>
  <c r="G268" i="135"/>
  <c r="I268" i="135" s="1"/>
  <c r="I267" i="135"/>
  <c r="G527" i="135"/>
  <c r="G532" i="135" s="1"/>
  <c r="I523" i="135"/>
  <c r="G385" i="135"/>
  <c r="I385" i="135" s="1"/>
  <c r="G467" i="135"/>
  <c r="I467" i="135" s="1"/>
  <c r="H733" i="135"/>
  <c r="I469" i="135"/>
  <c r="H282" i="135"/>
  <c r="C61" i="141" s="1"/>
  <c r="G466" i="135"/>
  <c r="I466" i="135" s="1"/>
  <c r="I361" i="135"/>
  <c r="G37" i="135"/>
  <c r="G341" i="135"/>
  <c r="I341" i="135" s="1"/>
  <c r="I32" i="135"/>
  <c r="G72" i="135"/>
  <c r="G77" i="135" s="1"/>
  <c r="I67" i="135"/>
  <c r="I252" i="135"/>
  <c r="H263" i="135"/>
  <c r="G676" i="135"/>
  <c r="I676" i="135" s="1"/>
  <c r="I359" i="135"/>
  <c r="G464" i="135"/>
  <c r="G343" i="135"/>
  <c r="G487" i="135" s="1"/>
  <c r="I69" i="135"/>
  <c r="G28" i="135"/>
  <c r="I27" i="135"/>
  <c r="I198" i="135"/>
  <c r="G200" i="135"/>
  <c r="I200" i="135" s="1"/>
  <c r="G335" i="135"/>
  <c r="H92" i="135"/>
  <c r="G195" i="135"/>
  <c r="I667" i="135"/>
  <c r="I360" i="135"/>
  <c r="G465" i="135"/>
  <c r="I465" i="135" s="1"/>
  <c r="G714" i="135"/>
  <c r="I709" i="135"/>
  <c r="G161" i="135"/>
  <c r="I150" i="135"/>
  <c r="I480" i="135"/>
  <c r="G234" i="135"/>
  <c r="I234" i="135" s="1"/>
  <c r="H743" i="135"/>
  <c r="I63" i="135"/>
  <c r="H150" i="98"/>
  <c r="N56" i="115"/>
  <c r="N57" i="115" s="1"/>
  <c r="I613" i="135"/>
  <c r="G612" i="135"/>
  <c r="G622" i="135" s="1"/>
  <c r="G624" i="135" s="1"/>
  <c r="G632" i="135" s="1"/>
  <c r="G598" i="135"/>
  <c r="I598" i="135" s="1"/>
  <c r="G277" i="135"/>
  <c r="G282" i="135" s="1"/>
  <c r="I591" i="135"/>
  <c r="H568" i="135"/>
  <c r="C165" i="141" s="1"/>
  <c r="H231" i="136"/>
  <c r="G578" i="135"/>
  <c r="G311" i="135"/>
  <c r="I311" i="135" s="1"/>
  <c r="H605" i="135"/>
  <c r="I306" i="135"/>
  <c r="G35" i="115"/>
  <c r="H227" i="136"/>
  <c r="H142" i="136"/>
  <c r="H147" i="136" s="1"/>
  <c r="H229" i="136"/>
  <c r="G563" i="135"/>
  <c r="G568" i="135" s="1"/>
  <c r="G141" i="135"/>
  <c r="G687" i="135"/>
  <c r="G659" i="135"/>
  <c r="G661" i="135" s="1"/>
  <c r="G670" i="135" s="1"/>
  <c r="G356" i="135"/>
  <c r="I516" i="135"/>
  <c r="H223" i="136"/>
  <c r="G685" i="135"/>
  <c r="G329" i="135"/>
  <c r="G470" i="135" s="1"/>
  <c r="G734" i="135" s="1"/>
  <c r="H726" i="135"/>
  <c r="H461" i="135"/>
  <c r="H127" i="135"/>
  <c r="I357" i="135"/>
  <c r="H222" i="136"/>
  <c r="G463" i="135"/>
  <c r="H333" i="135"/>
  <c r="I333" i="135" s="1"/>
  <c r="I338" i="135"/>
  <c r="G577" i="135"/>
  <c r="G482" i="135"/>
  <c r="G483" i="135" s="1"/>
  <c r="G243" i="135"/>
  <c r="H111" i="135"/>
  <c r="C56" i="141" s="1"/>
  <c r="I114" i="135"/>
  <c r="I137" i="135"/>
  <c r="I165" i="135"/>
  <c r="G50" i="115"/>
  <c r="G638" i="135"/>
  <c r="G644" i="135" s="1"/>
  <c r="G415" i="135"/>
  <c r="I38" i="135"/>
  <c r="I239" i="135"/>
  <c r="H26" i="98"/>
  <c r="H43" i="136"/>
  <c r="H108" i="136"/>
  <c r="H248" i="136"/>
  <c r="H245" i="136"/>
  <c r="H101" i="136"/>
  <c r="H71" i="136"/>
  <c r="H214" i="136"/>
  <c r="H22" i="136"/>
  <c r="H221" i="136"/>
  <c r="H229" i="135"/>
  <c r="H334" i="135"/>
  <c r="H329" i="135"/>
  <c r="H745" i="135"/>
  <c r="H730" i="135"/>
  <c r="H248" i="135"/>
  <c r="C60" i="141" s="1"/>
  <c r="H214" i="135"/>
  <c r="C59" i="141" s="1"/>
  <c r="H337" i="135"/>
  <c r="H455" i="135"/>
  <c r="H491" i="135"/>
  <c r="H42" i="135"/>
  <c r="C54" i="141" s="1"/>
  <c r="H485" i="135"/>
  <c r="H601" i="135"/>
  <c r="H487" i="135"/>
  <c r="H180" i="135"/>
  <c r="C57" i="141" s="1"/>
  <c r="H590" i="135"/>
  <c r="H727" i="135"/>
  <c r="H527" i="135"/>
  <c r="H342" i="135"/>
  <c r="H141" i="135"/>
  <c r="G573" i="135"/>
  <c r="G547" i="135"/>
  <c r="G549" i="135" s="1"/>
  <c r="G336" i="135"/>
  <c r="I336" i="135" s="1"/>
  <c r="G597" i="135"/>
  <c r="I597" i="135" s="1"/>
  <c r="G347" i="135"/>
  <c r="G342" i="135"/>
  <c r="G486" i="135" s="1"/>
  <c r="H57" i="43"/>
  <c r="H8" i="43"/>
  <c r="H62" i="43"/>
  <c r="H29" i="43"/>
  <c r="H725" i="44"/>
  <c r="H599" i="44"/>
  <c r="C68" i="141" s="1"/>
  <c r="H907" i="44"/>
  <c r="H273" i="44"/>
  <c r="C18" i="141" s="1"/>
  <c r="H126" i="44"/>
  <c r="H83" i="44"/>
  <c r="H895" i="44"/>
  <c r="C141" i="141" s="1"/>
  <c r="C138" i="141" s="1"/>
  <c r="H796" i="44"/>
  <c r="C48" i="142" s="1"/>
  <c r="H707" i="44"/>
  <c r="C43" i="142" s="1"/>
  <c r="H899" i="44"/>
  <c r="H331" i="44"/>
  <c r="H283" i="44"/>
  <c r="C16" i="142" s="1"/>
  <c r="H901" i="44"/>
  <c r="H55" i="44"/>
  <c r="H27" i="44"/>
  <c r="C12" i="141" s="1"/>
  <c r="H821" i="44"/>
  <c r="C51" i="142" s="1"/>
  <c r="H804" i="44"/>
  <c r="C49" i="142" s="1"/>
  <c r="H383" i="44"/>
  <c r="H175" i="44"/>
  <c r="C14" i="142" s="1"/>
  <c r="H813" i="44"/>
  <c r="C50" i="142" s="1"/>
  <c r="H575" i="44"/>
  <c r="C67" i="141" s="1"/>
  <c r="H366" i="44"/>
  <c r="C20" i="142" s="1"/>
  <c r="H902" i="44"/>
  <c r="H898" i="44"/>
  <c r="H24" i="98" s="1"/>
  <c r="H184" i="44"/>
  <c r="C127" i="141" s="1"/>
  <c r="C126" i="141" s="1"/>
  <c r="C64" i="141" l="1"/>
  <c r="I468" i="135"/>
  <c r="I110" i="135"/>
  <c r="I680" i="135"/>
  <c r="I166" i="135"/>
  <c r="G461" i="135"/>
  <c r="G471" i="135" s="1"/>
  <c r="I554" i="135"/>
  <c r="G557" i="135"/>
  <c r="I132" i="135"/>
  <c r="I145" i="135"/>
  <c r="G510" i="135"/>
  <c r="G512" i="135" s="1"/>
  <c r="G521" i="135" s="1"/>
  <c r="G146" i="135"/>
  <c r="I297" i="135"/>
  <c r="G31" i="135"/>
  <c r="G42" i="135"/>
  <c r="I42" i="135" s="1"/>
  <c r="I97" i="135"/>
  <c r="I41" i="135"/>
  <c r="H757" i="135"/>
  <c r="I175" i="135"/>
  <c r="G747" i="135"/>
  <c r="G748" i="135" s="1"/>
  <c r="G111" i="135"/>
  <c r="I111" i="135" s="1"/>
  <c r="G731" i="135"/>
  <c r="I161" i="135"/>
  <c r="I106" i="135"/>
  <c r="H747" i="135"/>
  <c r="I72" i="135"/>
  <c r="I685" i="135"/>
  <c r="H66" i="135"/>
  <c r="I66" i="135" s="1"/>
  <c r="G697" i="135"/>
  <c r="I697" i="135" s="1"/>
  <c r="H100" i="135"/>
  <c r="I100" i="135" s="1"/>
  <c r="I718" i="135"/>
  <c r="I638" i="135"/>
  <c r="G719" i="135"/>
  <c r="G237" i="135"/>
  <c r="H557" i="135"/>
  <c r="H572" i="135"/>
  <c r="I579" i="135"/>
  <c r="H740" i="135"/>
  <c r="G726" i="135"/>
  <c r="I277" i="135"/>
  <c r="I590" i="135"/>
  <c r="H632" i="135"/>
  <c r="I605" i="135"/>
  <c r="I58" i="135"/>
  <c r="H188" i="136"/>
  <c r="H236" i="136" s="1"/>
  <c r="G32" i="115" s="1"/>
  <c r="G33" i="115" s="1"/>
  <c r="I670" i="135"/>
  <c r="I571" i="135"/>
  <c r="H378" i="135"/>
  <c r="G485" i="135"/>
  <c r="G490" i="135" s="1"/>
  <c r="I282" i="135"/>
  <c r="H742" i="135"/>
  <c r="I339" i="135"/>
  <c r="H237" i="135"/>
  <c r="H754" i="135"/>
  <c r="I180" i="135"/>
  <c r="H481" i="135"/>
  <c r="I92" i="135"/>
  <c r="I37" i="135"/>
  <c r="I343" i="135"/>
  <c r="G727" i="135"/>
  <c r="I727" i="135" s="1"/>
  <c r="I612" i="135"/>
  <c r="G169" i="135"/>
  <c r="I169" i="135" s="1"/>
  <c r="G305" i="135"/>
  <c r="I305" i="135" s="1"/>
  <c r="I214" i="135"/>
  <c r="I463" i="135"/>
  <c r="G583" i="135"/>
  <c r="G585" i="135" s="1"/>
  <c r="G595" i="135" s="1"/>
  <c r="I209" i="135"/>
  <c r="I77" i="135"/>
  <c r="G601" i="135"/>
  <c r="G606" i="135" s="1"/>
  <c r="I659" i="135"/>
  <c r="G203" i="135"/>
  <c r="I203" i="135" s="1"/>
  <c r="G476" i="135"/>
  <c r="I644" i="135"/>
  <c r="G271" i="135"/>
  <c r="H167" i="136"/>
  <c r="I461" i="135"/>
  <c r="G24" i="115"/>
  <c r="G681" i="135"/>
  <c r="I681" i="135" s="1"/>
  <c r="H752" i="135"/>
  <c r="I487" i="135"/>
  <c r="G22" i="115"/>
  <c r="I195" i="135"/>
  <c r="I28" i="135"/>
  <c r="G752" i="135"/>
  <c r="H251" i="136"/>
  <c r="G45" i="115"/>
  <c r="G47" i="115" s="1"/>
  <c r="G17" i="115"/>
  <c r="H271" i="135"/>
  <c r="I263" i="135"/>
  <c r="H725" i="135"/>
  <c r="G492" i="135"/>
  <c r="I415" i="135"/>
  <c r="H470" i="135"/>
  <c r="H734" i="135" s="1"/>
  <c r="H330" i="135"/>
  <c r="I329" i="135"/>
  <c r="G41" i="115"/>
  <c r="G346" i="135"/>
  <c r="I547" i="135"/>
  <c r="H750" i="135"/>
  <c r="G248" i="135"/>
  <c r="I248" i="135" s="1"/>
  <c r="I243" i="135"/>
  <c r="I714" i="135"/>
  <c r="H110" i="136"/>
  <c r="G8" i="115"/>
  <c r="G728" i="135"/>
  <c r="I728" i="135" s="1"/>
  <c r="I464" i="135"/>
  <c r="H474" i="135"/>
  <c r="I474" i="135" s="1"/>
  <c r="I334" i="135"/>
  <c r="H225" i="136"/>
  <c r="G730" i="135"/>
  <c r="I730" i="135" s="1"/>
  <c r="I578" i="135"/>
  <c r="H233" i="136"/>
  <c r="I733" i="135"/>
  <c r="H606" i="135"/>
  <c r="G26" i="115"/>
  <c r="I335" i="135"/>
  <c r="G477" i="135"/>
  <c r="G455" i="135"/>
  <c r="G456" i="135" s="1"/>
  <c r="H224" i="136"/>
  <c r="C9" i="145"/>
  <c r="G16" i="115"/>
  <c r="I661" i="135"/>
  <c r="I549" i="135"/>
  <c r="H146" i="135"/>
  <c r="C58" i="141" s="1"/>
  <c r="C53" i="141" s="1"/>
  <c r="I141" i="135"/>
  <c r="I745" i="135"/>
  <c r="H105" i="98"/>
  <c r="I687" i="135"/>
  <c r="I482" i="135"/>
  <c r="G350" i="135"/>
  <c r="I350" i="135" s="1"/>
  <c r="I347" i="135"/>
  <c r="H486" i="135"/>
  <c r="I342" i="135"/>
  <c r="G729" i="135"/>
  <c r="I729" i="135" s="1"/>
  <c r="I577" i="135"/>
  <c r="C21" i="145"/>
  <c r="G18" i="115"/>
  <c r="I563" i="135"/>
  <c r="I483" i="135"/>
  <c r="I622" i="135"/>
  <c r="G366" i="135"/>
  <c r="I356" i="135"/>
  <c r="G316" i="135"/>
  <c r="I316" i="135" s="1"/>
  <c r="I229" i="135"/>
  <c r="H532" i="135"/>
  <c r="C164" i="141" s="1"/>
  <c r="I527" i="135"/>
  <c r="H456" i="135"/>
  <c r="C163" i="141" s="1"/>
  <c r="H232" i="136"/>
  <c r="I732" i="135"/>
  <c r="H135" i="135"/>
  <c r="I127" i="135"/>
  <c r="I568" i="135"/>
  <c r="I624" i="135"/>
  <c r="H25" i="98"/>
  <c r="H27" i="98"/>
  <c r="H31" i="98"/>
  <c r="H28" i="98"/>
  <c r="H11" i="98"/>
  <c r="H84" i="136"/>
  <c r="H346" i="135"/>
  <c r="H510" i="135"/>
  <c r="H573" i="135"/>
  <c r="H592" i="135"/>
  <c r="H744" i="135"/>
  <c r="H494" i="135"/>
  <c r="H756" i="135"/>
  <c r="G479" i="135"/>
  <c r="I479" i="135" s="1"/>
  <c r="G337" i="135"/>
  <c r="I337" i="135" s="1"/>
  <c r="G491" i="135"/>
  <c r="I491" i="135" s="1"/>
  <c r="G751" i="135"/>
  <c r="H19" i="43"/>
  <c r="H63" i="43"/>
  <c r="H374" i="44"/>
  <c r="H228" i="44"/>
  <c r="H908" i="44"/>
  <c r="H9" i="44"/>
  <c r="H788" i="44"/>
  <c r="H465" i="44"/>
  <c r="H318" i="44"/>
  <c r="H82" i="44"/>
  <c r="H167" i="44"/>
  <c r="H903" i="44"/>
  <c r="H125" i="98" l="1"/>
  <c r="I719" i="135"/>
  <c r="H237" i="136"/>
  <c r="H735" i="135"/>
  <c r="I572" i="135"/>
  <c r="I747" i="135"/>
  <c r="I731" i="135"/>
  <c r="H748" i="135"/>
  <c r="I237" i="135"/>
  <c r="I726" i="135"/>
  <c r="G699" i="135"/>
  <c r="I754" i="135"/>
  <c r="H121" i="98"/>
  <c r="I557" i="135"/>
  <c r="I632" i="135"/>
  <c r="I485" i="135"/>
  <c r="G750" i="135"/>
  <c r="G755" i="135" s="1"/>
  <c r="I532" i="135"/>
  <c r="I601" i="135"/>
  <c r="H196" i="136"/>
  <c r="G351" i="135"/>
  <c r="I592" i="135"/>
  <c r="I271" i="135"/>
  <c r="I146" i="135"/>
  <c r="I135" i="135"/>
  <c r="H490" i="135"/>
  <c r="H471" i="135"/>
  <c r="I606" i="135"/>
  <c r="G725" i="135"/>
  <c r="I725" i="135" s="1"/>
  <c r="G29" i="115"/>
  <c r="I456" i="135"/>
  <c r="G19" i="115"/>
  <c r="H746" i="135"/>
  <c r="H104" i="98"/>
  <c r="H583" i="135"/>
  <c r="I573" i="135"/>
  <c r="H751" i="135"/>
  <c r="I486" i="135"/>
  <c r="H512" i="135"/>
  <c r="I510" i="135"/>
  <c r="I470" i="135"/>
  <c r="H117" i="98"/>
  <c r="H208" i="136"/>
  <c r="H205" i="136"/>
  <c r="H253" i="136"/>
  <c r="H119" i="98"/>
  <c r="I752" i="135"/>
  <c r="I330" i="135"/>
  <c r="H351" i="135"/>
  <c r="I346" i="135"/>
  <c r="G27" i="115"/>
  <c r="I455" i="135"/>
  <c r="G20" i="115"/>
  <c r="G368" i="135"/>
  <c r="I366" i="135"/>
  <c r="H121" i="136"/>
  <c r="H476" i="135"/>
  <c r="H738" i="135"/>
  <c r="I738" i="135" s="1"/>
  <c r="H230" i="136"/>
  <c r="H759" i="135"/>
  <c r="H124" i="98"/>
  <c r="H175" i="136"/>
  <c r="I477" i="135"/>
  <c r="G742" i="135"/>
  <c r="I742" i="135" s="1"/>
  <c r="G757" i="135"/>
  <c r="I492" i="135"/>
  <c r="H89" i="98"/>
  <c r="H23" i="98"/>
  <c r="G481" i="135"/>
  <c r="I481" i="135" s="1"/>
  <c r="G744" i="135"/>
  <c r="G756" i="135"/>
  <c r="I756" i="135" s="1"/>
  <c r="G494" i="135"/>
  <c r="G495" i="135" s="1"/>
  <c r="H64" i="43"/>
  <c r="H909" i="44"/>
  <c r="H724" i="44"/>
  <c r="I748" i="135" l="1"/>
  <c r="I750" i="135"/>
  <c r="G735" i="135"/>
  <c r="G708" i="135"/>
  <c r="I699" i="135"/>
  <c r="I757" i="135"/>
  <c r="H197" i="136"/>
  <c r="H246" i="136"/>
  <c r="H755" i="135"/>
  <c r="I755" i="135" s="1"/>
  <c r="H495" i="135"/>
  <c r="I490" i="135"/>
  <c r="G746" i="135"/>
  <c r="I746" i="135" s="1"/>
  <c r="I471" i="135"/>
  <c r="I351" i="135"/>
  <c r="G49" i="115"/>
  <c r="I734" i="135"/>
  <c r="H741" i="135"/>
  <c r="I741" i="135" s="1"/>
  <c r="H103" i="98"/>
  <c r="H127" i="98"/>
  <c r="G378" i="135"/>
  <c r="I368" i="135"/>
  <c r="I744" i="135"/>
  <c r="H521" i="135"/>
  <c r="I512" i="135"/>
  <c r="H185" i="136"/>
  <c r="H226" i="136"/>
  <c r="H217" i="136"/>
  <c r="H173" i="136"/>
  <c r="G759" i="135"/>
  <c r="I759" i="135" s="1"/>
  <c r="I494" i="135"/>
  <c r="I751" i="135"/>
  <c r="H118" i="98"/>
  <c r="H122" i="98" s="1"/>
  <c r="H585" i="135"/>
  <c r="I583" i="135"/>
  <c r="H259" i="136"/>
  <c r="G25" i="115"/>
  <c r="H254" i="136"/>
  <c r="H136" i="98"/>
  <c r="I378" i="135" l="1"/>
  <c r="I708" i="135"/>
  <c r="I521" i="135"/>
  <c r="G42" i="115"/>
  <c r="G44" i="115" s="1"/>
  <c r="H247" i="136"/>
  <c r="C18" i="145" s="1"/>
  <c r="C27" i="145" s="1"/>
  <c r="G760" i="135"/>
  <c r="H760" i="135"/>
  <c r="I495" i="135"/>
  <c r="I735" i="135"/>
  <c r="H107" i="98"/>
  <c r="H145" i="98"/>
  <c r="H190" i="136"/>
  <c r="G51" i="115"/>
  <c r="G55" i="115" s="1"/>
  <c r="H194" i="136"/>
  <c r="H243" i="136"/>
  <c r="H129" i="98"/>
  <c r="H260" i="136"/>
  <c r="G56" i="115"/>
  <c r="G57" i="115" s="1"/>
  <c r="G10" i="115"/>
  <c r="G15" i="115" s="1"/>
  <c r="H220" i="136"/>
  <c r="H234" i="136"/>
  <c r="H235" i="136" s="1"/>
  <c r="H258" i="136"/>
  <c r="I585" i="135"/>
  <c r="H595" i="135"/>
  <c r="G21" i="115"/>
  <c r="N10" i="115"/>
  <c r="H40" i="125"/>
  <c r="C65" i="142" s="1"/>
  <c r="H11" i="125"/>
  <c r="H72" i="125"/>
  <c r="H29" i="125"/>
  <c r="H32" i="125"/>
  <c r="C63" i="142" s="1"/>
  <c r="H44" i="125"/>
  <c r="C66" i="142" s="1"/>
  <c r="H66" i="125"/>
  <c r="H63" i="125"/>
  <c r="H65" i="125"/>
  <c r="H67" i="125"/>
  <c r="I60" i="125"/>
  <c r="I58" i="125"/>
  <c r="I57" i="125"/>
  <c r="I56" i="125"/>
  <c r="I54" i="125"/>
  <c r="I53" i="125"/>
  <c r="I52" i="125"/>
  <c r="I51" i="125"/>
  <c r="I48" i="125"/>
  <c r="I39" i="125"/>
  <c r="I36" i="125"/>
  <c r="I34" i="125"/>
  <c r="I33" i="125"/>
  <c r="I27" i="125"/>
  <c r="I26" i="125"/>
  <c r="I25" i="125"/>
  <c r="I16" i="125"/>
  <c r="I15" i="125"/>
  <c r="I14" i="125"/>
  <c r="I13" i="125"/>
  <c r="H92" i="47"/>
  <c r="H89" i="47"/>
  <c r="H60" i="47"/>
  <c r="C114" i="141" s="1"/>
  <c r="H12" i="47"/>
  <c r="C22" i="141" s="1"/>
  <c r="H16" i="47"/>
  <c r="C25" i="141" s="1"/>
  <c r="H26" i="47"/>
  <c r="C29" i="141" s="1"/>
  <c r="H34" i="47"/>
  <c r="C43" i="141" s="1"/>
  <c r="H48" i="47"/>
  <c r="C109" i="141" s="1"/>
  <c r="H56" i="47"/>
  <c r="C113" i="141" s="1"/>
  <c r="H68" i="47"/>
  <c r="C104" i="141" s="1"/>
  <c r="H106" i="47"/>
  <c r="H42" i="98" s="1"/>
  <c r="H112" i="47"/>
  <c r="H46" i="98" s="1"/>
  <c r="H114" i="47"/>
  <c r="H59" i="48"/>
  <c r="H23" i="48"/>
  <c r="H14" i="48"/>
  <c r="C30" i="141" s="1"/>
  <c r="H26" i="48"/>
  <c r="C89" i="142" s="1"/>
  <c r="H30" i="48"/>
  <c r="C91" i="142" s="1"/>
  <c r="H35" i="48"/>
  <c r="C93" i="142" s="1"/>
  <c r="H46" i="48"/>
  <c r="H55" i="48"/>
  <c r="H64" i="48"/>
  <c r="C97" i="142" s="1"/>
  <c r="H74" i="48"/>
  <c r="H53" i="98" s="1"/>
  <c r="H72" i="48"/>
  <c r="H73" i="48"/>
  <c r="H52" i="98" s="1"/>
  <c r="H80" i="48"/>
  <c r="I70" i="47"/>
  <c r="I66" i="47"/>
  <c r="I65" i="47"/>
  <c r="I63" i="47"/>
  <c r="I49" i="47"/>
  <c r="I38" i="47"/>
  <c r="I18" i="47"/>
  <c r="I17" i="47"/>
  <c r="I15" i="47"/>
  <c r="I13" i="47"/>
  <c r="I56" i="48"/>
  <c r="I52" i="48"/>
  <c r="I51" i="48"/>
  <c r="I50" i="48"/>
  <c r="I49" i="48"/>
  <c r="I45" i="48"/>
  <c r="I37" i="48"/>
  <c r="I36" i="48"/>
  <c r="I33" i="48"/>
  <c r="I31" i="48"/>
  <c r="I21" i="48"/>
  <c r="I20" i="48"/>
  <c r="I18" i="48"/>
  <c r="I15" i="48"/>
  <c r="I13" i="48"/>
  <c r="I11" i="48"/>
  <c r="I92" i="47" l="1"/>
  <c r="C121" i="141"/>
  <c r="I23" i="48"/>
  <c r="C88" i="142"/>
  <c r="C10" i="141"/>
  <c r="I59" i="48"/>
  <c r="C52" i="141"/>
  <c r="C48" i="141" s="1"/>
  <c r="H57" i="48"/>
  <c r="C96" i="142"/>
  <c r="C40" i="141"/>
  <c r="H57" i="98"/>
  <c r="I89" i="47"/>
  <c r="C120" i="141"/>
  <c r="I595" i="135"/>
  <c r="I760" i="135"/>
  <c r="G30" i="115"/>
  <c r="G31" i="115" s="1"/>
  <c r="G34" i="115" s="1"/>
  <c r="H210" i="136"/>
  <c r="N51" i="115"/>
  <c r="N55" i="115" s="1"/>
  <c r="H148" i="98"/>
  <c r="G39" i="115"/>
  <c r="G40" i="115" s="1"/>
  <c r="G48" i="115" s="1"/>
  <c r="H244" i="136"/>
  <c r="H238" i="136"/>
  <c r="H51" i="98"/>
  <c r="H48" i="98"/>
  <c r="H35" i="98"/>
  <c r="H34" i="98"/>
  <c r="H36" i="98"/>
  <c r="H39" i="98"/>
  <c r="H37" i="125"/>
  <c r="H69" i="125"/>
  <c r="H71" i="125"/>
  <c r="H18" i="125"/>
  <c r="C58" i="142" s="1"/>
  <c r="C100" i="142" s="1"/>
  <c r="H108" i="47"/>
  <c r="H103" i="47"/>
  <c r="H40" i="47"/>
  <c r="C101" i="141" s="1"/>
  <c r="C86" i="141" s="1"/>
  <c r="H22" i="47"/>
  <c r="C28" i="141" s="1"/>
  <c r="H107" i="47"/>
  <c r="H78" i="47"/>
  <c r="C44" i="141" s="1"/>
  <c r="H69" i="48"/>
  <c r="H38" i="48"/>
  <c r="H76" i="48"/>
  <c r="G59" i="115" l="1"/>
  <c r="H252" i="136"/>
  <c r="H43" i="98"/>
  <c r="H87" i="98" s="1"/>
  <c r="H44" i="98"/>
  <c r="H86" i="98"/>
  <c r="H38" i="98"/>
  <c r="H97" i="98"/>
  <c r="H49" i="125"/>
  <c r="H23" i="125"/>
  <c r="H30" i="47"/>
  <c r="H110" i="47"/>
  <c r="H67" i="47"/>
  <c r="H70" i="48"/>
  <c r="H79" i="48"/>
  <c r="H82" i="48"/>
  <c r="H261" i="136" l="1"/>
  <c r="H81" i="48"/>
  <c r="H55" i="98"/>
  <c r="H88" i="98"/>
  <c r="H135" i="98" s="1"/>
  <c r="H134" i="98"/>
  <c r="H133" i="98"/>
  <c r="H142" i="98"/>
  <c r="H68" i="125"/>
  <c r="H37" i="98" s="1"/>
  <c r="H73" i="125"/>
  <c r="H64" i="125"/>
  <c r="H83" i="47"/>
  <c r="H95" i="98" l="1"/>
  <c r="H140" i="98" s="1"/>
  <c r="H50" i="98"/>
  <c r="N8" i="115"/>
  <c r="N7" i="115"/>
  <c r="N9" i="115"/>
  <c r="H33" i="98"/>
  <c r="H90" i="98"/>
  <c r="N39" i="115"/>
  <c r="H70" i="125"/>
  <c r="H113" i="47"/>
  <c r="H47" i="98" s="1"/>
  <c r="H104" i="47"/>
  <c r="H41" i="98" l="1"/>
  <c r="H96" i="98"/>
  <c r="N37" i="115"/>
  <c r="H137" i="98"/>
  <c r="H92" i="98"/>
  <c r="H115" i="47"/>
  <c r="H141" i="98" l="1"/>
  <c r="H98" i="98"/>
  <c r="H138" i="98"/>
  <c r="N12" i="115"/>
  <c r="N34" i="115" s="1"/>
  <c r="H116" i="47"/>
  <c r="N38" i="115" l="1"/>
  <c r="N48" i="115" s="1"/>
  <c r="N59" i="115" s="1"/>
  <c r="H143" i="98"/>
  <c r="H112" i="98"/>
  <c r="H151" i="98" l="1"/>
  <c r="F100" i="142"/>
  <c r="D27" i="142"/>
  <c r="D28" i="142"/>
  <c r="E100" i="142"/>
  <c r="G100" i="142"/>
  <c r="H100" i="142"/>
  <c r="I100" i="142"/>
  <c r="J100" i="142"/>
  <c r="K100" i="142"/>
  <c r="L100" i="142"/>
  <c r="M100" i="142"/>
  <c r="E169" i="141"/>
  <c r="D156" i="141"/>
  <c r="D158" i="141"/>
  <c r="N169" i="141"/>
  <c r="D162" i="141"/>
  <c r="G62" i="98" l="1"/>
  <c r="G68" i="98"/>
  <c r="G792" i="44"/>
  <c r="I792" i="44" s="1"/>
  <c r="G791" i="44"/>
  <c r="I791" i="44" s="1"/>
  <c r="G790" i="44"/>
  <c r="I790" i="44" s="1"/>
  <c r="G12" i="49"/>
  <c r="D146" i="98"/>
  <c r="J52" i="115" s="1"/>
  <c r="E146" i="98"/>
  <c r="K52" i="115" s="1"/>
  <c r="F146" i="98"/>
  <c r="L52" i="115" s="1"/>
  <c r="G146" i="98"/>
  <c r="C146" i="98"/>
  <c r="I52" i="115" s="1"/>
  <c r="D256" i="136"/>
  <c r="C52" i="115" s="1"/>
  <c r="E256" i="136"/>
  <c r="D52" i="115" s="1"/>
  <c r="F256" i="136"/>
  <c r="E52" i="115" s="1"/>
  <c r="G256" i="136"/>
  <c r="C256" i="136"/>
  <c r="B52" i="115" s="1"/>
  <c r="G101" i="98"/>
  <c r="G100" i="98"/>
  <c r="G808" i="44"/>
  <c r="I808" i="44" s="1"/>
  <c r="G807" i="44"/>
  <c r="I807" i="44" s="1"/>
  <c r="G806" i="44"/>
  <c r="I806" i="44" s="1"/>
  <c r="G755" i="44"/>
  <c r="I755" i="44" s="1"/>
  <c r="G754" i="44"/>
  <c r="I754" i="44" s="1"/>
  <c r="G78" i="98"/>
  <c r="F78" i="98"/>
  <c r="E78" i="98"/>
  <c r="D78" i="98"/>
  <c r="C78" i="98"/>
  <c r="G161" i="136"/>
  <c r="I161" i="136" s="1"/>
  <c r="G41" i="136"/>
  <c r="G99" i="136"/>
  <c r="I99" i="136" s="1"/>
  <c r="G73" i="136"/>
  <c r="G51" i="136"/>
  <c r="I51" i="136" s="1"/>
  <c r="G13" i="136"/>
  <c r="I13" i="136" s="1"/>
  <c r="G106" i="136"/>
  <c r="I106" i="136" s="1"/>
  <c r="G422" i="44"/>
  <c r="I422" i="44" s="1"/>
  <c r="G421" i="44"/>
  <c r="I421" i="44" s="1"/>
  <c r="G377" i="44"/>
  <c r="G376" i="44"/>
  <c r="G39" i="43"/>
  <c r="I39" i="43" s="1"/>
  <c r="G22" i="43"/>
  <c r="I22" i="43" s="1"/>
  <c r="G21" i="43"/>
  <c r="I21" i="43" s="1"/>
  <c r="I78" i="98" l="1"/>
  <c r="F52" i="115"/>
  <c r="I256" i="136"/>
  <c r="I73" i="136"/>
  <c r="I100" i="98"/>
  <c r="I101" i="98"/>
  <c r="I68" i="98"/>
  <c r="M52" i="115"/>
  <c r="I62" i="98"/>
  <c r="I41" i="136"/>
  <c r="G16" i="98"/>
  <c r="G45" i="98"/>
  <c r="G54" i="98"/>
  <c r="G66" i="98"/>
  <c r="G70" i="98"/>
  <c r="G72" i="98"/>
  <c r="G75" i="98"/>
  <c r="G81" i="98"/>
  <c r="I81" i="98" s="1"/>
  <c r="G110" i="98"/>
  <c r="G126" i="98"/>
  <c r="G144" i="98"/>
  <c r="I144" i="98" s="1"/>
  <c r="G147" i="98"/>
  <c r="I147" i="98" s="1"/>
  <c r="G149" i="98"/>
  <c r="G150" i="98" s="1"/>
  <c r="G22" i="49"/>
  <c r="I70" i="98" l="1"/>
  <c r="I66" i="98"/>
  <c r="G19" i="136" l="1"/>
  <c r="G446" i="44"/>
  <c r="I446" i="44" s="1"/>
  <c r="F446" i="44"/>
  <c r="E446" i="44"/>
  <c r="D446" i="44"/>
  <c r="D437" i="44"/>
  <c r="G437" i="44"/>
  <c r="I437" i="44" s="1"/>
  <c r="F437" i="44"/>
  <c r="E437" i="44"/>
  <c r="G114" i="136"/>
  <c r="I114" i="136" s="1"/>
  <c r="G104" i="136"/>
  <c r="I104" i="136" s="1"/>
  <c r="G100" i="136"/>
  <c r="I100" i="136" s="1"/>
  <c r="G79" i="136"/>
  <c r="G78" i="136"/>
  <c r="I78" i="136" s="1"/>
  <c r="G70" i="136"/>
  <c r="I70" i="136" s="1"/>
  <c r="G69" i="136"/>
  <c r="I69" i="136" s="1"/>
  <c r="G67" i="136"/>
  <c r="I67" i="136" s="1"/>
  <c r="G64" i="136"/>
  <c r="I64" i="136" s="1"/>
  <c r="G63" i="136"/>
  <c r="I63" i="136" s="1"/>
  <c r="G62" i="136"/>
  <c r="I62" i="136" s="1"/>
  <c r="G58" i="136"/>
  <c r="I58" i="136" s="1"/>
  <c r="G57" i="136"/>
  <c r="I57" i="136" s="1"/>
  <c r="G56" i="136"/>
  <c r="I56" i="136" s="1"/>
  <c r="G54" i="136"/>
  <c r="I54" i="136" s="1"/>
  <c r="G50" i="136"/>
  <c r="I50" i="136" s="1"/>
  <c r="G49" i="136"/>
  <c r="I49" i="136" s="1"/>
  <c r="G48" i="136"/>
  <c r="I48" i="136" s="1"/>
  <c r="G47" i="136"/>
  <c r="I47" i="136" s="1"/>
  <c r="G40" i="136"/>
  <c r="I40" i="136" s="1"/>
  <c r="G39" i="136"/>
  <c r="I39" i="136" s="1"/>
  <c r="G38" i="136"/>
  <c r="I38" i="136" s="1"/>
  <c r="G36" i="136"/>
  <c r="I36" i="136" s="1"/>
  <c r="G32" i="136"/>
  <c r="I32" i="136" s="1"/>
  <c r="G30" i="136"/>
  <c r="I30" i="136" s="1"/>
  <c r="G28" i="136"/>
  <c r="I28" i="136" s="1"/>
  <c r="G26" i="136"/>
  <c r="I26" i="136" s="1"/>
  <c r="G25" i="136"/>
  <c r="I25" i="136" s="1"/>
  <c r="G91" i="47"/>
  <c r="I91" i="47" s="1"/>
  <c r="G95" i="47"/>
  <c r="I95" i="47" s="1"/>
  <c r="G817" i="44"/>
  <c r="I817" i="44" s="1"/>
  <c r="G815" i="44"/>
  <c r="I815" i="44" s="1"/>
  <c r="G812" i="44"/>
  <c r="G765" i="44"/>
  <c r="I765" i="44" s="1"/>
  <c r="G767" i="44"/>
  <c r="I767" i="44" s="1"/>
  <c r="G759" i="44"/>
  <c r="I759" i="44" s="1"/>
  <c r="G756" i="44"/>
  <c r="I756" i="44" s="1"/>
  <c r="M9" i="138" l="1"/>
  <c r="M47" i="138" s="1"/>
  <c r="I79" i="136"/>
  <c r="G281" i="44"/>
  <c r="I281" i="44" s="1"/>
  <c r="G277" i="44"/>
  <c r="I277" i="44" s="1"/>
  <c r="G275" i="44"/>
  <c r="I275" i="44" s="1"/>
  <c r="G251" i="44"/>
  <c r="I251" i="44" s="1"/>
  <c r="G249" i="44"/>
  <c r="I249" i="44" s="1"/>
  <c r="G246" i="44"/>
  <c r="I246" i="44" s="1"/>
  <c r="G243" i="44"/>
  <c r="I243" i="44" s="1"/>
  <c r="G231" i="44"/>
  <c r="I231" i="44" s="1"/>
  <c r="G230" i="44"/>
  <c r="I230" i="44" s="1"/>
  <c r="G204" i="44"/>
  <c r="I204" i="44" s="1"/>
  <c r="G198" i="44"/>
  <c r="I198" i="44" s="1"/>
  <c r="G196" i="44"/>
  <c r="I196" i="44" s="1"/>
  <c r="G195" i="44"/>
  <c r="I195" i="44" s="1"/>
  <c r="G194" i="44"/>
  <c r="I194" i="44" s="1"/>
  <c r="G70" i="44"/>
  <c r="I70" i="44" s="1"/>
  <c r="G67" i="44"/>
  <c r="I67" i="44" s="1"/>
  <c r="G71" i="44"/>
  <c r="G49" i="44"/>
  <c r="I49" i="44" s="1"/>
  <c r="G25" i="44"/>
  <c r="I25" i="44" s="1"/>
  <c r="G21" i="44"/>
  <c r="I21" i="44" s="1"/>
  <c r="G335" i="44"/>
  <c r="I335" i="44" s="1"/>
  <c r="G40" i="44"/>
  <c r="I40" i="44" s="1"/>
  <c r="G26" i="43"/>
  <c r="I26" i="43" s="1"/>
  <c r="G27" i="43"/>
  <c r="I27" i="43" s="1"/>
  <c r="G23" i="43"/>
  <c r="I23" i="43" s="1"/>
  <c r="G16" i="43"/>
  <c r="I16" i="43" s="1"/>
  <c r="G15" i="43"/>
  <c r="I15" i="43" s="1"/>
  <c r="G141" i="136"/>
  <c r="G137" i="136"/>
  <c r="G135" i="136"/>
  <c r="I135" i="136" s="1"/>
  <c r="G133" i="136"/>
  <c r="G130" i="136"/>
  <c r="I130" i="136" s="1"/>
  <c r="G129" i="136"/>
  <c r="G11" i="136"/>
  <c r="I11" i="136" s="1"/>
  <c r="G12" i="136"/>
  <c r="I12" i="136" s="1"/>
  <c r="G14" i="136"/>
  <c r="I14" i="136" s="1"/>
  <c r="G24" i="136"/>
  <c r="I24" i="136" s="1"/>
  <c r="G27" i="136"/>
  <c r="G31" i="136"/>
  <c r="I31" i="136" s="1"/>
  <c r="G45" i="136"/>
  <c r="I45" i="136" s="1"/>
  <c r="G55" i="136"/>
  <c r="I55" i="136" s="1"/>
  <c r="G61" i="136"/>
  <c r="I61" i="136" s="1"/>
  <c r="G66" i="136"/>
  <c r="I66" i="136" s="1"/>
  <c r="G82" i="136"/>
  <c r="I82" i="136" s="1"/>
  <c r="G89" i="136"/>
  <c r="G97" i="136"/>
  <c r="G102" i="136"/>
  <c r="G112" i="136"/>
  <c r="G118" i="136"/>
  <c r="G127" i="136"/>
  <c r="I127" i="136" s="1"/>
  <c r="G154" i="136"/>
  <c r="I154" i="136" s="1"/>
  <c r="G158" i="136"/>
  <c r="I158" i="136" s="1"/>
  <c r="G165" i="136"/>
  <c r="I165" i="136" s="1"/>
  <c r="G187" i="136"/>
  <c r="I187" i="136" s="1"/>
  <c r="G215" i="136"/>
  <c r="G216" i="136"/>
  <c r="F11" i="115" s="1"/>
  <c r="G218" i="136"/>
  <c r="F12" i="115" s="1"/>
  <c r="G219" i="136"/>
  <c r="F13" i="115" s="1"/>
  <c r="G228" i="136"/>
  <c r="F23" i="115" s="1"/>
  <c r="G239" i="136"/>
  <c r="G240" i="136"/>
  <c r="F36" i="115" s="1"/>
  <c r="G241" i="136"/>
  <c r="F37" i="115" s="1"/>
  <c r="G250" i="136"/>
  <c r="G255" i="136"/>
  <c r="G257" i="136"/>
  <c r="F53" i="115" s="1"/>
  <c r="G11" i="135"/>
  <c r="G174" i="136"/>
  <c r="G199" i="136"/>
  <c r="G120" i="98"/>
  <c r="G25" i="47"/>
  <c r="I25" i="47" s="1"/>
  <c r="G24" i="47"/>
  <c r="G35" i="47"/>
  <c r="I35" i="47" s="1"/>
  <c r="G37" i="47"/>
  <c r="I37" i="47" s="1"/>
  <c r="G23" i="47"/>
  <c r="I23" i="47" s="1"/>
  <c r="G43" i="47"/>
  <c r="I43" i="47" s="1"/>
  <c r="G71" i="47"/>
  <c r="I71" i="47" s="1"/>
  <c r="G72" i="47"/>
  <c r="G60" i="48"/>
  <c r="I60" i="48" s="1"/>
  <c r="G61" i="48"/>
  <c r="I61" i="48" s="1"/>
  <c r="F9" i="115"/>
  <c r="M13" i="115"/>
  <c r="M49" i="115"/>
  <c r="M50" i="115"/>
  <c r="M56" i="115"/>
  <c r="M57" i="115"/>
  <c r="G12" i="145"/>
  <c r="F12" i="145"/>
  <c r="E12" i="145"/>
  <c r="I133" i="136" l="1"/>
  <c r="G319" i="135"/>
  <c r="I174" i="136"/>
  <c r="I137" i="136"/>
  <c r="F50" i="115"/>
  <c r="I255" i="136"/>
  <c r="I141" i="136"/>
  <c r="G222" i="136"/>
  <c r="I27" i="136"/>
  <c r="G119" i="136"/>
  <c r="I119" i="136" s="1"/>
  <c r="I118" i="136"/>
  <c r="G116" i="136"/>
  <c r="I116" i="136" s="1"/>
  <c r="I112" i="136"/>
  <c r="G248" i="136"/>
  <c r="I248" i="136" s="1"/>
  <c r="I102" i="136"/>
  <c r="G101" i="136"/>
  <c r="I101" i="136" s="1"/>
  <c r="I97" i="136"/>
  <c r="I72" i="47"/>
  <c r="F35" i="115"/>
  <c r="I239" i="136"/>
  <c r="I24" i="47"/>
  <c r="I120" i="98"/>
  <c r="I129" i="136"/>
  <c r="G181" i="136"/>
  <c r="I181" i="136" s="1"/>
  <c r="G121" i="98"/>
  <c r="I121" i="98" s="1"/>
  <c r="G162" i="136"/>
  <c r="I162" i="136" s="1"/>
  <c r="G106" i="98"/>
  <c r="I106" i="98" s="1"/>
  <c r="G225" i="136"/>
  <c r="G108" i="136"/>
  <c r="I108" i="136" s="1"/>
  <c r="G131" i="136"/>
  <c r="G188" i="136"/>
  <c r="G54" i="44"/>
  <c r="G132" i="136"/>
  <c r="G95" i="136"/>
  <c r="I95" i="136" s="1"/>
  <c r="G200" i="136"/>
  <c r="G249" i="136" s="1"/>
  <c r="G10" i="136"/>
  <c r="G245" i="136"/>
  <c r="G43" i="136"/>
  <c r="I43" i="136" s="1"/>
  <c r="G71" i="136"/>
  <c r="I71" i="136" s="1"/>
  <c r="G242" i="136"/>
  <c r="G221" i="136"/>
  <c r="I221" i="136" s="1"/>
  <c r="G196" i="136"/>
  <c r="G246" i="136" s="1"/>
  <c r="G183" i="136"/>
  <c r="G178" i="136"/>
  <c r="G184" i="136"/>
  <c r="I184" i="136" s="1"/>
  <c r="G182" i="136"/>
  <c r="I182" i="136" s="1"/>
  <c r="G177" i="136"/>
  <c r="G105" i="98"/>
  <c r="I105" i="98" s="1"/>
  <c r="G180" i="136"/>
  <c r="G179" i="136"/>
  <c r="G118" i="98"/>
  <c r="I118" i="98" s="1"/>
  <c r="G203" i="136"/>
  <c r="G233" i="136" l="1"/>
  <c r="I183" i="136"/>
  <c r="F42" i="115"/>
  <c r="I246" i="136"/>
  <c r="G236" i="136"/>
  <c r="I236" i="136" s="1"/>
  <c r="I188" i="136"/>
  <c r="G142" i="136"/>
  <c r="I142" i="136" s="1"/>
  <c r="I132" i="136"/>
  <c r="G253" i="136"/>
  <c r="I253" i="136" s="1"/>
  <c r="I203" i="136"/>
  <c r="I54" i="44"/>
  <c r="G229" i="136"/>
  <c r="I179" i="136"/>
  <c r="I180" i="136"/>
  <c r="I177" i="136"/>
  <c r="F41" i="115"/>
  <c r="I245" i="136"/>
  <c r="F20" i="115"/>
  <c r="I225" i="136"/>
  <c r="G320" i="135"/>
  <c r="F46" i="115"/>
  <c r="I249" i="136"/>
  <c r="G223" i="136"/>
  <c r="D21" i="145" s="1"/>
  <c r="I131" i="136"/>
  <c r="F45" i="115"/>
  <c r="I178" i="136"/>
  <c r="I10" i="136"/>
  <c r="F17" i="115"/>
  <c r="I222" i="136"/>
  <c r="G197" i="136"/>
  <c r="G230" i="136"/>
  <c r="G232" i="136"/>
  <c r="G231" i="136"/>
  <c r="G234" i="136"/>
  <c r="G227" i="136"/>
  <c r="G207" i="136"/>
  <c r="G193" i="136"/>
  <c r="I193" i="136" s="1"/>
  <c r="G110" i="136"/>
  <c r="I110" i="136" s="1"/>
  <c r="G22" i="136"/>
  <c r="G214" i="136"/>
  <c r="G251" i="136"/>
  <c r="I251" i="136" s="1"/>
  <c r="G247" i="136"/>
  <c r="F16" i="115"/>
  <c r="F38" i="115"/>
  <c r="G119" i="98"/>
  <c r="G125" i="98"/>
  <c r="G117" i="98"/>
  <c r="I117" i="98" s="1"/>
  <c r="D12" i="145"/>
  <c r="D9" i="145"/>
  <c r="F32" i="115" l="1"/>
  <c r="F33" i="115" s="1"/>
  <c r="G147" i="136"/>
  <c r="G237" i="136"/>
  <c r="I237" i="136" s="1"/>
  <c r="F44" i="115"/>
  <c r="F47" i="115"/>
  <c r="F29" i="115"/>
  <c r="I233" i="136"/>
  <c r="G224" i="136"/>
  <c r="I224" i="136" s="1"/>
  <c r="D18" i="145"/>
  <c r="D27" i="145" s="1"/>
  <c r="I247" i="136"/>
  <c r="F26" i="115"/>
  <c r="I231" i="136"/>
  <c r="F25" i="115"/>
  <c r="I230" i="136"/>
  <c r="F24" i="115"/>
  <c r="I229" i="136"/>
  <c r="F8" i="115"/>
  <c r="I214" i="136"/>
  <c r="I125" i="98"/>
  <c r="F22" i="115"/>
  <c r="I227" i="136"/>
  <c r="I119" i="98"/>
  <c r="G167" i="136"/>
  <c r="I167" i="136" s="1"/>
  <c r="I147" i="136"/>
  <c r="F30" i="115"/>
  <c r="I234" i="136"/>
  <c r="F49" i="115"/>
  <c r="F27" i="115"/>
  <c r="I232" i="136"/>
  <c r="F18" i="115"/>
  <c r="F19" i="115" s="1"/>
  <c r="I223" i="136"/>
  <c r="G332" i="135"/>
  <c r="G459" i="135"/>
  <c r="G208" i="136"/>
  <c r="I207" i="136"/>
  <c r="G84" i="136"/>
  <c r="I84" i="136" s="1"/>
  <c r="I22" i="136"/>
  <c r="G124" i="98"/>
  <c r="I124" i="98" s="1"/>
  <c r="G176" i="136"/>
  <c r="I176" i="136" s="1"/>
  <c r="G243" i="136"/>
  <c r="I243" i="136" s="1"/>
  <c r="G194" i="136"/>
  <c r="I194" i="136" s="1"/>
  <c r="G122" i="98"/>
  <c r="I122" i="98" s="1"/>
  <c r="G104" i="98"/>
  <c r="I104" i="98" s="1"/>
  <c r="G204" i="136"/>
  <c r="I204" i="136" s="1"/>
  <c r="G19" i="49"/>
  <c r="M14" i="115" s="1"/>
  <c r="G16" i="48"/>
  <c r="G24" i="48"/>
  <c r="I24" i="48" s="1"/>
  <c r="G27" i="48"/>
  <c r="G28" i="48"/>
  <c r="I28" i="48" s="1"/>
  <c r="G29" i="48"/>
  <c r="G32" i="48"/>
  <c r="G35" i="48"/>
  <c r="G44" i="48"/>
  <c r="I44" i="48" s="1"/>
  <c r="G48" i="48"/>
  <c r="G55" i="48"/>
  <c r="G67" i="48"/>
  <c r="I67" i="48" s="1"/>
  <c r="G68" i="48"/>
  <c r="G72" i="48"/>
  <c r="G73" i="48"/>
  <c r="G80" i="48"/>
  <c r="G11" i="47"/>
  <c r="G12" i="47"/>
  <c r="G14" i="47"/>
  <c r="G16" i="47"/>
  <c r="G19" i="47"/>
  <c r="G20" i="47"/>
  <c r="G29" i="47"/>
  <c r="G33" i="47"/>
  <c r="G36" i="47"/>
  <c r="I36" i="47" s="1"/>
  <c r="G41" i="47"/>
  <c r="G48" i="47"/>
  <c r="G51" i="47"/>
  <c r="G52" i="47"/>
  <c r="G55" i="47"/>
  <c r="G59" i="47"/>
  <c r="G60" i="47"/>
  <c r="G62" i="47" s="1"/>
  <c r="I62" i="47" s="1"/>
  <c r="G64" i="47"/>
  <c r="G69" i="47"/>
  <c r="G74" i="47"/>
  <c r="G75" i="47"/>
  <c r="I75" i="47" s="1"/>
  <c r="G79" i="47"/>
  <c r="G80" i="47"/>
  <c r="I80" i="47" s="1"/>
  <c r="G81" i="47"/>
  <c r="G82" i="47"/>
  <c r="I82" i="47" s="1"/>
  <c r="G86" i="47"/>
  <c r="G103" i="47" s="1"/>
  <c r="I103" i="47" s="1"/>
  <c r="G114" i="47"/>
  <c r="G10" i="125"/>
  <c r="G11" i="125" s="1"/>
  <c r="G17" i="125"/>
  <c r="G20" i="125"/>
  <c r="G67" i="125" s="1"/>
  <c r="G21" i="125"/>
  <c r="I21" i="125" s="1"/>
  <c r="G22" i="125"/>
  <c r="G29" i="125"/>
  <c r="I29" i="125" s="1"/>
  <c r="G31" i="125"/>
  <c r="G35" i="125"/>
  <c r="I35" i="125" s="1"/>
  <c r="G42" i="125"/>
  <c r="G43" i="125"/>
  <c r="G45" i="125"/>
  <c r="I45" i="125" s="1"/>
  <c r="G46" i="125"/>
  <c r="I46" i="125" s="1"/>
  <c r="G55" i="125"/>
  <c r="G59" i="125"/>
  <c r="G61" i="125"/>
  <c r="G62" i="125"/>
  <c r="G13" i="44"/>
  <c r="I13" i="44" s="1"/>
  <c r="G23" i="44"/>
  <c r="G31" i="44"/>
  <c r="I31" i="44" s="1"/>
  <c r="G45" i="44"/>
  <c r="G59" i="44"/>
  <c r="G72" i="44"/>
  <c r="G77" i="44"/>
  <c r="I77" i="44" s="1"/>
  <c r="G78" i="44"/>
  <c r="I78" i="44" s="1"/>
  <c r="G90" i="44"/>
  <c r="G95" i="44"/>
  <c r="G103" i="44"/>
  <c r="G113" i="44"/>
  <c r="G121" i="44"/>
  <c r="G130" i="44"/>
  <c r="I130" i="44" s="1"/>
  <c r="G138" i="44"/>
  <c r="G146" i="44"/>
  <c r="I146" i="44" s="1"/>
  <c r="G158" i="44"/>
  <c r="G166" i="44"/>
  <c r="G171" i="44"/>
  <c r="I171" i="44" s="1"/>
  <c r="G172" i="44"/>
  <c r="I172" i="44" s="1"/>
  <c r="G177" i="44"/>
  <c r="I177" i="44" s="1"/>
  <c r="G178" i="44"/>
  <c r="I178" i="44" s="1"/>
  <c r="G179" i="44"/>
  <c r="I179" i="44" s="1"/>
  <c r="G190" i="44"/>
  <c r="I190" i="44" s="1"/>
  <c r="G209" i="44"/>
  <c r="G213" i="44"/>
  <c r="G222" i="44"/>
  <c r="G232" i="44"/>
  <c r="G241" i="44"/>
  <c r="I241" i="44" s="1"/>
  <c r="G242" i="44"/>
  <c r="I242" i="44" s="1"/>
  <c r="G250" i="44"/>
  <c r="I250" i="44" s="1"/>
  <c r="G253" i="44"/>
  <c r="I253" i="44" s="1"/>
  <c r="G259" i="44"/>
  <c r="G265" i="44"/>
  <c r="I265" i="44" s="1"/>
  <c r="G266" i="44"/>
  <c r="I266" i="44" s="1"/>
  <c r="G267" i="44"/>
  <c r="I267" i="44" s="1"/>
  <c r="G269" i="44"/>
  <c r="I269" i="44" s="1"/>
  <c r="G272" i="44"/>
  <c r="I272" i="44" s="1"/>
  <c r="G276" i="44"/>
  <c r="I276" i="44" s="1"/>
  <c r="G279" i="44"/>
  <c r="I279" i="44" s="1"/>
  <c r="G291" i="44"/>
  <c r="G295" i="44"/>
  <c r="G303" i="44"/>
  <c r="I303" i="44" s="1"/>
  <c r="G305" i="44"/>
  <c r="I305" i="44" s="1"/>
  <c r="G322" i="44"/>
  <c r="G339" i="44"/>
  <c r="G344" i="44"/>
  <c r="I344" i="44" s="1"/>
  <c r="G352" i="44"/>
  <c r="G362" i="44"/>
  <c r="G383" i="44"/>
  <c r="I383" i="44" s="1"/>
  <c r="G387" i="44"/>
  <c r="I387" i="44" s="1"/>
  <c r="G401" i="44"/>
  <c r="G423" i="44"/>
  <c r="G453" i="44"/>
  <c r="G464" i="44"/>
  <c r="G469" i="44"/>
  <c r="I469" i="44" s="1"/>
  <c r="G471" i="44"/>
  <c r="I471" i="44" s="1"/>
  <c r="G492" i="44"/>
  <c r="G497" i="44"/>
  <c r="G510" i="44"/>
  <c r="G514" i="44"/>
  <c r="G524" i="44"/>
  <c r="G532" i="44"/>
  <c r="G540" i="44"/>
  <c r="G548" i="44"/>
  <c r="G556" i="44"/>
  <c r="G564" i="44"/>
  <c r="G572" i="44"/>
  <c r="I572" i="44" s="1"/>
  <c r="G580" i="44"/>
  <c r="G595" i="44"/>
  <c r="G603" i="44"/>
  <c r="G616" i="44"/>
  <c r="G620" i="44"/>
  <c r="G629" i="44"/>
  <c r="G641" i="44"/>
  <c r="G645" i="44"/>
  <c r="G653" i="44"/>
  <c r="I653" i="44" s="1"/>
  <c r="G661" i="44"/>
  <c r="G673" i="44"/>
  <c r="G677" i="44"/>
  <c r="I677" i="44" s="1"/>
  <c r="G685" i="44"/>
  <c r="G694" i="44"/>
  <c r="G701" i="44"/>
  <c r="I701" i="44" s="1"/>
  <c r="G702" i="44"/>
  <c r="I702" i="44" s="1"/>
  <c r="G703" i="44"/>
  <c r="I703" i="44" s="1"/>
  <c r="G705" i="44"/>
  <c r="I705" i="44" s="1"/>
  <c r="G723" i="44"/>
  <c r="G752" i="44"/>
  <c r="G761" i="44"/>
  <c r="G770" i="44"/>
  <c r="G779" i="44"/>
  <c r="G787" i="44"/>
  <c r="G795" i="44"/>
  <c r="I795" i="44" s="1"/>
  <c r="G798" i="44"/>
  <c r="I798" i="44" s="1"/>
  <c r="G799" i="44"/>
  <c r="I799" i="44" s="1"/>
  <c r="G800" i="44"/>
  <c r="I800" i="44" s="1"/>
  <c r="G810" i="44"/>
  <c r="I810" i="44" s="1"/>
  <c r="G816" i="44"/>
  <c r="I816" i="44" s="1"/>
  <c r="G829" i="44"/>
  <c r="G837" i="44"/>
  <c r="G853" i="44"/>
  <c r="G873" i="44"/>
  <c r="G887" i="44"/>
  <c r="G891" i="44"/>
  <c r="I891" i="44" s="1"/>
  <c r="G906" i="44"/>
  <c r="G30" i="98" s="1"/>
  <c r="G10" i="43"/>
  <c r="I10" i="43" s="1"/>
  <c r="G11" i="43"/>
  <c r="I11" i="43" s="1"/>
  <c r="G12" i="43"/>
  <c r="I12" i="43" s="1"/>
  <c r="G53" i="43"/>
  <c r="I53" i="43" s="1"/>
  <c r="G28" i="43"/>
  <c r="I28" i="43" s="1"/>
  <c r="G43" i="43"/>
  <c r="I43" i="43" s="1"/>
  <c r="G46" i="43"/>
  <c r="I46" i="43" s="1"/>
  <c r="G55" i="43"/>
  <c r="G15" i="98" s="1"/>
  <c r="G59" i="43"/>
  <c r="G27" i="44" l="1"/>
  <c r="I23" i="44"/>
  <c r="G64" i="48"/>
  <c r="I68" i="48"/>
  <c r="G17" i="44"/>
  <c r="G57" i="98"/>
  <c r="I57" i="98" s="1"/>
  <c r="I80" i="48"/>
  <c r="G56" i="47"/>
  <c r="I59" i="47"/>
  <c r="G18" i="43"/>
  <c r="I18" i="43" s="1"/>
  <c r="G71" i="125"/>
  <c r="I71" i="125" s="1"/>
  <c r="G61" i="43"/>
  <c r="I61" i="43" s="1"/>
  <c r="G107" i="47"/>
  <c r="G43" i="98" s="1"/>
  <c r="I43" i="98" s="1"/>
  <c r="G121" i="136"/>
  <c r="I121" i="136" s="1"/>
  <c r="I67" i="125"/>
  <c r="G36" i="98"/>
  <c r="I36" i="98" s="1"/>
  <c r="I11" i="125"/>
  <c r="I829" i="44"/>
  <c r="I114" i="47"/>
  <c r="G48" i="98"/>
  <c r="I48" i="98" s="1"/>
  <c r="G218" i="44"/>
  <c r="I213" i="44"/>
  <c r="I17" i="44"/>
  <c r="G227" i="44"/>
  <c r="I222" i="44"/>
  <c r="I55" i="48"/>
  <c r="G527" i="44"/>
  <c r="I524" i="44"/>
  <c r="I209" i="44"/>
  <c r="I56" i="47"/>
  <c r="G117" i="44"/>
  <c r="I113" i="44"/>
  <c r="G607" i="44"/>
  <c r="I603" i="44"/>
  <c r="G109" i="44"/>
  <c r="I103" i="44"/>
  <c r="I31" i="125"/>
  <c r="I52" i="47"/>
  <c r="I35" i="48"/>
  <c r="G599" i="44"/>
  <c r="I595" i="44"/>
  <c r="I492" i="44"/>
  <c r="I339" i="44"/>
  <c r="G99" i="44"/>
  <c r="I95" i="44"/>
  <c r="I81" i="47"/>
  <c r="G112" i="47"/>
  <c r="I51" i="47"/>
  <c r="I11" i="47"/>
  <c r="G30" i="48"/>
  <c r="I32" i="48"/>
  <c r="I20" i="47"/>
  <c r="I60" i="47"/>
  <c r="G625" i="44"/>
  <c r="I620" i="44"/>
  <c r="G366" i="44"/>
  <c r="I362" i="44"/>
  <c r="G125" i="44"/>
  <c r="I121" i="44"/>
  <c r="I16" i="47"/>
  <c r="I55" i="47"/>
  <c r="G501" i="44"/>
  <c r="I497" i="44"/>
  <c r="I12" i="47"/>
  <c r="G699" i="44"/>
  <c r="I694" i="44"/>
  <c r="G49" i="43"/>
  <c r="I49" i="43" s="1"/>
  <c r="G895" i="44"/>
  <c r="G690" i="44"/>
  <c r="I685" i="44"/>
  <c r="G583" i="44"/>
  <c r="I580" i="44"/>
  <c r="G328" i="44"/>
  <c r="I322" i="44"/>
  <c r="G263" i="44"/>
  <c r="I259" i="44"/>
  <c r="G91" i="44"/>
  <c r="I90" i="44"/>
  <c r="I62" i="125"/>
  <c r="I22" i="125"/>
  <c r="I48" i="47"/>
  <c r="I29" i="48"/>
  <c r="G259" i="136"/>
  <c r="I208" i="136"/>
  <c r="I723" i="44"/>
  <c r="G633" i="44"/>
  <c r="I629" i="44"/>
  <c r="I27" i="44"/>
  <c r="G519" i="44"/>
  <c r="I514" i="44"/>
  <c r="G19" i="98"/>
  <c r="I19" i="98" s="1"/>
  <c r="I616" i="44"/>
  <c r="G356" i="44"/>
  <c r="I352" i="44"/>
  <c r="I61" i="125"/>
  <c r="I73" i="48"/>
  <c r="G52" i="98"/>
  <c r="I887" i="44"/>
  <c r="I59" i="125"/>
  <c r="I72" i="48"/>
  <c r="G51" i="98"/>
  <c r="G26" i="48"/>
  <c r="I27" i="48"/>
  <c r="G878" i="44"/>
  <c r="I873" i="44"/>
  <c r="G665" i="44"/>
  <c r="I661" i="44"/>
  <c r="G559" i="44"/>
  <c r="I556" i="44"/>
  <c r="G455" i="44"/>
  <c r="I453" i="44"/>
  <c r="G299" i="44"/>
  <c r="I295" i="44"/>
  <c r="I166" i="44"/>
  <c r="I72" i="44"/>
  <c r="G63" i="125"/>
  <c r="I63" i="125" s="1"/>
  <c r="I55" i="125"/>
  <c r="I17" i="125"/>
  <c r="I74" i="47"/>
  <c r="G34" i="47"/>
  <c r="I64" i="48"/>
  <c r="I641" i="44"/>
  <c r="G535" i="44"/>
  <c r="I532" i="44"/>
  <c r="G142" i="44"/>
  <c r="I138" i="44"/>
  <c r="G40" i="125"/>
  <c r="I42" i="125"/>
  <c r="I48" i="48"/>
  <c r="G32" i="125"/>
  <c r="G37" i="125" s="1"/>
  <c r="I37" i="125" s="1"/>
  <c r="I14" i="47"/>
  <c r="G42" i="48"/>
  <c r="I59" i="43"/>
  <c r="G18" i="98"/>
  <c r="I673" i="44"/>
  <c r="G567" i="44"/>
  <c r="I564" i="44"/>
  <c r="I770" i="44"/>
  <c r="G60" i="43"/>
  <c r="I853" i="44"/>
  <c r="I761" i="44"/>
  <c r="G551" i="44"/>
  <c r="I548" i="44"/>
  <c r="M40" i="138"/>
  <c r="M51" i="138" s="1"/>
  <c r="I423" i="44"/>
  <c r="I291" i="44"/>
  <c r="I158" i="44"/>
  <c r="G63" i="44"/>
  <c r="G55" i="44" s="1"/>
  <c r="I55" i="44" s="1"/>
  <c r="I59" i="44"/>
  <c r="G900" i="44"/>
  <c r="G108" i="47"/>
  <c r="I69" i="47"/>
  <c r="I33" i="47"/>
  <c r="G74" i="48"/>
  <c r="G14" i="48"/>
  <c r="I16" i="48"/>
  <c r="I19" i="47"/>
  <c r="I510" i="44"/>
  <c r="I86" i="47"/>
  <c r="I787" i="44"/>
  <c r="G106" i="47"/>
  <c r="I79" i="47"/>
  <c r="I41" i="47"/>
  <c r="G40" i="47"/>
  <c r="G722" i="135"/>
  <c r="G460" i="135"/>
  <c r="G473" i="135" s="1"/>
  <c r="I779" i="44"/>
  <c r="I464" i="44"/>
  <c r="G19" i="125"/>
  <c r="I19" i="125" s="1"/>
  <c r="I20" i="125"/>
  <c r="G340" i="135"/>
  <c r="G54" i="43"/>
  <c r="I837" i="44"/>
  <c r="I752" i="44"/>
  <c r="G649" i="44"/>
  <c r="I645" i="44"/>
  <c r="G543" i="44"/>
  <c r="I540" i="44"/>
  <c r="I401" i="44"/>
  <c r="G236" i="44"/>
  <c r="I232" i="44"/>
  <c r="I45" i="44"/>
  <c r="I10" i="125"/>
  <c r="G72" i="125"/>
  <c r="I64" i="47"/>
  <c r="G26" i="47"/>
  <c r="I29" i="47"/>
  <c r="G57" i="48"/>
  <c r="I57" i="48" s="1"/>
  <c r="F39" i="115"/>
  <c r="F40" i="115" s="1"/>
  <c r="F48" i="115" s="1"/>
  <c r="G244" i="136"/>
  <c r="G175" i="136"/>
  <c r="I175" i="136" s="1"/>
  <c r="G127" i="98"/>
  <c r="G254" i="136"/>
  <c r="I254" i="136" s="1"/>
  <c r="G205" i="136"/>
  <c r="I205" i="136" s="1"/>
  <c r="G103" i="98"/>
  <c r="G13" i="98"/>
  <c r="I13" i="98" s="1"/>
  <c r="G81" i="44"/>
  <c r="G255" i="44"/>
  <c r="G813" i="44"/>
  <c r="G283" i="44"/>
  <c r="G899" i="44"/>
  <c r="G905" i="44"/>
  <c r="G898" i="44"/>
  <c r="G150" i="44"/>
  <c r="G308" i="44"/>
  <c r="G428" i="44"/>
  <c r="I428" i="44" s="1"/>
  <c r="G273" i="44"/>
  <c r="G821" i="44"/>
  <c r="G796" i="44"/>
  <c r="G707" i="44"/>
  <c r="G902" i="44"/>
  <c r="G200" i="44"/>
  <c r="G134" i="44"/>
  <c r="G247" i="44"/>
  <c r="G192" i="44"/>
  <c r="G392" i="44"/>
  <c r="G575" i="44"/>
  <c r="G657" i="44"/>
  <c r="G36" i="44"/>
  <c r="G184" i="44"/>
  <c r="G681" i="44"/>
  <c r="G473" i="44"/>
  <c r="G348" i="44"/>
  <c r="G175" i="44"/>
  <c r="G804" i="44"/>
  <c r="G78" i="47"/>
  <c r="G14" i="49"/>
  <c r="G82" i="98" s="1"/>
  <c r="G25" i="49"/>
  <c r="G83" i="98" s="1"/>
  <c r="I83" i="98" s="1"/>
  <c r="G69" i="48"/>
  <c r="I69" i="48" s="1"/>
  <c r="G68" i="47"/>
  <c r="G22" i="47"/>
  <c r="G44" i="125"/>
  <c r="G65" i="125"/>
  <c r="G66" i="125"/>
  <c r="G331" i="44"/>
  <c r="I331" i="44" s="1"/>
  <c r="G725" i="44"/>
  <c r="I725" i="44" s="1"/>
  <c r="G901" i="44"/>
  <c r="G907" i="44"/>
  <c r="G52" i="43"/>
  <c r="G29" i="43"/>
  <c r="I29" i="43" s="1"/>
  <c r="F69" i="47"/>
  <c r="F35" i="47"/>
  <c r="F22" i="49"/>
  <c r="F12" i="49"/>
  <c r="L42" i="138"/>
  <c r="L56" i="138" s="1"/>
  <c r="L39" i="138"/>
  <c r="L38" i="138"/>
  <c r="L37" i="138"/>
  <c r="L48" i="138" s="1"/>
  <c r="L36" i="138"/>
  <c r="L22" i="138"/>
  <c r="L12" i="138"/>
  <c r="L11" i="138"/>
  <c r="L9" i="138"/>
  <c r="L55" i="138"/>
  <c r="L54" i="138"/>
  <c r="L52" i="138"/>
  <c r="L46" i="138"/>
  <c r="L45" i="138"/>
  <c r="F42" i="125"/>
  <c r="F43" i="125"/>
  <c r="F800" i="44"/>
  <c r="F799" i="44"/>
  <c r="F798" i="44"/>
  <c r="G38" i="98" l="1"/>
  <c r="I38" i="98" s="1"/>
  <c r="G8" i="43"/>
  <c r="I8" i="43" s="1"/>
  <c r="I107" i="47"/>
  <c r="G110" i="47"/>
  <c r="I110" i="47" s="1"/>
  <c r="G69" i="125"/>
  <c r="I69" i="125" s="1"/>
  <c r="G83" i="44"/>
  <c r="I83" i="44" s="1"/>
  <c r="G67" i="47"/>
  <c r="I67" i="47" s="1"/>
  <c r="I134" i="44"/>
  <c r="I109" i="44"/>
  <c r="I74" i="48"/>
  <c r="G53" i="98"/>
  <c r="I53" i="98" s="1"/>
  <c r="I599" i="44"/>
  <c r="I535" i="44"/>
  <c r="I65" i="125"/>
  <c r="G34" i="98"/>
  <c r="I657" i="44"/>
  <c r="I36" i="44"/>
  <c r="I14" i="48"/>
  <c r="I649" i="44"/>
  <c r="I299" i="44"/>
  <c r="I255" i="44"/>
  <c r="I218" i="44"/>
  <c r="I66" i="125"/>
  <c r="G35" i="98"/>
  <c r="I35" i="98" s="1"/>
  <c r="I112" i="47"/>
  <c r="G46" i="98"/>
  <c r="I46" i="98" s="1"/>
  <c r="I902" i="44"/>
  <c r="G28" i="98"/>
  <c r="I28" i="98" s="1"/>
  <c r="I895" i="44"/>
  <c r="I117" i="44"/>
  <c r="I44" i="125"/>
  <c r="I32" i="125"/>
  <c r="I559" i="44"/>
  <c r="I142" i="44"/>
  <c r="I200" i="44"/>
  <c r="I356" i="44"/>
  <c r="I82" i="98"/>
  <c r="I308" i="44"/>
  <c r="G252" i="136"/>
  <c r="I252" i="136" s="1"/>
  <c r="I244" i="136"/>
  <c r="I804" i="44"/>
  <c r="I150" i="44"/>
  <c r="I236" i="44"/>
  <c r="I108" i="47"/>
  <c r="G44" i="98"/>
  <c r="I44" i="98" s="1"/>
  <c r="G260" i="136"/>
  <c r="I260" i="136" s="1"/>
  <c r="I259" i="136"/>
  <c r="F56" i="115"/>
  <c r="F57" i="115" s="1"/>
  <c r="I99" i="44"/>
  <c r="I283" i="44"/>
  <c r="I106" i="47"/>
  <c r="G42" i="98"/>
  <c r="I813" i="44"/>
  <c r="G46" i="48"/>
  <c r="I42" i="48"/>
  <c r="I527" i="44"/>
  <c r="I60" i="43"/>
  <c r="G17" i="98"/>
  <c r="I607" i="44"/>
  <c r="G12" i="98"/>
  <c r="I12" i="98" s="1"/>
  <c r="I52" i="43"/>
  <c r="I707" i="44"/>
  <c r="I26" i="47"/>
  <c r="I905" i="44"/>
  <c r="G29" i="98"/>
  <c r="I29" i="98" s="1"/>
  <c r="G723" i="135"/>
  <c r="G172" i="136"/>
  <c r="I907" i="44"/>
  <c r="G31" i="98"/>
  <c r="I68" i="47"/>
  <c r="I473" i="44"/>
  <c r="I192" i="44"/>
  <c r="I821" i="44"/>
  <c r="I40" i="47"/>
  <c r="I63" i="44"/>
  <c r="I34" i="47"/>
  <c r="I878" i="44"/>
  <c r="I519" i="44"/>
  <c r="I263" i="44"/>
  <c r="I125" i="44"/>
  <c r="I30" i="48"/>
  <c r="I227" i="44"/>
  <c r="I273" i="44"/>
  <c r="I72" i="125"/>
  <c r="G39" i="98"/>
  <c r="I39" i="98" s="1"/>
  <c r="I633" i="44"/>
  <c r="I583" i="44"/>
  <c r="I625" i="44"/>
  <c r="G18" i="125"/>
  <c r="I501" i="44"/>
  <c r="G73" i="44"/>
  <c r="I73" i="44" s="1"/>
  <c r="I81" i="44"/>
  <c r="I78" i="47"/>
  <c r="I175" i="44"/>
  <c r="I575" i="44"/>
  <c r="G26" i="98"/>
  <c r="I900" i="44"/>
  <c r="I551" i="44"/>
  <c r="I567" i="44"/>
  <c r="I91" i="44"/>
  <c r="I22" i="47"/>
  <c r="G318" i="44"/>
  <c r="I318" i="44" s="1"/>
  <c r="I348" i="44"/>
  <c r="I392" i="44"/>
  <c r="I796" i="44"/>
  <c r="I54" i="43"/>
  <c r="G14" i="98"/>
  <c r="I14" i="98" s="1"/>
  <c r="I901" i="44"/>
  <c r="G27" i="98"/>
  <c r="G38" i="48"/>
  <c r="I38" i="48" s="1"/>
  <c r="I681" i="44"/>
  <c r="I247" i="44"/>
  <c r="G25" i="98"/>
  <c r="I25" i="98" s="1"/>
  <c r="I899" i="44"/>
  <c r="I40" i="125"/>
  <c r="I455" i="44"/>
  <c r="I690" i="44"/>
  <c r="G24" i="98"/>
  <c r="I24" i="98" s="1"/>
  <c r="I898" i="44"/>
  <c r="G484" i="135"/>
  <c r="I665" i="44"/>
  <c r="I699" i="44"/>
  <c r="G62" i="43"/>
  <c r="I62" i="43" s="1"/>
  <c r="G76" i="48"/>
  <c r="I76" i="48" s="1"/>
  <c r="I184" i="44"/>
  <c r="G129" i="98"/>
  <c r="I129" i="98" s="1"/>
  <c r="I127" i="98"/>
  <c r="I543" i="44"/>
  <c r="I18" i="98"/>
  <c r="I26" i="48"/>
  <c r="I328" i="44"/>
  <c r="I366" i="44"/>
  <c r="G107" i="98"/>
  <c r="I107" i="98" s="1"/>
  <c r="I103" i="98"/>
  <c r="G226" i="136"/>
  <c r="I226" i="136" s="1"/>
  <c r="G185" i="136"/>
  <c r="G145" i="98"/>
  <c r="I145" i="98" s="1"/>
  <c r="F51" i="115"/>
  <c r="F55" i="115" s="1"/>
  <c r="G258" i="136"/>
  <c r="I258" i="136" s="1"/>
  <c r="G91" i="98"/>
  <c r="I91" i="98" s="1"/>
  <c r="G374" i="44"/>
  <c r="I374" i="44" s="1"/>
  <c r="L50" i="138"/>
  <c r="G228" i="44"/>
  <c r="I228" i="44" s="1"/>
  <c r="G465" i="44"/>
  <c r="I465" i="44" s="1"/>
  <c r="G788" i="44"/>
  <c r="I788" i="44" s="1"/>
  <c r="G908" i="44"/>
  <c r="I908" i="44" s="1"/>
  <c r="G126" i="44"/>
  <c r="G9" i="44"/>
  <c r="I9" i="44" s="1"/>
  <c r="G167" i="44"/>
  <c r="I167" i="44" s="1"/>
  <c r="G30" i="47"/>
  <c r="I30" i="47" s="1"/>
  <c r="G49" i="125"/>
  <c r="I49" i="125" s="1"/>
  <c r="G903" i="44"/>
  <c r="I903" i="44" s="1"/>
  <c r="G19" i="43"/>
  <c r="I19" i="43" s="1"/>
  <c r="G57" i="43"/>
  <c r="I57" i="43" s="1"/>
  <c r="L49" i="138"/>
  <c r="L47" i="138"/>
  <c r="F31" i="125"/>
  <c r="F243" i="44"/>
  <c r="F21" i="43"/>
  <c r="F23" i="43"/>
  <c r="F161" i="136"/>
  <c r="F810" i="44"/>
  <c r="F808" i="44"/>
  <c r="F807" i="44"/>
  <c r="F806" i="44"/>
  <c r="G83" i="47" l="1"/>
  <c r="I83" i="47" s="1"/>
  <c r="G82" i="48"/>
  <c r="I82" i="48" s="1"/>
  <c r="G82" i="44"/>
  <c r="I82" i="44" s="1"/>
  <c r="I126" i="44"/>
  <c r="G86" i="98"/>
  <c r="I86" i="98" s="1"/>
  <c r="I31" i="98"/>
  <c r="G97" i="98"/>
  <c r="I46" i="48"/>
  <c r="G79" i="48"/>
  <c r="G70" i="48"/>
  <c r="I70" i="48" s="1"/>
  <c r="G11" i="98"/>
  <c r="I11" i="98" s="1"/>
  <c r="G23" i="98"/>
  <c r="I23" i="98" s="1"/>
  <c r="G88" i="98"/>
  <c r="I26" i="98"/>
  <c r="I18" i="125"/>
  <c r="G23" i="125"/>
  <c r="G73" i="125" s="1"/>
  <c r="I73" i="125" s="1"/>
  <c r="I172" i="136"/>
  <c r="G173" i="136"/>
  <c r="I173" i="136" s="1"/>
  <c r="G217" i="136"/>
  <c r="G737" i="135"/>
  <c r="I17" i="98"/>
  <c r="I42" i="98"/>
  <c r="I34" i="98"/>
  <c r="I185" i="136"/>
  <c r="G87" i="98"/>
  <c r="I87" i="98" s="1"/>
  <c r="I27" i="98"/>
  <c r="G89" i="98"/>
  <c r="F21" i="115"/>
  <c r="F31" i="115" s="1"/>
  <c r="G235" i="136"/>
  <c r="M51" i="115"/>
  <c r="M55" i="115" s="1"/>
  <c r="G148" i="98"/>
  <c r="I148" i="98" s="1"/>
  <c r="F106" i="98"/>
  <c r="G724" i="44"/>
  <c r="I724" i="44" s="1"/>
  <c r="G909" i="44"/>
  <c r="I909" i="44" s="1"/>
  <c r="G104" i="47"/>
  <c r="I104" i="47" s="1"/>
  <c r="G113" i="47"/>
  <c r="G63" i="43"/>
  <c r="I63" i="43" s="1"/>
  <c r="F114" i="136"/>
  <c r="F22" i="43"/>
  <c r="F100" i="98"/>
  <c r="F99" i="136"/>
  <c r="F14" i="136"/>
  <c r="F74" i="47"/>
  <c r="F75" i="47"/>
  <c r="F43" i="43"/>
  <c r="F46" i="43"/>
  <c r="F13" i="136"/>
  <c r="F12" i="136"/>
  <c r="E9" i="115"/>
  <c r="F11" i="136"/>
  <c r="F24" i="136"/>
  <c r="F27" i="136"/>
  <c r="F31" i="136"/>
  <c r="F45" i="136"/>
  <c r="F55" i="136"/>
  <c r="F62" i="136"/>
  <c r="F66" i="136"/>
  <c r="F69" i="136"/>
  <c r="F82" i="136"/>
  <c r="F89" i="136"/>
  <c r="F242" i="136" s="1"/>
  <c r="E38" i="115" s="1"/>
  <c r="F102" i="136"/>
  <c r="F106" i="136"/>
  <c r="F112" i="136"/>
  <c r="F118" i="136"/>
  <c r="F127" i="136"/>
  <c r="F131" i="136"/>
  <c r="F132" i="136"/>
  <c r="F154" i="136"/>
  <c r="F158" i="136"/>
  <c r="F162" i="136"/>
  <c r="F165" i="136"/>
  <c r="F215" i="136"/>
  <c r="F216" i="136"/>
  <c r="F218" i="136"/>
  <c r="E12" i="115" s="1"/>
  <c r="F219" i="136"/>
  <c r="E13" i="115" s="1"/>
  <c r="F228" i="136"/>
  <c r="F239" i="136"/>
  <c r="F240" i="136"/>
  <c r="E36" i="115" s="1"/>
  <c r="F241" i="136"/>
  <c r="E37" i="115" s="1"/>
  <c r="F250" i="136"/>
  <c r="F257" i="136"/>
  <c r="G133" i="98" l="1"/>
  <c r="I133" i="98" s="1"/>
  <c r="G64" i="125"/>
  <c r="I64" i="125" s="1"/>
  <c r="G190" i="136"/>
  <c r="I190" i="136" s="1"/>
  <c r="I217" i="136"/>
  <c r="F10" i="115"/>
  <c r="F15" i="115" s="1"/>
  <c r="F34" i="115" s="1"/>
  <c r="F59" i="115" s="1"/>
  <c r="G220" i="136"/>
  <c r="I220" i="136" s="1"/>
  <c r="G210" i="136"/>
  <c r="I210" i="136" s="1"/>
  <c r="I89" i="98"/>
  <c r="G136" i="98"/>
  <c r="I23" i="125"/>
  <c r="G68" i="125"/>
  <c r="G749" i="135"/>
  <c r="I79" i="48"/>
  <c r="G55" i="98"/>
  <c r="G81" i="48"/>
  <c r="I81" i="48" s="1"/>
  <c r="I235" i="136"/>
  <c r="G134" i="98"/>
  <c r="G142" i="98"/>
  <c r="I97" i="98"/>
  <c r="I113" i="47"/>
  <c r="G47" i="98"/>
  <c r="I88" i="98"/>
  <c r="G135" i="98"/>
  <c r="M7" i="115"/>
  <c r="F221" i="136"/>
  <c r="E16" i="115" s="1"/>
  <c r="G115" i="47"/>
  <c r="I115" i="47" s="1"/>
  <c r="G64" i="43"/>
  <c r="F142" i="136"/>
  <c r="F222" i="136"/>
  <c r="E35" i="115"/>
  <c r="F116" i="136"/>
  <c r="F108" i="136"/>
  <c r="F95" i="136"/>
  <c r="F97" i="136"/>
  <c r="E11" i="115"/>
  <c r="F248" i="136"/>
  <c r="F223" i="136"/>
  <c r="E23" i="115"/>
  <c r="F61" i="136"/>
  <c r="E53" i="115"/>
  <c r="F255" i="136"/>
  <c r="F43" i="136"/>
  <c r="F10" i="136"/>
  <c r="F119" i="136"/>
  <c r="F711" i="135"/>
  <c r="F710" i="135"/>
  <c r="F709" i="135"/>
  <c r="F688" i="135"/>
  <c r="F671" i="135"/>
  <c r="F666" i="135"/>
  <c r="F635" i="135"/>
  <c r="F571" i="135"/>
  <c r="F560" i="135"/>
  <c r="F559" i="135"/>
  <c r="F558" i="135"/>
  <c r="F553" i="135"/>
  <c r="E553" i="135"/>
  <c r="G238" i="136" l="1"/>
  <c r="I238" i="136" s="1"/>
  <c r="I142" i="98"/>
  <c r="M39" i="115"/>
  <c r="I64" i="43"/>
  <c r="I68" i="125"/>
  <c r="G70" i="125"/>
  <c r="I70" i="125" s="1"/>
  <c r="G37" i="98"/>
  <c r="I47" i="98"/>
  <c r="G96" i="98"/>
  <c r="G41" i="98"/>
  <c r="I41" i="98" s="1"/>
  <c r="M8" i="115"/>
  <c r="I134" i="98"/>
  <c r="G261" i="136"/>
  <c r="I261" i="136" s="1"/>
  <c r="M9" i="115"/>
  <c r="I135" i="98"/>
  <c r="I55" i="98"/>
  <c r="G50" i="98"/>
  <c r="I50" i="98" s="1"/>
  <c r="G95" i="98"/>
  <c r="M10" i="115"/>
  <c r="I136" i="98"/>
  <c r="E21" i="145"/>
  <c r="E9" i="145"/>
  <c r="E17" i="115"/>
  <c r="F245" i="136"/>
  <c r="G116" i="47"/>
  <c r="I116" i="47" s="1"/>
  <c r="F71" i="136"/>
  <c r="F101" i="136"/>
  <c r="F147" i="136"/>
  <c r="F224" i="136"/>
  <c r="E18" i="115"/>
  <c r="E50" i="115"/>
  <c r="E45" i="115"/>
  <c r="F22" i="136"/>
  <c r="F214" i="136"/>
  <c r="F522" i="135"/>
  <c r="F523" i="135"/>
  <c r="F524" i="135"/>
  <c r="F516" i="135"/>
  <c r="F505" i="135"/>
  <c r="F501" i="135"/>
  <c r="F468" i="135"/>
  <c r="D470" i="135"/>
  <c r="F449" i="135"/>
  <c r="F438" i="135"/>
  <c r="F435" i="135"/>
  <c r="F447" i="135"/>
  <c r="F446" i="135"/>
  <c r="F436" i="135"/>
  <c r="F407" i="135"/>
  <c r="F390" i="135"/>
  <c r="F389" i="135"/>
  <c r="F404" i="135"/>
  <c r="F410" i="135"/>
  <c r="F388" i="135"/>
  <c r="F381" i="135"/>
  <c r="F380" i="135"/>
  <c r="F379" i="135"/>
  <c r="F373" i="135"/>
  <c r="F374" i="135"/>
  <c r="F365" i="135"/>
  <c r="F362" i="135"/>
  <c r="F361" i="135"/>
  <c r="F359" i="135"/>
  <c r="F357" i="135"/>
  <c r="F358" i="135"/>
  <c r="E334" i="135"/>
  <c r="F334" i="135"/>
  <c r="D334" i="135"/>
  <c r="F333" i="135"/>
  <c r="E333" i="135"/>
  <c r="D333" i="135"/>
  <c r="F330" i="135"/>
  <c r="F329" i="135"/>
  <c r="E329" i="135"/>
  <c r="D329" i="135"/>
  <c r="D319" i="135"/>
  <c r="E319" i="135"/>
  <c r="F319" i="135"/>
  <c r="F312" i="135"/>
  <c r="F308" i="135"/>
  <c r="F307" i="135"/>
  <c r="F306" i="135"/>
  <c r="F16" i="98"/>
  <c r="F45" i="98"/>
  <c r="F54" i="98"/>
  <c r="F62" i="98"/>
  <c r="F66" i="98"/>
  <c r="F68" i="98"/>
  <c r="F70" i="98"/>
  <c r="F72" i="98"/>
  <c r="F75" i="98"/>
  <c r="F110" i="98"/>
  <c r="F126" i="98"/>
  <c r="F144" i="98"/>
  <c r="F147" i="98"/>
  <c r="F149" i="98"/>
  <c r="L56" i="115" s="1"/>
  <c r="L57" i="115" s="1"/>
  <c r="F301" i="135"/>
  <c r="F297" i="135"/>
  <c r="F274" i="135"/>
  <c r="F273" i="135"/>
  <c r="F272" i="135"/>
  <c r="F267" i="135"/>
  <c r="F263" i="135"/>
  <c r="F240" i="135"/>
  <c r="F239" i="135"/>
  <c r="F238" i="135"/>
  <c r="F233" i="135"/>
  <c r="F229" i="135"/>
  <c r="F206" i="135"/>
  <c r="F205" i="135"/>
  <c r="F204" i="135"/>
  <c r="F199" i="135"/>
  <c r="F195" i="135"/>
  <c r="F176" i="135"/>
  <c r="F172" i="135"/>
  <c r="F171" i="135"/>
  <c r="F170" i="135"/>
  <c r="F165" i="135"/>
  <c r="F150" i="98" l="1"/>
  <c r="I95" i="98"/>
  <c r="G98" i="98"/>
  <c r="I98" i="98" s="1"/>
  <c r="G140" i="98"/>
  <c r="I37" i="98"/>
  <c r="G90" i="98"/>
  <c r="G33" i="98"/>
  <c r="I33" i="98" s="1"/>
  <c r="I96" i="98"/>
  <c r="G141" i="98"/>
  <c r="E19" i="115"/>
  <c r="E41" i="115"/>
  <c r="F464" i="135"/>
  <c r="L49" i="115"/>
  <c r="F84" i="136"/>
  <c r="F110" i="136"/>
  <c r="F167" i="136"/>
  <c r="L50" i="115"/>
  <c r="F470" i="135"/>
  <c r="E8" i="115"/>
  <c r="F161" i="135"/>
  <c r="F142" i="135"/>
  <c r="F138" i="135"/>
  <c r="F137" i="135"/>
  <c r="F136" i="135"/>
  <c r="F131" i="135"/>
  <c r="F127" i="135"/>
  <c r="F107" i="135"/>
  <c r="F103" i="135"/>
  <c r="F101" i="135"/>
  <c r="F96" i="135"/>
  <c r="F67" i="135"/>
  <c r="F69" i="135"/>
  <c r="F62" i="135"/>
  <c r="F32" i="135"/>
  <c r="F27" i="135"/>
  <c r="F28" i="135" s="1"/>
  <c r="F23" i="135"/>
  <c r="F34" i="135"/>
  <c r="F33" i="135"/>
  <c r="F38" i="135"/>
  <c r="F41" i="135" s="1"/>
  <c r="F68" i="135"/>
  <c r="F76" i="135"/>
  <c r="F102" i="135"/>
  <c r="F166" i="135"/>
  <c r="F175" i="135"/>
  <c r="F198" i="135"/>
  <c r="F209" i="135"/>
  <c r="F213" i="135"/>
  <c r="F234" i="135"/>
  <c r="F236" i="135"/>
  <c r="F244" i="135"/>
  <c r="F277" i="135"/>
  <c r="F281" i="135"/>
  <c r="F302" i="135"/>
  <c r="F315" i="135"/>
  <c r="F320" i="135"/>
  <c r="F459" i="135" s="1"/>
  <c r="F338" i="135"/>
  <c r="F345" i="135"/>
  <c r="F489" i="135" s="1"/>
  <c r="F356" i="135"/>
  <c r="F370" i="135"/>
  <c r="F474" i="135" s="1"/>
  <c r="F738" i="135" s="1"/>
  <c r="F375" i="135"/>
  <c r="F393" i="135"/>
  <c r="F396" i="135"/>
  <c r="F402" i="135"/>
  <c r="F406" i="135"/>
  <c r="F411" i="135"/>
  <c r="F413" i="135"/>
  <c r="F414" i="135"/>
  <c r="F416" i="135"/>
  <c r="F423" i="135"/>
  <c r="F439" i="135"/>
  <c r="F440" i="135"/>
  <c r="F462" i="135"/>
  <c r="F463" i="135"/>
  <c r="F465" i="135"/>
  <c r="F466" i="135"/>
  <c r="F467" i="135"/>
  <c r="F469" i="135"/>
  <c r="F478" i="135"/>
  <c r="F480" i="135"/>
  <c r="F482" i="135"/>
  <c r="F488" i="135"/>
  <c r="F500" i="135"/>
  <c r="F504" i="135"/>
  <c r="F518" i="135"/>
  <c r="F531" i="135"/>
  <c r="F547" i="135"/>
  <c r="F563" i="135"/>
  <c r="F567" i="135"/>
  <c r="F574" i="135"/>
  <c r="F578" i="135"/>
  <c r="F579" i="135"/>
  <c r="F580" i="135"/>
  <c r="F732" i="135" s="1"/>
  <c r="F581" i="135"/>
  <c r="F582" i="135"/>
  <c r="F584" i="135"/>
  <c r="F736" i="135" s="1"/>
  <c r="F586" i="135"/>
  <c r="F588" i="135"/>
  <c r="F589" i="135"/>
  <c r="F590" i="135"/>
  <c r="F591" i="135"/>
  <c r="F593" i="135"/>
  <c r="F594" i="135" s="1"/>
  <c r="F596" i="135"/>
  <c r="F598" i="135"/>
  <c r="F599" i="135"/>
  <c r="F600" i="135"/>
  <c r="F602" i="135"/>
  <c r="F603" i="135"/>
  <c r="F612" i="135"/>
  <c r="F628" i="135"/>
  <c r="F633" i="135"/>
  <c r="F634" i="135"/>
  <c r="F639" i="135"/>
  <c r="F643" i="135"/>
  <c r="F649" i="135"/>
  <c r="F672" i="135"/>
  <c r="F673" i="135"/>
  <c r="F677" i="135"/>
  <c r="F680" i="135" s="1"/>
  <c r="F684" i="135"/>
  <c r="F686" i="135"/>
  <c r="F689" i="135"/>
  <c r="F690" i="135"/>
  <c r="F696" i="135"/>
  <c r="F704" i="135"/>
  <c r="F715" i="135"/>
  <c r="F739" i="135"/>
  <c r="F753" i="135"/>
  <c r="F743" i="135" l="1"/>
  <c r="M38" i="115"/>
  <c r="I141" i="98"/>
  <c r="G137" i="98"/>
  <c r="I90" i="98"/>
  <c r="G92" i="98"/>
  <c r="I140" i="98"/>
  <c r="M37" i="115"/>
  <c r="M48" i="115" s="1"/>
  <c r="G143" i="98"/>
  <c r="I143" i="98" s="1"/>
  <c r="F747" i="135"/>
  <c r="F207" i="136" s="1"/>
  <c r="F745" i="135"/>
  <c r="F105" i="98" s="1"/>
  <c r="F339" i="135"/>
  <c r="F145" i="135"/>
  <c r="F132" i="135"/>
  <c r="F135" i="135" s="1"/>
  <c r="F605" i="135"/>
  <c r="F63" i="135"/>
  <c r="F37" i="135"/>
  <c r="F42" i="135" s="1"/>
  <c r="F754" i="135"/>
  <c r="F121" i="136"/>
  <c r="F193" i="136"/>
  <c r="F182" i="136"/>
  <c r="F483" i="135"/>
  <c r="F341" i="135"/>
  <c r="F199" i="136"/>
  <c r="F629" i="135"/>
  <c r="F475" i="135"/>
  <c r="F740" i="135" s="1"/>
  <c r="F741" i="135" s="1"/>
  <c r="F335" i="135"/>
  <c r="F72" i="135"/>
  <c r="F722" i="135"/>
  <c r="F734" i="135"/>
  <c r="F730" i="135"/>
  <c r="F676" i="135"/>
  <c r="F187" i="136"/>
  <c r="F120" i="98"/>
  <c r="F724" i="135"/>
  <c r="F718" i="135"/>
  <c r="F659" i="135"/>
  <c r="F726" i="135"/>
  <c r="F366" i="135"/>
  <c r="F568" i="135"/>
  <c r="F667" i="135"/>
  <c r="F587" i="135"/>
  <c r="F214" i="135"/>
  <c r="F110" i="135"/>
  <c r="F141" i="135"/>
  <c r="F685" i="135"/>
  <c r="F554" i="135"/>
  <c r="F577" i="135"/>
  <c r="F733" i="135"/>
  <c r="F460" i="135"/>
  <c r="F415" i="135"/>
  <c r="F237" i="135"/>
  <c r="F200" i="135"/>
  <c r="F97" i="135"/>
  <c r="F622" i="135"/>
  <c r="F549" i="135"/>
  <c r="F527" i="135"/>
  <c r="F385" i="135"/>
  <c r="F384" i="135"/>
  <c r="F332" i="135"/>
  <c r="F311" i="135"/>
  <c r="F282" i="135"/>
  <c r="F268" i="135"/>
  <c r="F243" i="135"/>
  <c r="F342" i="135"/>
  <c r="F714" i="135"/>
  <c r="F705" i="135"/>
  <c r="F687" i="135"/>
  <c r="F638" i="135"/>
  <c r="F592" i="135"/>
  <c r="F597" i="135"/>
  <c r="F573" i="135"/>
  <c r="F731" i="135"/>
  <c r="F461" i="135"/>
  <c r="F305" i="135"/>
  <c r="F247" i="135"/>
  <c r="F31" i="135"/>
  <c r="F106" i="135"/>
  <c r="F169" i="135"/>
  <c r="F343" i="135"/>
  <c r="F347" i="135"/>
  <c r="F727" i="135"/>
  <c r="F510" i="135"/>
  <c r="F336" i="135"/>
  <c r="F179" i="135"/>
  <c r="F26" i="43"/>
  <c r="F27" i="43"/>
  <c r="F16" i="43"/>
  <c r="F15" i="43"/>
  <c r="F10" i="43"/>
  <c r="F11" i="43"/>
  <c r="F12" i="43"/>
  <c r="F28" i="43"/>
  <c r="F61" i="43" s="1"/>
  <c r="F55" i="43"/>
  <c r="F17" i="125"/>
  <c r="F873" i="44"/>
  <c r="F49" i="44"/>
  <c r="F792" i="44"/>
  <c r="F344" i="44"/>
  <c r="F305" i="44"/>
  <c r="F113" i="44"/>
  <c r="F90" i="44"/>
  <c r="F817" i="44"/>
  <c r="F816" i="44"/>
  <c r="F815" i="44"/>
  <c r="F795" i="44"/>
  <c r="F790" i="44"/>
  <c r="F759" i="44"/>
  <c r="F756" i="44"/>
  <c r="F705" i="44"/>
  <c r="F703" i="44"/>
  <c r="F702" i="44"/>
  <c r="F701" i="44"/>
  <c r="F387" i="44"/>
  <c r="F275" i="44"/>
  <c r="F279" i="44"/>
  <c r="F277" i="44"/>
  <c r="F276" i="44"/>
  <c r="F267" i="44"/>
  <c r="F272" i="44"/>
  <c r="F269" i="44"/>
  <c r="F266" i="44"/>
  <c r="F265" i="44"/>
  <c r="F253" i="44"/>
  <c r="F251" i="44"/>
  <c r="F250" i="44"/>
  <c r="F249" i="44"/>
  <c r="F246" i="44"/>
  <c r="F242" i="44"/>
  <c r="F241" i="44"/>
  <c r="F78" i="44"/>
  <c r="F77" i="44"/>
  <c r="F21" i="44"/>
  <c r="F13" i="44"/>
  <c r="F23" i="44"/>
  <c r="F31" i="44"/>
  <c r="F40" i="44"/>
  <c r="F45" i="44" s="1"/>
  <c r="F59" i="44"/>
  <c r="F67" i="44"/>
  <c r="F71" i="44"/>
  <c r="F95" i="44"/>
  <c r="F103" i="44"/>
  <c r="F109" i="44" s="1"/>
  <c r="F121" i="44"/>
  <c r="F125" i="44" s="1"/>
  <c r="F130" i="44"/>
  <c r="F138" i="44"/>
  <c r="F146" i="44"/>
  <c r="F158" i="44"/>
  <c r="F166" i="44"/>
  <c r="F171" i="44"/>
  <c r="F172" i="44"/>
  <c r="F177" i="44"/>
  <c r="F178" i="44"/>
  <c r="F179" i="44"/>
  <c r="F190" i="44"/>
  <c r="F195" i="44"/>
  <c r="F196" i="44"/>
  <c r="F198" i="44"/>
  <c r="F204" i="44"/>
  <c r="F213" i="44"/>
  <c r="F222" i="44"/>
  <c r="F230" i="44"/>
  <c r="F231" i="44"/>
  <c r="F232" i="44"/>
  <c r="F259" i="44"/>
  <c r="F291" i="44"/>
  <c r="F295" i="44"/>
  <c r="F303" i="44"/>
  <c r="F322" i="44"/>
  <c r="F335" i="44"/>
  <c r="F352" i="44"/>
  <c r="F362" i="44"/>
  <c r="F383" i="44"/>
  <c r="F401" i="44"/>
  <c r="F423" i="44"/>
  <c r="F453" i="44"/>
  <c r="F455" i="44" s="1"/>
  <c r="F464" i="44"/>
  <c r="F469" i="44"/>
  <c r="F471" i="44"/>
  <c r="F492" i="44"/>
  <c r="F497" i="44"/>
  <c r="F510" i="44"/>
  <c r="F514" i="44"/>
  <c r="F524" i="44"/>
  <c r="F532" i="44"/>
  <c r="F540" i="44"/>
  <c r="F548" i="44"/>
  <c r="F556" i="44"/>
  <c r="F564" i="44"/>
  <c r="F572" i="44"/>
  <c r="F575" i="44"/>
  <c r="F580" i="44"/>
  <c r="F595" i="44"/>
  <c r="F603" i="44"/>
  <c r="F616" i="44"/>
  <c r="F620" i="44"/>
  <c r="F629" i="44"/>
  <c r="F641" i="44"/>
  <c r="F645" i="44"/>
  <c r="F653" i="44"/>
  <c r="F661" i="44"/>
  <c r="F673" i="44"/>
  <c r="F677" i="44"/>
  <c r="F685" i="44"/>
  <c r="F694" i="44"/>
  <c r="F723" i="44"/>
  <c r="F752" i="44"/>
  <c r="F765" i="44"/>
  <c r="F779" i="44"/>
  <c r="F787" i="44"/>
  <c r="F791" i="44"/>
  <c r="F804" i="44"/>
  <c r="F829" i="44"/>
  <c r="F837" i="44"/>
  <c r="F853" i="44"/>
  <c r="F887" i="44"/>
  <c r="F891" i="44"/>
  <c r="F906" i="44"/>
  <c r="F30" i="98" s="1"/>
  <c r="F40" i="125"/>
  <c r="F10" i="125"/>
  <c r="F20" i="125"/>
  <c r="F67" i="125" s="1"/>
  <c r="F21" i="125"/>
  <c r="F19" i="125" s="1"/>
  <c r="F22" i="125"/>
  <c r="F29" i="125"/>
  <c r="F35" i="125"/>
  <c r="F32" i="125" s="1"/>
  <c r="F45" i="125"/>
  <c r="F65" i="125" s="1"/>
  <c r="F34" i="98" s="1"/>
  <c r="F46" i="125"/>
  <c r="F66" i="125" s="1"/>
  <c r="F35" i="98" s="1"/>
  <c r="F55" i="125"/>
  <c r="F59" i="125"/>
  <c r="F61" i="125"/>
  <c r="F62" i="125"/>
  <c r="F82" i="47"/>
  <c r="F81" i="47"/>
  <c r="F37" i="47"/>
  <c r="F61" i="48"/>
  <c r="F60" i="48" s="1"/>
  <c r="F80" i="48"/>
  <c r="F57" i="98" s="1"/>
  <c r="F24" i="48"/>
  <c r="F11" i="47"/>
  <c r="F12" i="47"/>
  <c r="F14" i="47"/>
  <c r="F16" i="47"/>
  <c r="F19" i="47"/>
  <c r="F20" i="47"/>
  <c r="F24" i="47"/>
  <c r="F25" i="47"/>
  <c r="F29" i="47"/>
  <c r="F26" i="47" s="1"/>
  <c r="F33" i="47"/>
  <c r="F36" i="47"/>
  <c r="F41" i="47"/>
  <c r="F43" i="47"/>
  <c r="F48" i="47"/>
  <c r="F51" i="47"/>
  <c r="F52" i="47"/>
  <c r="F55" i="47"/>
  <c r="F59" i="47"/>
  <c r="F60" i="47"/>
  <c r="F64" i="47"/>
  <c r="F71" i="47"/>
  <c r="F79" i="47"/>
  <c r="F80" i="47"/>
  <c r="F86" i="47"/>
  <c r="F114" i="47"/>
  <c r="F48" i="48"/>
  <c r="F16" i="48"/>
  <c r="F14" i="48" s="1"/>
  <c r="F27" i="48"/>
  <c r="F28" i="48"/>
  <c r="F29" i="48"/>
  <c r="F32" i="48"/>
  <c r="F30" i="48" s="1"/>
  <c r="F35" i="48"/>
  <c r="F44" i="48"/>
  <c r="F42" i="48" s="1"/>
  <c r="F55" i="48"/>
  <c r="F67" i="48"/>
  <c r="F68" i="48"/>
  <c r="F72" i="48"/>
  <c r="F51" i="98" s="1"/>
  <c r="F73" i="48"/>
  <c r="F52" i="98" s="1"/>
  <c r="F19" i="49"/>
  <c r="L14" i="115" s="1"/>
  <c r="E12" i="49"/>
  <c r="E22" i="49"/>
  <c r="F29" i="43" l="1"/>
  <c r="M12" i="115"/>
  <c r="M34" i="115" s="1"/>
  <c r="M59" i="115" s="1"/>
  <c r="I137" i="98"/>
  <c r="G138" i="98"/>
  <c r="G112" i="98"/>
  <c r="I112" i="98" s="1"/>
  <c r="I92" i="98"/>
  <c r="F748" i="135"/>
  <c r="F543" i="44"/>
  <c r="F236" i="44"/>
  <c r="F599" i="44"/>
  <c r="F607" i="44"/>
  <c r="F535" i="44"/>
  <c r="F690" i="44"/>
  <c r="F175" i="44"/>
  <c r="F356" i="44"/>
  <c r="F192" i="44"/>
  <c r="F551" i="44"/>
  <c r="F770" i="44"/>
  <c r="F348" i="44"/>
  <c r="F699" i="44"/>
  <c r="F134" i="44"/>
  <c r="F527" i="44"/>
  <c r="F501" i="44"/>
  <c r="F63" i="44"/>
  <c r="F625" i="44"/>
  <c r="F263" i="44"/>
  <c r="F878" i="44"/>
  <c r="F99" i="44"/>
  <c r="F657" i="44"/>
  <c r="F339" i="44"/>
  <c r="F209" i="44"/>
  <c r="F54" i="44"/>
  <c r="F36" i="44"/>
  <c r="F681" i="44"/>
  <c r="F366" i="44"/>
  <c r="F227" i="44"/>
  <c r="F665" i="44"/>
  <c r="F218" i="44"/>
  <c r="F328" i="44"/>
  <c r="F150" i="44"/>
  <c r="F392" i="44"/>
  <c r="F907" i="44"/>
  <c r="F17" i="44"/>
  <c r="F895" i="44"/>
  <c r="F473" i="44"/>
  <c r="F308" i="44"/>
  <c r="F142" i="44"/>
  <c r="F117" i="44"/>
  <c r="F66" i="135"/>
  <c r="F121" i="98"/>
  <c r="F723" i="135"/>
  <c r="F77" i="135"/>
  <c r="F146" i="135"/>
  <c r="F485" i="135"/>
  <c r="F750" i="135" s="1"/>
  <c r="F56" i="47"/>
  <c r="F48" i="98"/>
  <c r="F107" i="47"/>
  <c r="F74" i="48"/>
  <c r="F53" i="98" s="1"/>
  <c r="F46" i="48"/>
  <c r="F62" i="47"/>
  <c r="F103" i="47"/>
  <c r="F18" i="125"/>
  <c r="F11" i="125"/>
  <c r="F428" i="44"/>
  <c r="L40" i="138"/>
  <c r="L51" i="138" s="1"/>
  <c r="F476" i="135"/>
  <c r="F583" i="135"/>
  <c r="F681" i="135"/>
  <c r="F661" i="135"/>
  <c r="F519" i="44"/>
  <c r="F15" i="98"/>
  <c r="F52" i="43"/>
  <c r="F37" i="125"/>
  <c r="F649" i="44"/>
  <c r="F567" i="44"/>
  <c r="F49" i="43"/>
  <c r="F180" i="136"/>
  <c r="F108" i="47"/>
  <c r="L13" i="115"/>
  <c r="F81" i="98"/>
  <c r="F183" i="136"/>
  <c r="F106" i="47"/>
  <c r="F455" i="135"/>
  <c r="F27" i="44"/>
  <c r="F559" i="44"/>
  <c r="F36" i="98"/>
  <c r="F633" i="44"/>
  <c r="F19" i="98"/>
  <c r="F208" i="136"/>
  <c r="F176" i="136"/>
  <c r="F184" i="136"/>
  <c r="F54" i="43"/>
  <c r="F172" i="136"/>
  <c r="F53" i="43"/>
  <c r="F188" i="136"/>
  <c r="F477" i="135"/>
  <c r="F232" i="136"/>
  <c r="F63" i="125"/>
  <c r="F273" i="44"/>
  <c r="F181" i="136"/>
  <c r="F57" i="48"/>
  <c r="F583" i="44"/>
  <c r="F200" i="44"/>
  <c r="F72" i="125"/>
  <c r="F200" i="136"/>
  <c r="F60" i="43"/>
  <c r="F177" i="136"/>
  <c r="F174" i="136"/>
  <c r="F196" i="136"/>
  <c r="F243" i="136"/>
  <c r="F194" i="136"/>
  <c r="F368" i="135"/>
  <c r="F512" i="135"/>
  <c r="F350" i="135"/>
  <c r="F486" i="135"/>
  <c r="F532" i="135"/>
  <c r="F492" i="135"/>
  <c r="F557" i="135"/>
  <c r="F248" i="135"/>
  <c r="F729" i="135"/>
  <c r="F601" i="135"/>
  <c r="F180" i="135"/>
  <c r="F725" i="135"/>
  <c r="F487" i="135"/>
  <c r="F471" i="135"/>
  <c r="F644" i="135"/>
  <c r="F624" i="135"/>
  <c r="F719" i="135"/>
  <c r="F203" i="135"/>
  <c r="F697" i="135"/>
  <c r="F271" i="135"/>
  <c r="F316" i="135"/>
  <c r="F728" i="135"/>
  <c r="F100" i="135"/>
  <c r="F111" i="135"/>
  <c r="F346" i="135"/>
  <c r="F491" i="135"/>
  <c r="F756" i="135" s="1"/>
  <c r="F337" i="135"/>
  <c r="F479" i="135"/>
  <c r="F59" i="43"/>
  <c r="F18" i="43"/>
  <c r="F81" i="44"/>
  <c r="F299" i="44"/>
  <c r="F91" i="44"/>
  <c r="F72" i="44"/>
  <c r="F902" i="44"/>
  <c r="F813" i="44"/>
  <c r="F796" i="44"/>
  <c r="F821" i="44"/>
  <c r="F905" i="44"/>
  <c r="F761" i="44"/>
  <c r="F707" i="44"/>
  <c r="F247" i="44"/>
  <c r="F898" i="44"/>
  <c r="F255" i="44"/>
  <c r="F283" i="44"/>
  <c r="F901" i="44"/>
  <c r="F900" i="44"/>
  <c r="F184" i="44"/>
  <c r="F899" i="44"/>
  <c r="F71" i="125"/>
  <c r="F44" i="125"/>
  <c r="F112" i="47"/>
  <c r="F22" i="47"/>
  <c r="F40" i="47"/>
  <c r="F68" i="47"/>
  <c r="F26" i="48"/>
  <c r="F64" i="48"/>
  <c r="F34" i="47"/>
  <c r="F78" i="47"/>
  <c r="F14" i="49"/>
  <c r="F82" i="98" s="1"/>
  <c r="F25" i="49"/>
  <c r="F83" i="98" s="1"/>
  <c r="K42" i="138"/>
  <c r="K56" i="138" s="1"/>
  <c r="K39" i="138"/>
  <c r="K38" i="138"/>
  <c r="G151" i="98" l="1"/>
  <c r="I151" i="98" s="1"/>
  <c r="I138" i="98"/>
  <c r="F318" i="44"/>
  <c r="F83" i="44"/>
  <c r="F31" i="98"/>
  <c r="F374" i="44"/>
  <c r="F9" i="44"/>
  <c r="F331" i="44"/>
  <c r="F126" i="44"/>
  <c r="F585" i="135"/>
  <c r="F456" i="135"/>
  <c r="F744" i="135"/>
  <c r="F43" i="98"/>
  <c r="F38" i="48"/>
  <c r="F30" i="47"/>
  <c r="F23" i="125"/>
  <c r="F55" i="44"/>
  <c r="F57" i="43"/>
  <c r="F249" i="136"/>
  <c r="F62" i="43"/>
  <c r="F231" i="136"/>
  <c r="F742" i="135"/>
  <c r="F670" i="135"/>
  <c r="F69" i="48"/>
  <c r="F82" i="48" s="1"/>
  <c r="F44" i="98"/>
  <c r="F233" i="136"/>
  <c r="F27" i="98"/>
  <c r="F179" i="136"/>
  <c r="E39" i="115"/>
  <c r="E40" i="115" s="1"/>
  <c r="F244" i="136"/>
  <c r="F234" i="136"/>
  <c r="F725" i="44"/>
  <c r="F225" i="136"/>
  <c r="F17" i="98"/>
  <c r="F12" i="98"/>
  <c r="F110" i="47"/>
  <c r="F178" i="136"/>
  <c r="F230" i="136"/>
  <c r="F173" i="136"/>
  <c r="F217" i="136"/>
  <c r="F14" i="98"/>
  <c r="F91" i="98"/>
  <c r="F465" i="44"/>
  <c r="F13" i="98"/>
  <c r="F46" i="98"/>
  <c r="F24" i="98"/>
  <c r="F259" i="136"/>
  <c r="F42" i="98"/>
  <c r="F49" i="125"/>
  <c r="F197" i="136"/>
  <c r="F246" i="136"/>
  <c r="F69" i="125"/>
  <c r="F236" i="136"/>
  <c r="F26" i="98"/>
  <c r="F908" i="44"/>
  <c r="F29" i="98"/>
  <c r="F175" i="136"/>
  <c r="F18" i="98"/>
  <c r="E27" i="115"/>
  <c r="F28" i="98"/>
  <c r="F38" i="98"/>
  <c r="F25" i="98"/>
  <c r="F19" i="43"/>
  <c r="F378" i="135"/>
  <c r="F39" i="98"/>
  <c r="F124" i="98"/>
  <c r="F117" i="98"/>
  <c r="F473" i="135"/>
  <c r="F752" i="135"/>
  <c r="F606" i="135"/>
  <c r="F521" i="135"/>
  <c r="F490" i="135"/>
  <c r="F699" i="135"/>
  <c r="F632" i="135"/>
  <c r="F735" i="135"/>
  <c r="F494" i="135"/>
  <c r="F340" i="135"/>
  <c r="F351" i="135"/>
  <c r="F757" i="135"/>
  <c r="F751" i="135"/>
  <c r="F481" i="135"/>
  <c r="F8" i="43"/>
  <c r="F788" i="44"/>
  <c r="F73" i="44"/>
  <c r="F167" i="44"/>
  <c r="F903" i="44"/>
  <c r="F228" i="44"/>
  <c r="F67" i="47"/>
  <c r="F76" i="48"/>
  <c r="E107" i="135"/>
  <c r="E102" i="135"/>
  <c r="E101" i="135"/>
  <c r="E96" i="135"/>
  <c r="E416" i="135"/>
  <c r="E46" i="125"/>
  <c r="E68" i="48"/>
  <c r="E67" i="48"/>
  <c r="E44" i="48"/>
  <c r="E28" i="48"/>
  <c r="E27" i="48"/>
  <c r="E16" i="48"/>
  <c r="E48" i="47"/>
  <c r="E71" i="47"/>
  <c r="F68" i="125" l="1"/>
  <c r="F37" i="98" s="1"/>
  <c r="F90" i="98" s="1"/>
  <c r="F82" i="44"/>
  <c r="F595" i="135"/>
  <c r="F70" i="48"/>
  <c r="F97" i="98"/>
  <c r="F89" i="98"/>
  <c r="F73" i="125"/>
  <c r="F64" i="125"/>
  <c r="F63" i="43"/>
  <c r="F64" i="43" s="1"/>
  <c r="F87" i="98"/>
  <c r="F11" i="98"/>
  <c r="F86" i="98"/>
  <c r="E42" i="115"/>
  <c r="E44" i="115" s="1"/>
  <c r="F247" i="136"/>
  <c r="F88" i="98"/>
  <c r="F227" i="136"/>
  <c r="E10" i="115"/>
  <c r="E15" i="115" s="1"/>
  <c r="F220" i="136"/>
  <c r="F23" i="98"/>
  <c r="F724" i="44"/>
  <c r="E25" i="115"/>
  <c r="E26" i="115"/>
  <c r="E29" i="115"/>
  <c r="E56" i="115"/>
  <c r="E57" i="115" s="1"/>
  <c r="F260" i="136"/>
  <c r="F83" i="47"/>
  <c r="F909" i="44"/>
  <c r="F204" i="136"/>
  <c r="F237" i="136"/>
  <c r="E32" i="115"/>
  <c r="E33" i="115" s="1"/>
  <c r="E30" i="115"/>
  <c r="E46" i="115"/>
  <c r="E47" i="115" s="1"/>
  <c r="F251" i="136"/>
  <c r="F229" i="136"/>
  <c r="F226" i="136"/>
  <c r="F185" i="136"/>
  <c r="E20" i="115"/>
  <c r="F203" i="136"/>
  <c r="F125" i="98"/>
  <c r="F104" i="98"/>
  <c r="F119" i="98"/>
  <c r="F118" i="98"/>
  <c r="F495" i="135"/>
  <c r="F759" i="135"/>
  <c r="F737" i="135"/>
  <c r="F708" i="135"/>
  <c r="F484" i="135"/>
  <c r="F746" i="135"/>
  <c r="F755" i="135"/>
  <c r="F70" i="125"/>
  <c r="E14" i="48"/>
  <c r="E74" i="48"/>
  <c r="F79" i="48"/>
  <c r="F55" i="98" s="1"/>
  <c r="E43" i="47"/>
  <c r="E41" i="47"/>
  <c r="E37" i="47"/>
  <c r="E36" i="47"/>
  <c r="E800" i="44"/>
  <c r="E799" i="44"/>
  <c r="E471" i="44"/>
  <c r="E469" i="44"/>
  <c r="E279" i="44"/>
  <c r="E276" i="44"/>
  <c r="E243" i="44"/>
  <c r="E198" i="44"/>
  <c r="E196" i="44"/>
  <c r="E71" i="44"/>
  <c r="E67" i="44"/>
  <c r="E23" i="44"/>
  <c r="E21" i="44"/>
  <c r="E18" i="145" l="1"/>
  <c r="F142" i="98"/>
  <c r="F136" i="98"/>
  <c r="F127" i="98"/>
  <c r="E48" i="115"/>
  <c r="F252" i="136"/>
  <c r="F113" i="47"/>
  <c r="E21" i="115"/>
  <c r="F235" i="136"/>
  <c r="F50" i="98"/>
  <c r="F205" i="136"/>
  <c r="F254" i="136"/>
  <c r="F253" i="136"/>
  <c r="F33" i="98"/>
  <c r="E24" i="115"/>
  <c r="F95" i="98"/>
  <c r="E22" i="115"/>
  <c r="F104" i="47"/>
  <c r="F133" i="98"/>
  <c r="F190" i="136"/>
  <c r="F122" i="98"/>
  <c r="F135" i="98"/>
  <c r="F134" i="98"/>
  <c r="F749" i="135"/>
  <c r="F760" i="135"/>
  <c r="F81" i="48"/>
  <c r="E46" i="43"/>
  <c r="E43" i="43"/>
  <c r="E12" i="43"/>
  <c r="E11" i="43"/>
  <c r="E10" i="43"/>
  <c r="E86" i="47"/>
  <c r="E59" i="47"/>
  <c r="E55" i="47"/>
  <c r="L39" i="115" l="1"/>
  <c r="F137" i="98"/>
  <c r="F92" i="98"/>
  <c r="L10" i="115"/>
  <c r="L7" i="115"/>
  <c r="F238" i="136"/>
  <c r="E51" i="115"/>
  <c r="E103" i="47"/>
  <c r="E49" i="115"/>
  <c r="F258" i="136"/>
  <c r="L8" i="115"/>
  <c r="L9" i="115"/>
  <c r="F47" i="98"/>
  <c r="F115" i="47"/>
  <c r="F210" i="136"/>
  <c r="E31" i="115"/>
  <c r="F140" i="98"/>
  <c r="F129" i="98"/>
  <c r="E453" i="44"/>
  <c r="D453" i="44"/>
  <c r="E808" i="44"/>
  <c r="E765" i="44"/>
  <c r="E645" i="44"/>
  <c r="E423" i="44"/>
  <c r="E231" i="44"/>
  <c r="E230" i="44"/>
  <c r="E103" i="44"/>
  <c r="E45" i="125"/>
  <c r="E259" i="44"/>
  <c r="E56" i="47"/>
  <c r="E52" i="47"/>
  <c r="E82" i="47"/>
  <c r="E81" i="47"/>
  <c r="E74" i="47"/>
  <c r="E69" i="47"/>
  <c r="E34" i="47"/>
  <c r="E29" i="47"/>
  <c r="E26" i="47" s="1"/>
  <c r="E25" i="47"/>
  <c r="E24" i="47"/>
  <c r="E11" i="47"/>
  <c r="E35" i="125"/>
  <c r="E873" i="44"/>
  <c r="E795" i="44"/>
  <c r="E792" i="44"/>
  <c r="E305" i="44"/>
  <c r="E303" i="44"/>
  <c r="E269" i="44"/>
  <c r="E267" i="44"/>
  <c r="E266" i="44"/>
  <c r="E190" i="44"/>
  <c r="E172" i="44"/>
  <c r="E171" i="44"/>
  <c r="E439" i="135"/>
  <c r="E440" i="135"/>
  <c r="E414" i="135"/>
  <c r="E413" i="135"/>
  <c r="E406" i="135"/>
  <c r="E390" i="135"/>
  <c r="F261" i="136" l="1"/>
  <c r="F138" i="98"/>
  <c r="L12" i="115"/>
  <c r="L34" i="115" s="1"/>
  <c r="E34" i="115"/>
  <c r="E59" i="115" s="1"/>
  <c r="E55" i="115"/>
  <c r="F116" i="47"/>
  <c r="F41" i="98"/>
  <c r="F96" i="98"/>
  <c r="L37" i="115"/>
  <c r="E22" i="47"/>
  <c r="E112" i="47"/>
  <c r="E68" i="47"/>
  <c r="E108" i="47"/>
  <c r="E560" i="135"/>
  <c r="E559" i="135"/>
  <c r="E558" i="135"/>
  <c r="E393" i="135"/>
  <c r="E411" i="135"/>
  <c r="F141" i="98" l="1"/>
  <c r="F98" i="98"/>
  <c r="E345" i="135"/>
  <c r="E206" i="135"/>
  <c r="E172" i="135"/>
  <c r="E709" i="135"/>
  <c r="E710" i="135"/>
  <c r="E711" i="135"/>
  <c r="E715" i="135"/>
  <c r="E523" i="135"/>
  <c r="E522" i="135"/>
  <c r="E516" i="135"/>
  <c r="E396" i="135"/>
  <c r="E381" i="135"/>
  <c r="E380" i="135"/>
  <c r="E379" i="135"/>
  <c r="E373" i="135"/>
  <c r="L38" i="115" l="1"/>
  <c r="L48" i="115" s="1"/>
  <c r="L59" i="115" s="1"/>
  <c r="F143" i="98"/>
  <c r="F151" i="98" s="1"/>
  <c r="E307" i="135"/>
  <c r="E306" i="135"/>
  <c r="E301" i="135"/>
  <c r="E272" i="135"/>
  <c r="E273" i="135"/>
  <c r="E267" i="135"/>
  <c r="E239" i="135"/>
  <c r="E238" i="135"/>
  <c r="E233" i="135"/>
  <c r="E205" i="135"/>
  <c r="E204" i="135"/>
  <c r="E199" i="135"/>
  <c r="E198" i="135"/>
  <c r="E176" i="135"/>
  <c r="E171" i="135"/>
  <c r="E170" i="135"/>
  <c r="E165" i="135"/>
  <c r="E138" i="135"/>
  <c r="E142" i="135"/>
  <c r="E137" i="135"/>
  <c r="E136" i="135"/>
  <c r="E131" i="135"/>
  <c r="E68" i="135"/>
  <c r="E67" i="135"/>
  <c r="E62" i="135"/>
  <c r="E38" i="135"/>
  <c r="E33" i="135"/>
  <c r="E32" i="135"/>
  <c r="E27" i="135"/>
  <c r="E68" i="98"/>
  <c r="E100" i="98"/>
  <c r="E62" i="98"/>
  <c r="E407" i="135"/>
  <c r="E389" i="135"/>
  <c r="E423" i="135"/>
  <c r="E415" i="135" l="1"/>
  <c r="E467" i="135"/>
  <c r="E696" i="135" l="1"/>
  <c r="E359" i="135"/>
  <c r="E690" i="135"/>
  <c r="E689" i="135"/>
  <c r="E688" i="135"/>
  <c r="E686" i="135"/>
  <c r="E684" i="135"/>
  <c r="E114" i="136"/>
  <c r="E106" i="136"/>
  <c r="E13" i="136"/>
  <c r="E12" i="136" l="1"/>
  <c r="D60" i="47" l="1"/>
  <c r="D21" i="142" l="1"/>
  <c r="K46" i="138"/>
  <c r="K37" i="138"/>
  <c r="K48" i="138" s="1"/>
  <c r="K36" i="138"/>
  <c r="K54" i="138"/>
  <c r="K52" i="138"/>
  <c r="K45" i="138"/>
  <c r="K12" i="138"/>
  <c r="K50" i="138" s="1"/>
  <c r="K11" i="138"/>
  <c r="K49" i="138" s="1"/>
  <c r="K9" i="138"/>
  <c r="E383" i="44" l="1"/>
  <c r="E581" i="135" l="1"/>
  <c r="D581" i="135"/>
  <c r="C581" i="135"/>
  <c r="E469" i="135"/>
  <c r="D469" i="135"/>
  <c r="C469" i="135"/>
  <c r="E547" i="135"/>
  <c r="D547" i="135"/>
  <c r="C547" i="135"/>
  <c r="D733" i="135" l="1"/>
  <c r="D183" i="136" s="1"/>
  <c r="D233" i="136" s="1"/>
  <c r="C29" i="115" s="1"/>
  <c r="C733" i="135"/>
  <c r="C183" i="136" s="1"/>
  <c r="C233" i="136" s="1"/>
  <c r="B29" i="115" s="1"/>
  <c r="E733" i="135"/>
  <c r="E183" i="136" s="1"/>
  <c r="E233" i="136" l="1"/>
  <c r="D29" i="115" l="1"/>
  <c r="E73" i="48"/>
  <c r="E72" i="48"/>
  <c r="E64" i="48"/>
  <c r="E42" i="48"/>
  <c r="E69" i="48" l="1"/>
  <c r="E51" i="98"/>
  <c r="E52" i="98"/>
  <c r="K13" i="115" l="1"/>
  <c r="D9" i="115"/>
  <c r="E257" i="136"/>
  <c r="E255" i="136"/>
  <c r="E250" i="136"/>
  <c r="E241" i="136"/>
  <c r="E240" i="136"/>
  <c r="E239" i="136"/>
  <c r="E228" i="136"/>
  <c r="E219" i="136"/>
  <c r="E218" i="136"/>
  <c r="E216" i="136"/>
  <c r="E215" i="136"/>
  <c r="E165" i="136"/>
  <c r="E161" i="136"/>
  <c r="E158" i="136"/>
  <c r="E154" i="136"/>
  <c r="E132" i="136"/>
  <c r="E131" i="136"/>
  <c r="E127" i="136"/>
  <c r="E118" i="136"/>
  <c r="E112" i="136"/>
  <c r="E102" i="136"/>
  <c r="E97" i="136"/>
  <c r="E89" i="136"/>
  <c r="E82" i="136"/>
  <c r="E69" i="136"/>
  <c r="E66" i="136"/>
  <c r="E62" i="136"/>
  <c r="E55" i="136"/>
  <c r="E45" i="136"/>
  <c r="E31" i="136"/>
  <c r="E27" i="136"/>
  <c r="E24" i="136"/>
  <c r="E14" i="136"/>
  <c r="E11" i="136"/>
  <c r="E149" i="98"/>
  <c r="E150" i="98" s="1"/>
  <c r="E147" i="98"/>
  <c r="E144" i="98"/>
  <c r="E126" i="98"/>
  <c r="E110" i="98"/>
  <c r="E81" i="98"/>
  <c r="E75" i="98"/>
  <c r="E72" i="98"/>
  <c r="E70" i="98"/>
  <c r="E66" i="98"/>
  <c r="E57" i="98"/>
  <c r="E54" i="98"/>
  <c r="E45" i="98"/>
  <c r="E16" i="98"/>
  <c r="E753" i="135"/>
  <c r="E739" i="135"/>
  <c r="E738" i="135"/>
  <c r="E724" i="135"/>
  <c r="E718" i="135"/>
  <c r="E714" i="135"/>
  <c r="E704" i="135"/>
  <c r="E687" i="135"/>
  <c r="E685" i="135"/>
  <c r="E677" i="135"/>
  <c r="E673" i="135"/>
  <c r="E672" i="135"/>
  <c r="E671" i="135"/>
  <c r="E666" i="135"/>
  <c r="E649" i="135"/>
  <c r="E643" i="135"/>
  <c r="E639" i="135"/>
  <c r="E635" i="135"/>
  <c r="E634" i="135"/>
  <c r="E633" i="135"/>
  <c r="E628" i="135"/>
  <c r="E612" i="135"/>
  <c r="E603" i="135"/>
  <c r="E602" i="135"/>
  <c r="E600" i="135"/>
  <c r="E599" i="135"/>
  <c r="E593" i="135"/>
  <c r="E591" i="135"/>
  <c r="E589" i="135"/>
  <c r="E588" i="135"/>
  <c r="E586" i="135"/>
  <c r="E584" i="135"/>
  <c r="E582" i="135"/>
  <c r="E580" i="135"/>
  <c r="E579" i="135"/>
  <c r="E578" i="135"/>
  <c r="E567" i="135"/>
  <c r="E597" i="135"/>
  <c r="E554" i="135"/>
  <c r="E549" i="135"/>
  <c r="E531" i="135"/>
  <c r="E524" i="135"/>
  <c r="E596" i="135"/>
  <c r="E518" i="135"/>
  <c r="E504" i="135"/>
  <c r="E501" i="135"/>
  <c r="E500" i="135" s="1"/>
  <c r="E488" i="135"/>
  <c r="E480" i="135"/>
  <c r="E478" i="135"/>
  <c r="E470" i="135"/>
  <c r="E468" i="135"/>
  <c r="E466" i="135"/>
  <c r="E465" i="135"/>
  <c r="E464" i="135"/>
  <c r="E463" i="135"/>
  <c r="E462" i="135"/>
  <c r="E492" i="135"/>
  <c r="E402" i="135"/>
  <c r="E384" i="135"/>
  <c r="E375" i="135"/>
  <c r="E370" i="135"/>
  <c r="E356" i="135"/>
  <c r="E489" i="135"/>
  <c r="E338" i="135"/>
  <c r="E335" i="135"/>
  <c r="E320" i="135"/>
  <c r="E315" i="135"/>
  <c r="E308" i="135"/>
  <c r="E302" i="135"/>
  <c r="E281" i="135"/>
  <c r="E274" i="135"/>
  <c r="E268" i="135"/>
  <c r="E244" i="135"/>
  <c r="E240" i="135"/>
  <c r="E236" i="135"/>
  <c r="E234" i="135"/>
  <c r="E213" i="135"/>
  <c r="E209" i="135"/>
  <c r="E200" i="135"/>
  <c r="E179" i="135"/>
  <c r="E175" i="135"/>
  <c r="E166" i="135"/>
  <c r="E145" i="135"/>
  <c r="E141" i="135"/>
  <c r="E132" i="135"/>
  <c r="E110" i="135"/>
  <c r="E103" i="135"/>
  <c r="E97" i="135"/>
  <c r="E76" i="135"/>
  <c r="E69" i="135"/>
  <c r="E63" i="135"/>
  <c r="E41" i="135"/>
  <c r="E34" i="135"/>
  <c r="E342" i="135"/>
  <c r="E341" i="135"/>
  <c r="E28" i="135"/>
  <c r="E59" i="43"/>
  <c r="E55" i="43"/>
  <c r="E49" i="43"/>
  <c r="E28" i="43"/>
  <c r="E26" i="43"/>
  <c r="E23" i="43"/>
  <c r="E22" i="43"/>
  <c r="E21" i="43"/>
  <c r="E18" i="43"/>
  <c r="K55" i="138"/>
  <c r="K40" i="138"/>
  <c r="K47" i="138"/>
  <c r="K22" i="138"/>
  <c r="E241" i="44"/>
  <c r="E249" i="44"/>
  <c r="E598" i="135" l="1"/>
  <c r="E601" i="135" s="1"/>
  <c r="D37" i="115"/>
  <c r="K50" i="115"/>
  <c r="E8" i="43"/>
  <c r="D36" i="115"/>
  <c r="E162" i="136"/>
  <c r="F103" i="98"/>
  <c r="E52" i="43"/>
  <c r="E101" i="136"/>
  <c r="D11" i="115"/>
  <c r="E53" i="43"/>
  <c r="D12" i="115"/>
  <c r="K56" i="115"/>
  <c r="K57" i="115" s="1"/>
  <c r="E15" i="98"/>
  <c r="E54" i="43"/>
  <c r="E14" i="98" s="1"/>
  <c r="D23" i="115"/>
  <c r="E18" i="98"/>
  <c r="E106" i="98"/>
  <c r="E221" i="136"/>
  <c r="E116" i="136"/>
  <c r="D13" i="115"/>
  <c r="E60" i="43"/>
  <c r="E62" i="43" s="1"/>
  <c r="E222" i="136"/>
  <c r="E119" i="136"/>
  <c r="E61" i="43"/>
  <c r="D35" i="115"/>
  <c r="E169" i="135"/>
  <c r="E214" i="135"/>
  <c r="E243" i="135"/>
  <c r="E577" i="135"/>
  <c r="E729" i="135" s="1"/>
  <c r="E622" i="135"/>
  <c r="E667" i="135"/>
  <c r="E680" i="135"/>
  <c r="E193" i="136"/>
  <c r="E243" i="136" s="1"/>
  <c r="E100" i="135"/>
  <c r="E31" i="135"/>
  <c r="E135" i="135"/>
  <c r="E247" i="135"/>
  <c r="E459" i="135"/>
  <c r="E722" i="135" s="1"/>
  <c r="E366" i="135"/>
  <c r="E385" i="135"/>
  <c r="E629" i="135"/>
  <c r="E676" i="135"/>
  <c r="E199" i="136"/>
  <c r="E237" i="135"/>
  <c r="E271" i="135"/>
  <c r="E305" i="135"/>
  <c r="E477" i="135"/>
  <c r="E742" i="135" s="1"/>
  <c r="E475" i="135"/>
  <c r="E740" i="135" s="1"/>
  <c r="E736" i="135"/>
  <c r="E697" i="135"/>
  <c r="E120" i="98"/>
  <c r="E66" i="135"/>
  <c r="E72" i="135"/>
  <c r="E106" i="135"/>
  <c r="E111" i="135" s="1"/>
  <c r="E203" i="135"/>
  <c r="E277" i="135"/>
  <c r="E311" i="135"/>
  <c r="E339" i="135"/>
  <c r="E574" i="135"/>
  <c r="E731" i="135"/>
  <c r="E587" i="135"/>
  <c r="E594" i="135"/>
  <c r="E705" i="135"/>
  <c r="E727" i="135"/>
  <c r="E734" i="135"/>
  <c r="E184" i="136" s="1"/>
  <c r="E332" i="135"/>
  <c r="E10" i="136"/>
  <c r="E638" i="135"/>
  <c r="E573" i="135"/>
  <c r="E510" i="135"/>
  <c r="E754" i="135"/>
  <c r="E605" i="135"/>
  <c r="E142" i="136"/>
  <c r="E347" i="135"/>
  <c r="E223" i="136"/>
  <c r="F21" i="145" s="1"/>
  <c r="E95" i="136"/>
  <c r="E461" i="135"/>
  <c r="E743" i="135"/>
  <c r="E659" i="135"/>
  <c r="E745" i="135"/>
  <c r="E248" i="136"/>
  <c r="E108" i="136"/>
  <c r="E245" i="136"/>
  <c r="D41" i="115" s="1"/>
  <c r="K51" i="138"/>
  <c r="E343" i="135"/>
  <c r="E719" i="135"/>
  <c r="E180" i="135"/>
  <c r="K49" i="115"/>
  <c r="E732" i="135"/>
  <c r="E728" i="135"/>
  <c r="E174" i="136"/>
  <c r="D50" i="115"/>
  <c r="D53" i="115"/>
  <c r="E61" i="136"/>
  <c r="E242" i="136"/>
  <c r="E730" i="135"/>
  <c r="E43" i="136"/>
  <c r="E146" i="135"/>
  <c r="E486" i="135"/>
  <c r="E557" i="135"/>
  <c r="E37" i="135"/>
  <c r="E336" i="135"/>
  <c r="E485" i="135"/>
  <c r="E563" i="135"/>
  <c r="E482" i="135"/>
  <c r="E527" i="135"/>
  <c r="E590" i="135"/>
  <c r="E757" i="135"/>
  <c r="E29" i="43"/>
  <c r="E232" i="44"/>
  <c r="E213" i="44"/>
  <c r="F9" i="145" l="1"/>
  <c r="E460" i="135"/>
  <c r="E214" i="136"/>
  <c r="E22" i="136"/>
  <c r="D16" i="115"/>
  <c r="D39" i="115"/>
  <c r="E699" i="135"/>
  <c r="E19" i="98"/>
  <c r="D17" i="115"/>
  <c r="E71" i="136"/>
  <c r="E225" i="136"/>
  <c r="E368" i="135"/>
  <c r="E194" i="136"/>
  <c r="E17" i="98"/>
  <c r="E12" i="98"/>
  <c r="E681" i="135"/>
  <c r="E13" i="98"/>
  <c r="F107" i="98"/>
  <c r="F145" i="98"/>
  <c r="E57" i="43"/>
  <c r="D45" i="115"/>
  <c r="E455" i="135"/>
  <c r="E147" i="136"/>
  <c r="E512" i="135"/>
  <c r="E521" i="135" s="1"/>
  <c r="E248" i="135"/>
  <c r="D38" i="115"/>
  <c r="E110" i="136"/>
  <c r="E661" i="135"/>
  <c r="E177" i="136"/>
  <c r="E181" i="136"/>
  <c r="E200" i="136"/>
  <c r="E350" i="135"/>
  <c r="E726" i="135"/>
  <c r="E187" i="136"/>
  <c r="E316" i="135"/>
  <c r="E750" i="135"/>
  <c r="E182" i="136"/>
  <c r="E282" i="135"/>
  <c r="E476" i="135"/>
  <c r="E751" i="135"/>
  <c r="E203" i="136"/>
  <c r="E121" i="98"/>
  <c r="E77" i="135"/>
  <c r="E624" i="135"/>
  <c r="E491" i="135"/>
  <c r="D18" i="115"/>
  <c r="E19" i="43"/>
  <c r="E741" i="135"/>
  <c r="E196" i="136"/>
  <c r="E105" i="98"/>
  <c r="E583" i="135"/>
  <c r="E487" i="135"/>
  <c r="E224" i="136"/>
  <c r="E471" i="135"/>
  <c r="E346" i="135"/>
  <c r="E644" i="135"/>
  <c r="E42" i="135"/>
  <c r="E479" i="135"/>
  <c r="E125" i="98"/>
  <c r="E568" i="135"/>
  <c r="E532" i="135"/>
  <c r="E606" i="135"/>
  <c r="E592" i="135"/>
  <c r="E178" i="136"/>
  <c r="E723" i="135"/>
  <c r="E172" i="136"/>
  <c r="E244" i="136"/>
  <c r="E234" i="136"/>
  <c r="E179" i="136"/>
  <c r="E180" i="136"/>
  <c r="E337" i="135"/>
  <c r="E747" i="135"/>
  <c r="E483" i="135"/>
  <c r="E204" i="44"/>
  <c r="E195" i="44"/>
  <c r="E179" i="44"/>
  <c r="E178" i="44"/>
  <c r="E177" i="44"/>
  <c r="E146" i="44"/>
  <c r="E138" i="44"/>
  <c r="E130" i="44"/>
  <c r="E121" i="44"/>
  <c r="E113" i="44"/>
  <c r="E95" i="44"/>
  <c r="E90" i="44"/>
  <c r="E78" i="44"/>
  <c r="E77" i="44"/>
  <c r="E59" i="44"/>
  <c r="E49" i="44"/>
  <c r="E40" i="44"/>
  <c r="E31" i="44"/>
  <c r="E13" i="44"/>
  <c r="E906" i="44"/>
  <c r="E30" i="98" s="1"/>
  <c r="E891" i="44"/>
  <c r="E887" i="44"/>
  <c r="E853" i="44"/>
  <c r="E837" i="44"/>
  <c r="E829" i="44"/>
  <c r="E817" i="44"/>
  <c r="E816" i="44"/>
  <c r="E815" i="44"/>
  <c r="E807" i="44"/>
  <c r="E806" i="44"/>
  <c r="E798" i="44"/>
  <c r="E791" i="44"/>
  <c r="E790" i="44"/>
  <c r="E787" i="44"/>
  <c r="E779" i="44"/>
  <c r="E770" i="44"/>
  <c r="E759" i="44"/>
  <c r="E756" i="44"/>
  <c r="E752" i="44"/>
  <c r="E723" i="44"/>
  <c r="E705" i="44"/>
  <c r="E703" i="44"/>
  <c r="E702" i="44"/>
  <c r="E694" i="44"/>
  <c r="E685" i="44"/>
  <c r="E677" i="44"/>
  <c r="E673" i="44"/>
  <c r="E661" i="44"/>
  <c r="E653" i="44"/>
  <c r="E641" i="44"/>
  <c r="E629" i="44"/>
  <c r="E620" i="44"/>
  <c r="E616" i="44"/>
  <c r="E603" i="44"/>
  <c r="E595" i="44"/>
  <c r="E580" i="44"/>
  <c r="E572" i="44"/>
  <c r="E564" i="44"/>
  <c r="E556" i="44"/>
  <c r="E548" i="44"/>
  <c r="E540" i="44"/>
  <c r="E532" i="44"/>
  <c r="E524" i="44"/>
  <c r="E514" i="44"/>
  <c r="E510" i="44"/>
  <c r="E497" i="44"/>
  <c r="E492" i="44"/>
  <c r="E464" i="44"/>
  <c r="E455" i="44"/>
  <c r="E428" i="44"/>
  <c r="E401" i="44"/>
  <c r="E387" i="44"/>
  <c r="E362" i="44"/>
  <c r="E352" i="44"/>
  <c r="E344" i="44"/>
  <c r="E335" i="44"/>
  <c r="E322" i="44"/>
  <c r="E295" i="44"/>
  <c r="E291" i="44"/>
  <c r="E283" i="44"/>
  <c r="E265" i="44"/>
  <c r="E253" i="44"/>
  <c r="E251" i="44"/>
  <c r="E242" i="44"/>
  <c r="E236" i="44"/>
  <c r="E222" i="44"/>
  <c r="E218" i="44"/>
  <c r="E192" i="44"/>
  <c r="E175" i="44"/>
  <c r="E166" i="44"/>
  <c r="E158" i="44"/>
  <c r="E62" i="125"/>
  <c r="E61" i="125"/>
  <c r="E59" i="125"/>
  <c r="E55" i="125"/>
  <c r="E44" i="125"/>
  <c r="E65" i="125"/>
  <c r="E32" i="125"/>
  <c r="E31" i="125"/>
  <c r="E22" i="125"/>
  <c r="E21" i="125"/>
  <c r="E20" i="125"/>
  <c r="E17" i="125"/>
  <c r="E10" i="125"/>
  <c r="E66" i="125"/>
  <c r="E42" i="125"/>
  <c r="E40" i="125" s="1"/>
  <c r="E29" i="125"/>
  <c r="E64" i="47"/>
  <c r="E60" i="47"/>
  <c r="E51" i="47"/>
  <c r="E33" i="47"/>
  <c r="E20" i="47"/>
  <c r="E19" i="47"/>
  <c r="E16" i="47"/>
  <c r="E14" i="47"/>
  <c r="E114" i="47"/>
  <c r="E44" i="98"/>
  <c r="E46" i="98"/>
  <c r="E80" i="47"/>
  <c r="E79" i="47"/>
  <c r="E40" i="47"/>
  <c r="E12" i="47"/>
  <c r="E29" i="48"/>
  <c r="E55" i="48"/>
  <c r="E46" i="48"/>
  <c r="E35" i="48"/>
  <c r="E32" i="48"/>
  <c r="E19" i="49"/>
  <c r="K14" i="115" s="1"/>
  <c r="E473" i="135" l="1"/>
  <c r="F112" i="98"/>
  <c r="E708" i="135"/>
  <c r="D8" i="115"/>
  <c r="D20" i="115"/>
  <c r="E84" i="136"/>
  <c r="E121" i="136" s="1"/>
  <c r="D40" i="115"/>
  <c r="D19" i="115"/>
  <c r="E527" i="44"/>
  <c r="E456" i="135"/>
  <c r="E551" i="44"/>
  <c r="E378" i="135"/>
  <c r="E11" i="125"/>
  <c r="E567" i="44"/>
  <c r="E681" i="44"/>
  <c r="E34" i="98"/>
  <c r="E543" i="44"/>
  <c r="E249" i="136"/>
  <c r="E35" i="98"/>
  <c r="E559" i="44"/>
  <c r="E150" i="44"/>
  <c r="E583" i="44"/>
  <c r="L51" i="115"/>
  <c r="L55" i="115" s="1"/>
  <c r="F148" i="98"/>
  <c r="E48" i="98"/>
  <c r="E575" i="44"/>
  <c r="E599" i="44"/>
  <c r="E804" i="44"/>
  <c r="E253" i="136"/>
  <c r="E535" i="44"/>
  <c r="E607" i="44"/>
  <c r="E167" i="136"/>
  <c r="E11" i="98"/>
  <c r="E519" i="44"/>
  <c r="E63" i="43"/>
  <c r="E494" i="135"/>
  <c r="E670" i="135"/>
  <c r="E585" i="135"/>
  <c r="E118" i="98"/>
  <c r="E117" i="98"/>
  <c r="E232" i="136"/>
  <c r="E744" i="135"/>
  <c r="E104" i="98" s="1"/>
  <c r="E351" i="135"/>
  <c r="E752" i="135"/>
  <c r="E632" i="135"/>
  <c r="E188" i="136"/>
  <c r="E725" i="135"/>
  <c r="E176" i="136"/>
  <c r="E231" i="136"/>
  <c r="E91" i="44"/>
  <c r="E125" i="44"/>
  <c r="E247" i="44"/>
  <c r="E134" i="44"/>
  <c r="E356" i="44"/>
  <c r="E142" i="44"/>
  <c r="E117" i="44"/>
  <c r="E813" i="44"/>
  <c r="E36" i="44"/>
  <c r="E45" i="44"/>
  <c r="E348" i="44"/>
  <c r="E366" i="44"/>
  <c r="E339" i="44"/>
  <c r="E54" i="44"/>
  <c r="E756" i="135"/>
  <c r="E124" i="98" s="1"/>
  <c r="E490" i="135"/>
  <c r="E821" i="44"/>
  <c r="E81" i="44"/>
  <c r="E73" i="44" s="1"/>
  <c r="E30" i="47"/>
  <c r="E30" i="48"/>
  <c r="E748" i="135"/>
  <c r="E207" i="136"/>
  <c r="E19" i="125"/>
  <c r="E67" i="47"/>
  <c r="E37" i="125"/>
  <c r="E255" i="44"/>
  <c r="E902" i="44"/>
  <c r="E899" i="44"/>
  <c r="E246" i="136"/>
  <c r="E197" i="136"/>
  <c r="E63" i="125"/>
  <c r="E14" i="49"/>
  <c r="E82" i="98" s="1"/>
  <c r="E25" i="49"/>
  <c r="E83" i="98" s="1"/>
  <c r="E481" i="135"/>
  <c r="E340" i="135"/>
  <c r="E227" i="136"/>
  <c r="E217" i="136"/>
  <c r="E173" i="136"/>
  <c r="E106" i="47"/>
  <c r="E78" i="47"/>
  <c r="E107" i="47"/>
  <c r="E230" i="136"/>
  <c r="E229" i="136"/>
  <c r="D30" i="115"/>
  <c r="E76" i="48"/>
  <c r="E57" i="48"/>
  <c r="E227" i="44"/>
  <c r="E273" i="44"/>
  <c r="E707" i="44"/>
  <c r="E27" i="44"/>
  <c r="E308" i="44"/>
  <c r="E473" i="44"/>
  <c r="E625" i="44"/>
  <c r="E649" i="44"/>
  <c r="E665" i="44"/>
  <c r="E690" i="44"/>
  <c r="E761" i="44"/>
  <c r="E895" i="44"/>
  <c r="E200" i="44"/>
  <c r="E633" i="44"/>
  <c r="E905" i="44"/>
  <c r="E878" i="44"/>
  <c r="E72" i="44"/>
  <c r="E99" i="44"/>
  <c r="E328" i="44"/>
  <c r="E263" i="44"/>
  <c r="E299" i="44"/>
  <c r="E392" i="44"/>
  <c r="E901" i="44"/>
  <c r="E657" i="44"/>
  <c r="E699" i="44"/>
  <c r="E796" i="44"/>
  <c r="E17" i="44"/>
  <c r="E109" i="44"/>
  <c r="E184" i="44"/>
  <c r="E209" i="44"/>
  <c r="E907" i="44"/>
  <c r="E900" i="44"/>
  <c r="E63" i="44"/>
  <c r="E501" i="44"/>
  <c r="E898" i="44"/>
  <c r="E49" i="125"/>
  <c r="E72" i="125"/>
  <c r="E71" i="125"/>
  <c r="E67" i="125"/>
  <c r="E26" i="48"/>
  <c r="D12" i="47"/>
  <c r="D14" i="47"/>
  <c r="D16" i="47"/>
  <c r="C19" i="47"/>
  <c r="D19" i="47"/>
  <c r="C20" i="47"/>
  <c r="D20" i="47"/>
  <c r="D24" i="47"/>
  <c r="D25" i="47"/>
  <c r="C26" i="47"/>
  <c r="D26" i="47"/>
  <c r="D33" i="47"/>
  <c r="C34" i="47"/>
  <c r="C67" i="47" s="1"/>
  <c r="C83" i="47" s="1"/>
  <c r="D37" i="47"/>
  <c r="D34" i="47" s="1"/>
  <c r="D40" i="47"/>
  <c r="D51" i="47"/>
  <c r="D56" i="47"/>
  <c r="D64" i="47"/>
  <c r="D68" i="47"/>
  <c r="D79" i="47"/>
  <c r="D80" i="47"/>
  <c r="D81" i="47"/>
  <c r="D82" i="47"/>
  <c r="E746" i="135" l="1"/>
  <c r="E127" i="98"/>
  <c r="E31" i="98"/>
  <c r="E29" i="98"/>
  <c r="D22" i="115"/>
  <c r="E236" i="136"/>
  <c r="D32" i="115" s="1"/>
  <c r="D33" i="115" s="1"/>
  <c r="E208" i="136"/>
  <c r="D27" i="115"/>
  <c r="E251" i="136"/>
  <c r="D46" i="115"/>
  <c r="D47" i="115" s="1"/>
  <c r="D26" i="115"/>
  <c r="E28" i="98"/>
  <c r="E69" i="125"/>
  <c r="E755" i="135"/>
  <c r="D49" i="115"/>
  <c r="E26" i="98"/>
  <c r="E25" i="98"/>
  <c r="E24" i="98"/>
  <c r="E27" i="98"/>
  <c r="E89" i="98" s="1"/>
  <c r="E495" i="135"/>
  <c r="E204" i="136"/>
  <c r="E64" i="43"/>
  <c r="E103" i="98"/>
  <c r="E759" i="135"/>
  <c r="E175" i="136"/>
  <c r="E595" i="135"/>
  <c r="E735" i="135"/>
  <c r="E119" i="98"/>
  <c r="E126" i="44"/>
  <c r="E331" i="44"/>
  <c r="E38" i="48"/>
  <c r="E83" i="47"/>
  <c r="E318" i="44"/>
  <c r="E36" i="98"/>
  <c r="E18" i="125"/>
  <c r="E38" i="98"/>
  <c r="D42" i="115"/>
  <c r="D44" i="115" s="1"/>
  <c r="E247" i="136"/>
  <c r="F18" i="145" s="1"/>
  <c r="E91" i="98"/>
  <c r="E83" i="44"/>
  <c r="E39" i="98"/>
  <c r="E788" i="44"/>
  <c r="E228" i="44"/>
  <c r="E484" i="135"/>
  <c r="E220" i="136"/>
  <c r="D10" i="115"/>
  <c r="D15" i="115" s="1"/>
  <c r="E42" i="98"/>
  <c r="E110" i="47"/>
  <c r="D78" i="47"/>
  <c r="E43" i="98"/>
  <c r="D22" i="47"/>
  <c r="C30" i="47"/>
  <c r="D24" i="115"/>
  <c r="D25" i="115"/>
  <c r="E53" i="98"/>
  <c r="E465" i="44"/>
  <c r="E9" i="44"/>
  <c r="E55" i="44"/>
  <c r="E908" i="44"/>
  <c r="E167" i="44"/>
  <c r="E374" i="44"/>
  <c r="E725" i="44"/>
  <c r="E903" i="44"/>
  <c r="D67" i="47"/>
  <c r="E760" i="135" l="1"/>
  <c r="E237" i="136"/>
  <c r="E82" i="48"/>
  <c r="E70" i="48"/>
  <c r="E79" i="48"/>
  <c r="E107" i="98"/>
  <c r="E113" i="47"/>
  <c r="E86" i="98"/>
  <c r="E254" i="136"/>
  <c r="E205" i="136"/>
  <c r="E23" i="98"/>
  <c r="E145" i="98"/>
  <c r="E259" i="136"/>
  <c r="E122" i="98"/>
  <c r="D48" i="115"/>
  <c r="E87" i="98"/>
  <c r="E737" i="135"/>
  <c r="E226" i="136"/>
  <c r="E185" i="136"/>
  <c r="E82" i="44"/>
  <c r="E724" i="44"/>
  <c r="E104" i="47"/>
  <c r="E55" i="98"/>
  <c r="E95" i="98" s="1"/>
  <c r="E252" i="136"/>
  <c r="E27" i="145"/>
  <c r="E23" i="125"/>
  <c r="E88" i="98"/>
  <c r="E97" i="98"/>
  <c r="E136" i="98"/>
  <c r="D30" i="47"/>
  <c r="E81" i="48"/>
  <c r="E909" i="44"/>
  <c r="D83" i="47"/>
  <c r="E133" i="98" l="1"/>
  <c r="K7" i="115" s="1"/>
  <c r="D51" i="115"/>
  <c r="D55" i="115" s="1"/>
  <c r="E258" i="136"/>
  <c r="E129" i="98"/>
  <c r="K10" i="115"/>
  <c r="E135" i="98"/>
  <c r="K9" i="115" s="1"/>
  <c r="E190" i="136"/>
  <c r="E148" i="98"/>
  <c r="K51" i="115"/>
  <c r="K55" i="115" s="1"/>
  <c r="E260" i="136"/>
  <c r="D56" i="115"/>
  <c r="D57" i="115" s="1"/>
  <c r="E142" i="98"/>
  <c r="E134" i="98"/>
  <c r="E50" i="98"/>
  <c r="D21" i="115"/>
  <c r="D31" i="115" s="1"/>
  <c r="D34" i="115" s="1"/>
  <c r="E235" i="136"/>
  <c r="E749" i="135"/>
  <c r="E68" i="125"/>
  <c r="E64" i="125"/>
  <c r="E73" i="125"/>
  <c r="E115" i="47"/>
  <c r="E47" i="98"/>
  <c r="E140" i="98"/>
  <c r="D12" i="49"/>
  <c r="D68" i="98"/>
  <c r="D62" i="136"/>
  <c r="D69" i="136"/>
  <c r="D23" i="43"/>
  <c r="D21" i="43"/>
  <c r="D22" i="43"/>
  <c r="D59" i="115" l="1"/>
  <c r="K8" i="115"/>
  <c r="E210" i="136"/>
  <c r="E238" i="136"/>
  <c r="E261" i="136" s="1"/>
  <c r="K39" i="115"/>
  <c r="E37" i="98"/>
  <c r="E90" i="98" s="1"/>
  <c r="E70" i="125"/>
  <c r="E41" i="98"/>
  <c r="E96" i="98"/>
  <c r="E116" i="47"/>
  <c r="K37" i="115"/>
  <c r="D118" i="136"/>
  <c r="D112" i="136"/>
  <c r="E33" i="98" l="1"/>
  <c r="E141" i="98"/>
  <c r="E98" i="98"/>
  <c r="D103" i="47"/>
  <c r="D661" i="44"/>
  <c r="D703" i="44"/>
  <c r="D53" i="142"/>
  <c r="D887" i="44"/>
  <c r="D603" i="44"/>
  <c r="E92" i="98" l="1"/>
  <c r="E137" i="98"/>
  <c r="K38" i="115"/>
  <c r="K48" i="115" s="1"/>
  <c r="E143" i="98"/>
  <c r="D373" i="135"/>
  <c r="E112" i="98" l="1"/>
  <c r="E138" i="98"/>
  <c r="E151" i="98" s="1"/>
  <c r="K12" i="115"/>
  <c r="K34" i="115" s="1"/>
  <c r="K59" i="115" s="1"/>
  <c r="D415" i="135"/>
  <c r="D35" i="48" l="1"/>
  <c r="D32" i="48"/>
  <c r="D28" i="48"/>
  <c r="D27" i="48"/>
  <c r="D108" i="47"/>
  <c r="D114" i="47"/>
  <c r="D112" i="47"/>
  <c r="D705" i="44"/>
  <c r="D387" i="44"/>
  <c r="D303" i="44"/>
  <c r="D253" i="44"/>
  <c r="D249" i="44"/>
  <c r="D231" i="44"/>
  <c r="D198" i="44"/>
  <c r="D196" i="44"/>
  <c r="D90" i="44"/>
  <c r="D71" i="44"/>
  <c r="D67" i="44"/>
  <c r="D30" i="48" l="1"/>
  <c r="D74" i="48"/>
  <c r="D106" i="47"/>
  <c r="D242" i="44"/>
  <c r="D243" i="44"/>
  <c r="H169" i="141" l="1"/>
  <c r="D95" i="142"/>
  <c r="D96" i="142"/>
  <c r="D92" i="142"/>
  <c r="D26" i="142"/>
  <c r="D53" i="141"/>
  <c r="D10" i="141"/>
  <c r="D161" i="136" l="1"/>
  <c r="J56" i="138" l="1"/>
  <c r="J54" i="138"/>
  <c r="J53" i="138"/>
  <c r="J52" i="138"/>
  <c r="J50" i="138"/>
  <c r="J49" i="138"/>
  <c r="J22" i="138"/>
  <c r="J40" i="138"/>
  <c r="J51" i="138" l="1"/>
  <c r="D26" i="43" l="1"/>
  <c r="D14" i="48" l="1"/>
  <c r="D46" i="43"/>
  <c r="D43" i="43"/>
  <c r="D873" i="44" l="1"/>
  <c r="D344" i="44"/>
  <c r="D46" i="48" l="1"/>
  <c r="D455" i="44" l="1"/>
  <c r="D580" i="44" l="1"/>
  <c r="D572" i="44"/>
  <c r="D548" i="44"/>
  <c r="D540" i="44"/>
  <c r="D532" i="44"/>
  <c r="D524" i="44"/>
  <c r="D497" i="44"/>
  <c r="D103" i="44"/>
  <c r="D639" i="135" l="1"/>
  <c r="D635" i="135"/>
  <c r="D628" i="135"/>
  <c r="D523" i="135"/>
  <c r="D522" i="135"/>
  <c r="D516" i="135"/>
  <c r="D380" i="135"/>
  <c r="D379" i="135"/>
  <c r="D273" i="135"/>
  <c r="D272" i="135"/>
  <c r="D267" i="135"/>
  <c r="D102" i="135"/>
  <c r="D101" i="135"/>
  <c r="D96" i="135"/>
  <c r="D68" i="135"/>
  <c r="D67" i="135"/>
  <c r="D62" i="135"/>
  <c r="D27" i="135"/>
  <c r="D711" i="135" l="1"/>
  <c r="D704" i="135"/>
  <c r="D684" i="135"/>
  <c r="D634" i="135"/>
  <c r="D633" i="135"/>
  <c r="D559" i="135"/>
  <c r="D558" i="135"/>
  <c r="D553" i="135"/>
  <c r="D504" i="135"/>
  <c r="D501" i="135"/>
  <c r="D307" i="135"/>
  <c r="D306" i="135"/>
  <c r="D301" i="135"/>
  <c r="D131" i="135"/>
  <c r="D137" i="135" l="1"/>
  <c r="D136" i="135"/>
  <c r="D34" i="135"/>
  <c r="D677" i="135" l="1"/>
  <c r="D673" i="135"/>
  <c r="D666" i="135"/>
  <c r="D560" i="135"/>
  <c r="D524" i="135"/>
  <c r="D402" i="135"/>
  <c r="D385" i="135" l="1"/>
  <c r="D381" i="135"/>
  <c r="D308" i="135"/>
  <c r="D274" i="135"/>
  <c r="D240" i="135"/>
  <c r="D233" i="135"/>
  <c r="D172" i="135"/>
  <c r="D165" i="135"/>
  <c r="D142" i="135"/>
  <c r="D138" i="135"/>
  <c r="D103" i="135"/>
  <c r="D69" i="135"/>
  <c r="D66" i="98"/>
  <c r="D46" i="125" l="1"/>
  <c r="D20" i="125"/>
  <c r="D67" i="125" l="1"/>
  <c r="D28" i="43"/>
  <c r="D12" i="43"/>
  <c r="D11" i="43"/>
  <c r="D10" i="43"/>
  <c r="D672" i="135"/>
  <c r="D671" i="135"/>
  <c r="D338" i="135"/>
  <c r="D239" i="135"/>
  <c r="D238" i="135"/>
  <c r="D244" i="135"/>
  <c r="D236" i="135"/>
  <c r="D206" i="135"/>
  <c r="D205" i="135"/>
  <c r="D204" i="135"/>
  <c r="D171" i="135"/>
  <c r="D170" i="135"/>
  <c r="D339" i="135" l="1"/>
  <c r="D33" i="135"/>
  <c r="D32" i="135"/>
  <c r="D55" i="48" l="1"/>
  <c r="D29" i="48"/>
  <c r="D26" i="48"/>
  <c r="D38" i="48" l="1"/>
  <c r="D107" i="47"/>
  <c r="D113" i="47" l="1"/>
  <c r="D42" i="125"/>
  <c r="D40" i="125" l="1"/>
  <c r="D62" i="125"/>
  <c r="D61" i="125"/>
  <c r="D59" i="125"/>
  <c r="D55" i="125"/>
  <c r="D45" i="125"/>
  <c r="D31" i="125"/>
  <c r="D21" i="125"/>
  <c r="D22" i="125"/>
  <c r="D17" i="125"/>
  <c r="D10" i="125"/>
  <c r="D77" i="44"/>
  <c r="C900" i="44"/>
  <c r="D269" i="44"/>
  <c r="D267" i="44"/>
  <c r="D492" i="44"/>
  <c r="D817" i="44"/>
  <c r="D230" i="44"/>
  <c r="D78" i="44"/>
  <c r="D891" i="44"/>
  <c r="D816" i="44"/>
  <c r="D815" i="44"/>
  <c r="D808" i="44"/>
  <c r="D807" i="44"/>
  <c r="D806" i="44"/>
  <c r="D800" i="44"/>
  <c r="D799" i="44"/>
  <c r="D798" i="44"/>
  <c r="D795" i="44"/>
  <c r="D792" i="44"/>
  <c r="D791" i="44"/>
  <c r="D790" i="44"/>
  <c r="D765" i="44"/>
  <c r="D759" i="44"/>
  <c r="D756" i="44"/>
  <c r="D702" i="44"/>
  <c r="D694" i="44"/>
  <c r="D685" i="44"/>
  <c r="D677" i="44"/>
  <c r="D653" i="44"/>
  <c r="D645" i="44"/>
  <c r="D629" i="44"/>
  <c r="D620" i="44"/>
  <c r="D595" i="44"/>
  <c r="D564" i="44"/>
  <c r="D556" i="44"/>
  <c r="D514" i="44"/>
  <c r="D469" i="44"/>
  <c r="D464" i="44"/>
  <c r="D428" i="44"/>
  <c r="D401" i="44"/>
  <c r="D362" i="44"/>
  <c r="D352" i="44"/>
  <c r="D335" i="44"/>
  <c r="D322" i="44"/>
  <c r="D295" i="44"/>
  <c r="D266" i="44"/>
  <c r="D265" i="44"/>
  <c r="D259" i="44"/>
  <c r="D251" i="44"/>
  <c r="D241" i="44"/>
  <c r="D232" i="44"/>
  <c r="D222" i="44"/>
  <c r="D213" i="44"/>
  <c r="D204" i="44"/>
  <c r="D195" i="44"/>
  <c r="D179" i="44"/>
  <c r="D178" i="44"/>
  <c r="D177" i="44"/>
  <c r="D146" i="44"/>
  <c r="D138" i="44"/>
  <c r="D130" i="44"/>
  <c r="D121" i="44"/>
  <c r="D113" i="44"/>
  <c r="D95" i="44"/>
  <c r="D59" i="44"/>
  <c r="D49" i="44"/>
  <c r="D40" i="44"/>
  <c r="D44" i="125" l="1"/>
  <c r="D902" i="44"/>
  <c r="D898" i="44"/>
  <c r="D72" i="125"/>
  <c r="D63" i="125"/>
  <c r="D899" i="44"/>
  <c r="D905" i="44"/>
  <c r="D31" i="44"/>
  <c r="D21" i="44"/>
  <c r="D13" i="44"/>
  <c r="D62" i="98"/>
  <c r="D14" i="136"/>
  <c r="D13" i="136"/>
  <c r="D11" i="136"/>
  <c r="D69" i="125" l="1"/>
  <c r="D49" i="125"/>
  <c r="D10" i="136"/>
  <c r="D900" i="44"/>
  <c r="C218" i="136"/>
  <c r="D218" i="136"/>
  <c r="C219" i="136"/>
  <c r="D219" i="136"/>
  <c r="C215" i="136"/>
  <c r="D215" i="136"/>
  <c r="C216" i="136"/>
  <c r="D216" i="136"/>
  <c r="C257" i="136"/>
  <c r="C255" i="136"/>
  <c r="C250" i="136"/>
  <c r="C241" i="136"/>
  <c r="C240" i="136"/>
  <c r="C239" i="136"/>
  <c r="C228" i="136"/>
  <c r="C165" i="136"/>
  <c r="C162" i="136"/>
  <c r="C158" i="136"/>
  <c r="C154" i="136"/>
  <c r="C132" i="136"/>
  <c r="C142" i="136" s="1"/>
  <c r="C131" i="136"/>
  <c r="C127" i="136"/>
  <c r="C119" i="136"/>
  <c r="C116" i="136"/>
  <c r="C102" i="136"/>
  <c r="C248" i="136" s="1"/>
  <c r="C97" i="136"/>
  <c r="C101" i="136" s="1"/>
  <c r="C89" i="136"/>
  <c r="C95" i="136" s="1"/>
  <c r="C82" i="136"/>
  <c r="C66" i="136"/>
  <c r="C61" i="136"/>
  <c r="C55" i="136"/>
  <c r="C45" i="136"/>
  <c r="C31" i="136"/>
  <c r="C27" i="136"/>
  <c r="C222" i="136" s="1"/>
  <c r="C24" i="136"/>
  <c r="C10" i="136"/>
  <c r="C214" i="136" s="1"/>
  <c r="C149" i="98"/>
  <c r="C147" i="98"/>
  <c r="C144" i="98"/>
  <c r="C126" i="98"/>
  <c r="C110" i="98"/>
  <c r="C106" i="98"/>
  <c r="C81" i="98"/>
  <c r="C75" i="98"/>
  <c r="C72" i="98"/>
  <c r="C70" i="98"/>
  <c r="C57" i="98"/>
  <c r="C54" i="98"/>
  <c r="C52" i="98"/>
  <c r="C51" i="98"/>
  <c r="C45" i="98"/>
  <c r="C43" i="98"/>
  <c r="C42" i="98"/>
  <c r="C26" i="98"/>
  <c r="C16" i="98"/>
  <c r="C753" i="135"/>
  <c r="C120" i="98" s="1"/>
  <c r="C739" i="135"/>
  <c r="C199" i="136" s="1"/>
  <c r="C200" i="136" s="1"/>
  <c r="C249" i="136" s="1"/>
  <c r="C738" i="135"/>
  <c r="C193" i="136" s="1"/>
  <c r="C194" i="136" s="1"/>
  <c r="C724" i="135"/>
  <c r="C174" i="136" s="1"/>
  <c r="C225" i="136" s="1"/>
  <c r="C718" i="135"/>
  <c r="C714" i="135"/>
  <c r="C705" i="135"/>
  <c r="C687" i="135"/>
  <c r="C697" i="135" s="1"/>
  <c r="C685" i="135"/>
  <c r="C680" i="135"/>
  <c r="C676" i="135"/>
  <c r="C667" i="135"/>
  <c r="C649" i="135"/>
  <c r="C643" i="135"/>
  <c r="C638" i="135"/>
  <c r="C629" i="135"/>
  <c r="C612" i="135"/>
  <c r="C603" i="135"/>
  <c r="C602" i="135"/>
  <c r="C600" i="135"/>
  <c r="C599" i="135"/>
  <c r="C598" i="135"/>
  <c r="C597" i="135"/>
  <c r="C596" i="135"/>
  <c r="C593" i="135"/>
  <c r="C594" i="135" s="1"/>
  <c r="C591" i="135"/>
  <c r="C590" i="135"/>
  <c r="C589" i="135"/>
  <c r="C588" i="135"/>
  <c r="C586" i="135"/>
  <c r="C587" i="135" s="1"/>
  <c r="C584" i="135"/>
  <c r="C736" i="135" s="1"/>
  <c r="C187" i="136" s="1"/>
  <c r="C188" i="136" s="1"/>
  <c r="C582" i="135"/>
  <c r="C580" i="135"/>
  <c r="C579" i="135"/>
  <c r="C731" i="135" s="1"/>
  <c r="C181" i="136" s="1"/>
  <c r="C231" i="136" s="1"/>
  <c r="C578" i="135"/>
  <c r="C577" i="135"/>
  <c r="C574" i="135"/>
  <c r="C567" i="135"/>
  <c r="C563" i="135"/>
  <c r="C554" i="135"/>
  <c r="C549" i="135"/>
  <c r="C531" i="135"/>
  <c r="C527" i="135"/>
  <c r="C518" i="135"/>
  <c r="C500" i="135"/>
  <c r="C488" i="135"/>
  <c r="C482" i="135"/>
  <c r="C480" i="135"/>
  <c r="C478" i="135"/>
  <c r="C470" i="135"/>
  <c r="C468" i="135"/>
  <c r="C467" i="135"/>
  <c r="C466" i="135"/>
  <c r="C465" i="135"/>
  <c r="C464" i="135"/>
  <c r="C728" i="135" s="1"/>
  <c r="C178" i="136" s="1"/>
  <c r="C463" i="135"/>
  <c r="C727" i="135" s="1"/>
  <c r="C177" i="136" s="1"/>
  <c r="C462" i="135"/>
  <c r="C415" i="135"/>
  <c r="C492" i="135" s="1"/>
  <c r="C385" i="135"/>
  <c r="C384" i="135"/>
  <c r="C375" i="135"/>
  <c r="C370" i="135"/>
  <c r="C475" i="135" s="1"/>
  <c r="C356" i="135"/>
  <c r="C347" i="135"/>
  <c r="C350" i="135" s="1"/>
  <c r="C345" i="135"/>
  <c r="C489" i="135" s="1"/>
  <c r="C343" i="135"/>
  <c r="C487" i="135" s="1"/>
  <c r="C342" i="135"/>
  <c r="C486" i="135" s="1"/>
  <c r="C341" i="135"/>
  <c r="C485" i="135" s="1"/>
  <c r="C336" i="135"/>
  <c r="C479" i="135" s="1"/>
  <c r="C335" i="135"/>
  <c r="C477" i="135" s="1"/>
  <c r="C320" i="135"/>
  <c r="C459" i="135" s="1"/>
  <c r="C315" i="135"/>
  <c r="C311" i="135"/>
  <c r="C302" i="135"/>
  <c r="C305" i="135" s="1"/>
  <c r="C281" i="135"/>
  <c r="C277" i="135"/>
  <c r="C268" i="135"/>
  <c r="C271" i="135" s="1"/>
  <c r="C247" i="135"/>
  <c r="C243" i="135"/>
  <c r="C234" i="135"/>
  <c r="C237" i="135" s="1"/>
  <c r="C213" i="135"/>
  <c r="C209" i="135"/>
  <c r="C200" i="135"/>
  <c r="C203" i="135" s="1"/>
  <c r="C179" i="135"/>
  <c r="C175" i="135"/>
  <c r="C166" i="135"/>
  <c r="C169" i="135" s="1"/>
  <c r="C145" i="135"/>
  <c r="C141" i="135"/>
  <c r="C132" i="135"/>
  <c r="C135" i="135" s="1"/>
  <c r="C110" i="135"/>
  <c r="C106" i="135"/>
  <c r="C97" i="135"/>
  <c r="C100" i="135" s="1"/>
  <c r="C76" i="135"/>
  <c r="C72" i="135"/>
  <c r="C63" i="135"/>
  <c r="C66" i="135" s="1"/>
  <c r="C41" i="135"/>
  <c r="C37" i="135"/>
  <c r="C28" i="135"/>
  <c r="C31" i="135" s="1"/>
  <c r="C61" i="43"/>
  <c r="C19" i="98" s="1"/>
  <c r="C60" i="43"/>
  <c r="C17" i="98" s="1"/>
  <c r="C59" i="43"/>
  <c r="C55" i="43"/>
  <c r="C15" i="98" s="1"/>
  <c r="C54" i="43"/>
  <c r="C14" i="98" s="1"/>
  <c r="C53" i="43"/>
  <c r="C13" i="98" s="1"/>
  <c r="C52" i="43"/>
  <c r="C49" i="43"/>
  <c r="C29" i="43"/>
  <c r="C18" i="43"/>
  <c r="C8" i="43" s="1"/>
  <c r="C907" i="44"/>
  <c r="C31" i="98" s="1"/>
  <c r="C906" i="44"/>
  <c r="C30" i="98" s="1"/>
  <c r="C905" i="44"/>
  <c r="C29" i="98" s="1"/>
  <c r="C902" i="44"/>
  <c r="C28" i="98" s="1"/>
  <c r="C901" i="44"/>
  <c r="C27" i="98" s="1"/>
  <c r="C899" i="44"/>
  <c r="C25" i="98" s="1"/>
  <c r="C898" i="44"/>
  <c r="C895" i="44"/>
  <c r="C878" i="44"/>
  <c r="C853" i="44"/>
  <c r="C837" i="44"/>
  <c r="C829" i="44"/>
  <c r="C821" i="44"/>
  <c r="C813" i="44"/>
  <c r="C804" i="44"/>
  <c r="C796" i="44"/>
  <c r="C787" i="44"/>
  <c r="C779" i="44"/>
  <c r="C770" i="44"/>
  <c r="C761" i="44"/>
  <c r="C752" i="44"/>
  <c r="C723" i="44"/>
  <c r="C707" i="44"/>
  <c r="C699" i="44"/>
  <c r="C690" i="44"/>
  <c r="C681" i="44"/>
  <c r="C673" i="44"/>
  <c r="C665" i="44"/>
  <c r="C657" i="44"/>
  <c r="C649" i="44"/>
  <c r="C641" i="44"/>
  <c r="C633" i="44"/>
  <c r="C625" i="44"/>
  <c r="C616" i="44"/>
  <c r="C607" i="44"/>
  <c r="C599" i="44"/>
  <c r="C583" i="44"/>
  <c r="C575" i="44"/>
  <c r="C567" i="44"/>
  <c r="C559" i="44"/>
  <c r="C551" i="44"/>
  <c r="C543" i="44"/>
  <c r="C535" i="44"/>
  <c r="C527" i="44"/>
  <c r="C519" i="44"/>
  <c r="C510" i="44"/>
  <c r="C501" i="44"/>
  <c r="C473" i="44"/>
  <c r="C392" i="44"/>
  <c r="C374" i="44" s="1"/>
  <c r="C366" i="44"/>
  <c r="C356" i="44"/>
  <c r="C348" i="44"/>
  <c r="C339" i="44"/>
  <c r="C328" i="44"/>
  <c r="C308" i="44"/>
  <c r="C299" i="44"/>
  <c r="C291" i="44"/>
  <c r="C283" i="44"/>
  <c r="C273" i="44"/>
  <c r="C263" i="44"/>
  <c r="C255" i="44"/>
  <c r="C247" i="44"/>
  <c r="C236" i="44"/>
  <c r="C227" i="44"/>
  <c r="C218" i="44"/>
  <c r="C209" i="44"/>
  <c r="C200" i="44"/>
  <c r="C192" i="44"/>
  <c r="C184" i="44"/>
  <c r="C175" i="44"/>
  <c r="C166" i="44"/>
  <c r="C158" i="44"/>
  <c r="C150" i="44"/>
  <c r="C142" i="44"/>
  <c r="C134" i="44"/>
  <c r="C125" i="44"/>
  <c r="C117" i="44"/>
  <c r="C109" i="44"/>
  <c r="C99" i="44"/>
  <c r="C91" i="44"/>
  <c r="C81" i="44"/>
  <c r="C73" i="44" s="1"/>
  <c r="C72" i="44"/>
  <c r="C63" i="44"/>
  <c r="C54" i="44"/>
  <c r="C45" i="44"/>
  <c r="C36" i="44"/>
  <c r="C27" i="44"/>
  <c r="C17" i="44"/>
  <c r="C72" i="125"/>
  <c r="C39" i="98" s="1"/>
  <c r="C71" i="125"/>
  <c r="C38" i="98" s="1"/>
  <c r="C67" i="125"/>
  <c r="C36" i="98" s="1"/>
  <c r="C66" i="125"/>
  <c r="C35" i="98" s="1"/>
  <c r="C65" i="125"/>
  <c r="C34" i="98" s="1"/>
  <c r="C63" i="125"/>
  <c r="C69" i="125" s="1"/>
  <c r="C49" i="125"/>
  <c r="C31" i="125"/>
  <c r="C37" i="125" s="1"/>
  <c r="C29" i="125"/>
  <c r="C19" i="125"/>
  <c r="C18" i="125" s="1"/>
  <c r="C23" i="125" s="1"/>
  <c r="C11" i="125"/>
  <c r="C114" i="47"/>
  <c r="C48" i="98" s="1"/>
  <c r="C112" i="47"/>
  <c r="C46" i="98" s="1"/>
  <c r="C108" i="47"/>
  <c r="C110" i="47" s="1"/>
  <c r="C103" i="47"/>
  <c r="C71" i="136" l="1"/>
  <c r="C62" i="43"/>
  <c r="C510" i="135"/>
  <c r="C512" i="135" s="1"/>
  <c r="C521" i="135" s="1"/>
  <c r="C659" i="135"/>
  <c r="C661" i="135" s="1"/>
  <c r="C670" i="135" s="1"/>
  <c r="C366" i="135"/>
  <c r="C368" i="135" s="1"/>
  <c r="C378" i="135" s="1"/>
  <c r="C57" i="43"/>
  <c r="C63" i="43" s="1"/>
  <c r="C64" i="43" s="1"/>
  <c r="C622" i="135"/>
  <c r="C624" i="135" s="1"/>
  <c r="C632" i="135" s="1"/>
  <c r="C147" i="136"/>
  <c r="C167" i="136" s="1"/>
  <c r="C223" i="136"/>
  <c r="C43" i="136"/>
  <c r="C55" i="44"/>
  <c r="C126" i="44"/>
  <c r="C19" i="43"/>
  <c r="C12" i="98"/>
  <c r="C18" i="98"/>
  <c r="C316" i="135"/>
  <c r="C743" i="135"/>
  <c r="C557" i="135"/>
  <c r="C719" i="135"/>
  <c r="C732" i="135"/>
  <c r="C182" i="136" s="1"/>
  <c r="C232" i="136" s="1"/>
  <c r="C24" i="98"/>
  <c r="C23" i="98" s="1"/>
  <c r="C699" i="135"/>
  <c r="C708" i="135" s="1"/>
  <c r="C248" i="135"/>
  <c r="C227" i="136"/>
  <c r="C214" i="135"/>
  <c r="C644" i="135"/>
  <c r="C236" i="136"/>
  <c r="C237" i="136" s="1"/>
  <c r="C113" i="47"/>
  <c r="C115" i="47" s="1"/>
  <c r="C116" i="47" s="1"/>
  <c r="C44" i="98"/>
  <c r="C68" i="125"/>
  <c r="C37" i="98" s="1"/>
  <c r="C33" i="98" s="1"/>
  <c r="C64" i="125"/>
  <c r="C97" i="98"/>
  <c r="C142" i="98" s="1"/>
  <c r="C89" i="98"/>
  <c r="C136" i="98" s="1"/>
  <c r="C465" i="44"/>
  <c r="C9" i="44"/>
  <c r="C83" i="44"/>
  <c r="C318" i="44"/>
  <c r="C228" i="44"/>
  <c r="C167" i="44"/>
  <c r="C87" i="98"/>
  <c r="C725" i="44"/>
  <c r="C788" i="44"/>
  <c r="C903" i="44"/>
  <c r="C908" i="44"/>
  <c r="C909" i="44" s="1"/>
  <c r="C251" i="136"/>
  <c r="C221" i="136"/>
  <c r="C242" i="136"/>
  <c r="C245" i="136"/>
  <c r="C22" i="136"/>
  <c r="C243" i="136"/>
  <c r="C108" i="136"/>
  <c r="C110" i="136" s="1"/>
  <c r="C150" i="98"/>
  <c r="C681" i="135"/>
  <c r="C592" i="135"/>
  <c r="C42" i="135"/>
  <c r="C455" i="135"/>
  <c r="C456" i="135" s="1"/>
  <c r="C282" i="135"/>
  <c r="C726" i="135"/>
  <c r="C176" i="136" s="1"/>
  <c r="C175" i="136" s="1"/>
  <c r="C180" i="135"/>
  <c r="C532" i="135"/>
  <c r="C77" i="135"/>
  <c r="C111" i="135"/>
  <c r="C146" i="135"/>
  <c r="C747" i="135"/>
  <c r="C729" i="135"/>
  <c r="C734" i="135"/>
  <c r="C184" i="136" s="1"/>
  <c r="C234" i="136" s="1"/>
  <c r="C750" i="135"/>
  <c r="C117" i="98" s="1"/>
  <c r="C754" i="135"/>
  <c r="C121" i="98" s="1"/>
  <c r="C461" i="135"/>
  <c r="C471" i="135" s="1"/>
  <c r="C483" i="135"/>
  <c r="C568" i="135"/>
  <c r="C730" i="135"/>
  <c r="C180" i="136" s="1"/>
  <c r="C230" i="136" s="1"/>
  <c r="C605" i="135"/>
  <c r="C745" i="135"/>
  <c r="C105" i="98" s="1"/>
  <c r="C476" i="135"/>
  <c r="C740" i="135"/>
  <c r="C722" i="135"/>
  <c r="C460" i="135"/>
  <c r="C481" i="135"/>
  <c r="C742" i="135"/>
  <c r="C203" i="136" s="1"/>
  <c r="C253" i="136" s="1"/>
  <c r="C744" i="135"/>
  <c r="C751" i="135"/>
  <c r="C118" i="98" s="1"/>
  <c r="C490" i="135"/>
  <c r="C752" i="135"/>
  <c r="C119" i="98" s="1"/>
  <c r="C757" i="135"/>
  <c r="C125" i="98" s="1"/>
  <c r="C332" i="135"/>
  <c r="C573" i="135"/>
  <c r="C346" i="135"/>
  <c r="C351" i="135" s="1"/>
  <c r="C491" i="135"/>
  <c r="C601" i="135"/>
  <c r="C337" i="135"/>
  <c r="C331" i="44"/>
  <c r="C73" i="125"/>
  <c r="C70" i="125"/>
  <c r="C104" i="47"/>
  <c r="C74" i="48"/>
  <c r="C69" i="48"/>
  <c r="C57" i="48"/>
  <c r="C46" i="48"/>
  <c r="C38" i="48"/>
  <c r="C84" i="136" l="1"/>
  <c r="C121" i="136" s="1"/>
  <c r="C82" i="44"/>
  <c r="C583" i="135"/>
  <c r="C585" i="135" s="1"/>
  <c r="C595" i="135" s="1"/>
  <c r="C179" i="136"/>
  <c r="C229" i="136" s="1"/>
  <c r="C86" i="98"/>
  <c r="C133" i="98" s="1"/>
  <c r="C11" i="98"/>
  <c r="C224" i="136"/>
  <c r="C79" i="48"/>
  <c r="C55" i="98" s="1"/>
  <c r="C70" i="48"/>
  <c r="C76" i="48"/>
  <c r="C53" i="98"/>
  <c r="C88" i="98" s="1"/>
  <c r="C135" i="98" s="1"/>
  <c r="C82" i="48"/>
  <c r="C725" i="135"/>
  <c r="C735" i="135" s="1"/>
  <c r="C244" i="136"/>
  <c r="C723" i="135"/>
  <c r="C172" i="136"/>
  <c r="C741" i="135"/>
  <c r="C196" i="136"/>
  <c r="C748" i="135"/>
  <c r="C207" i="136"/>
  <c r="C208" i="136" s="1"/>
  <c r="C259" i="136" s="1"/>
  <c r="C260" i="136" s="1"/>
  <c r="C134" i="98"/>
  <c r="C104" i="98"/>
  <c r="C103" i="98" s="1"/>
  <c r="C204" i="136"/>
  <c r="C254" i="136" s="1"/>
  <c r="C258" i="136" s="1"/>
  <c r="C122" i="98"/>
  <c r="C226" i="136"/>
  <c r="C47" i="98"/>
  <c r="C724" i="44"/>
  <c r="C473" i="135"/>
  <c r="C484" i="135" s="1"/>
  <c r="C606" i="135"/>
  <c r="C340" i="135"/>
  <c r="C755" i="135"/>
  <c r="C494" i="135"/>
  <c r="C495" i="135" s="1"/>
  <c r="C756" i="135"/>
  <c r="C746" i="135"/>
  <c r="J55" i="138"/>
  <c r="J27" i="138"/>
  <c r="C235" i="136" l="1"/>
  <c r="C81" i="48"/>
  <c r="C185" i="136"/>
  <c r="C737" i="135"/>
  <c r="C749" i="135" s="1"/>
  <c r="C50" i="98"/>
  <c r="C95" i="98"/>
  <c r="C246" i="136"/>
  <c r="C247" i="136" s="1"/>
  <c r="C197" i="136"/>
  <c r="C173" i="136"/>
  <c r="C217" i="136"/>
  <c r="C220" i="136" s="1"/>
  <c r="C759" i="135"/>
  <c r="C760" i="135" s="1"/>
  <c r="C124" i="98"/>
  <c r="C205" i="136"/>
  <c r="C145" i="98"/>
  <c r="C148" i="98" s="1"/>
  <c r="C107" i="98"/>
  <c r="C96" i="98"/>
  <c r="C41" i="98"/>
  <c r="H12" i="145"/>
  <c r="D87" i="142"/>
  <c r="C238" i="136" l="1"/>
  <c r="C190" i="136"/>
  <c r="C210" i="136" s="1"/>
  <c r="C127" i="98"/>
  <c r="C129" i="98" s="1"/>
  <c r="C140" i="98"/>
  <c r="F27" i="145"/>
  <c r="C252" i="136"/>
  <c r="C141" i="98"/>
  <c r="C98" i="98"/>
  <c r="C261" i="136" l="1"/>
  <c r="C143" i="98"/>
  <c r="D492" i="135" l="1"/>
  <c r="D455" i="135"/>
  <c r="D69" i="48" l="1"/>
  <c r="D81" i="98" l="1"/>
  <c r="D907" i="44" l="1"/>
  <c r="I49" i="139" l="1"/>
  <c r="H49" i="139"/>
  <c r="F49" i="139"/>
  <c r="D104" i="47" l="1"/>
  <c r="D878" i="44"/>
  <c r="J13" i="115" l="1"/>
  <c r="C9" i="115"/>
  <c r="D57" i="48"/>
  <c r="D895" i="44"/>
  <c r="D821" i="44"/>
  <c r="D813" i="44"/>
  <c r="D804" i="44"/>
  <c r="D796" i="44"/>
  <c r="D473" i="44"/>
  <c r="D348" i="44"/>
  <c r="D308" i="44"/>
  <c r="D299" i="44"/>
  <c r="D283" i="44"/>
  <c r="D263" i="44"/>
  <c r="D255" i="44"/>
  <c r="D236" i="44"/>
  <c r="D79" i="48" l="1"/>
  <c r="D110" i="47"/>
  <c r="D106" i="98" l="1"/>
  <c r="D52" i="43"/>
  <c r="D53" i="43"/>
  <c r="D54" i="43"/>
  <c r="D55" i="43"/>
  <c r="D59" i="43"/>
  <c r="D60" i="43"/>
  <c r="D61" i="43"/>
  <c r="D49" i="43"/>
  <c r="D62" i="43" l="1"/>
  <c r="D57" i="43"/>
  <c r="D63" i="43" l="1"/>
  <c r="D29" i="43"/>
  <c r="D18" i="43"/>
  <c r="D8" i="43" l="1"/>
  <c r="D64" i="43"/>
  <c r="D19" i="43"/>
  <c r="D612" i="135"/>
  <c r="D462" i="135"/>
  <c r="D463" i="135"/>
  <c r="D464" i="135"/>
  <c r="D465" i="135"/>
  <c r="D466" i="135"/>
  <c r="D467" i="135"/>
  <c r="D468" i="135"/>
  <c r="D478" i="135"/>
  <c r="D480" i="135"/>
  <c r="D482" i="135"/>
  <c r="D488" i="135"/>
  <c r="D384" i="135"/>
  <c r="D375" i="135"/>
  <c r="D370" i="135"/>
  <c r="D475" i="135" s="1"/>
  <c r="D476" i="135" s="1"/>
  <c r="D356" i="135"/>
  <c r="D483" i="135" l="1"/>
  <c r="D622" i="135"/>
  <c r="D366" i="135"/>
  <c r="D456" i="135"/>
  <c r="D461" i="135"/>
  <c r="D718" i="135"/>
  <c r="D705" i="135"/>
  <c r="D471" i="135" l="1"/>
  <c r="D368" i="135"/>
  <c r="D378" i="135" s="1"/>
  <c r="D714" i="135"/>
  <c r="D687" i="135"/>
  <c r="D727" i="135"/>
  <c r="D728" i="135"/>
  <c r="D738" i="135"/>
  <c r="D739" i="135"/>
  <c r="D740" i="135"/>
  <c r="D753" i="135"/>
  <c r="D724" i="135"/>
  <c r="D685" i="135"/>
  <c r="D574" i="135"/>
  <c r="D577" i="135"/>
  <c r="D578" i="135"/>
  <c r="D579" i="135"/>
  <c r="D580" i="135"/>
  <c r="D732" i="135" s="1"/>
  <c r="D582" i="135"/>
  <c r="D734" i="135" s="1"/>
  <c r="D584" i="135"/>
  <c r="D736" i="135" s="1"/>
  <c r="D586" i="135"/>
  <c r="D587" i="135" s="1"/>
  <c r="D588" i="135"/>
  <c r="D589" i="135"/>
  <c r="D743" i="135" s="1"/>
  <c r="D590" i="135"/>
  <c r="D591" i="135"/>
  <c r="D593" i="135"/>
  <c r="D747" i="135" s="1"/>
  <c r="D596" i="135"/>
  <c r="D597" i="135"/>
  <c r="D598" i="135"/>
  <c r="D599" i="135"/>
  <c r="D600" i="135"/>
  <c r="D602" i="135"/>
  <c r="D603" i="135"/>
  <c r="D757" i="135" s="1"/>
  <c r="D531" i="135"/>
  <c r="D527" i="135"/>
  <c r="D518" i="135"/>
  <c r="D500" i="135"/>
  <c r="D680" i="135"/>
  <c r="D676" i="135"/>
  <c r="D667" i="135"/>
  <c r="D649" i="135"/>
  <c r="D643" i="135"/>
  <c r="D638" i="135"/>
  <c r="D629" i="135"/>
  <c r="D567" i="135"/>
  <c r="D563" i="135"/>
  <c r="D554" i="135"/>
  <c r="D549" i="135"/>
  <c r="D573" i="135" l="1"/>
  <c r="D510" i="135"/>
  <c r="D697" i="135"/>
  <c r="D719" i="135"/>
  <c r="D748" i="135"/>
  <c r="D659" i="135"/>
  <c r="D594" i="135"/>
  <c r="D605" i="135"/>
  <c r="D730" i="135"/>
  <c r="D568" i="135"/>
  <c r="D729" i="135"/>
  <c r="D741" i="135"/>
  <c r="D745" i="135"/>
  <c r="D731" i="135"/>
  <c r="D624" i="135"/>
  <c r="D726" i="135"/>
  <c r="D681" i="135"/>
  <c r="D644" i="135"/>
  <c r="D557" i="135"/>
  <c r="D592" i="135"/>
  <c r="D532" i="135"/>
  <c r="D601" i="135"/>
  <c r="D11" i="125"/>
  <c r="D19" i="125"/>
  <c r="D149" i="98"/>
  <c r="D147" i="98"/>
  <c r="D126" i="98"/>
  <c r="D125" i="98"/>
  <c r="D120" i="98"/>
  <c r="D110" i="98"/>
  <c r="D144" i="98"/>
  <c r="D75" i="98"/>
  <c r="D72" i="98"/>
  <c r="D70" i="98"/>
  <c r="D54" i="98"/>
  <c r="D52" i="98"/>
  <c r="D51" i="98"/>
  <c r="D48" i="98"/>
  <c r="D46" i="98"/>
  <c r="D45" i="98"/>
  <c r="D44" i="98"/>
  <c r="D43" i="98"/>
  <c r="D42" i="98"/>
  <c r="D19" i="98"/>
  <c r="D18" i="98"/>
  <c r="D17" i="98"/>
  <c r="D16" i="98"/>
  <c r="D15" i="98"/>
  <c r="D14" i="98"/>
  <c r="D13" i="98"/>
  <c r="D12" i="98"/>
  <c r="D661" i="135" l="1"/>
  <c r="D670" i="135" s="1"/>
  <c r="D699" i="135"/>
  <c r="D708" i="135" s="1"/>
  <c r="D105" i="98"/>
  <c r="D18" i="125"/>
  <c r="D583" i="135"/>
  <c r="J49" i="115"/>
  <c r="D725" i="135"/>
  <c r="D632" i="135"/>
  <c r="D512" i="135"/>
  <c r="J50" i="115"/>
  <c r="D606" i="135"/>
  <c r="D150" i="98"/>
  <c r="J56" i="115"/>
  <c r="J57" i="115" s="1"/>
  <c r="D11" i="98"/>
  <c r="D585" i="135" l="1"/>
  <c r="D595" i="135" s="1"/>
  <c r="D23" i="125"/>
  <c r="D735" i="135"/>
  <c r="D521" i="135"/>
  <c r="D65" i="125"/>
  <c r="D66" i="125"/>
  <c r="D71" i="125"/>
  <c r="D29" i="125"/>
  <c r="D26" i="98"/>
  <c r="D901" i="44"/>
  <c r="D906" i="44"/>
  <c r="D853" i="44"/>
  <c r="D837" i="44"/>
  <c r="D829" i="44"/>
  <c r="D779" i="44"/>
  <c r="D787" i="44"/>
  <c r="D770" i="44"/>
  <c r="D761" i="44"/>
  <c r="D752" i="44"/>
  <c r="D723" i="44"/>
  <c r="D707" i="44"/>
  <c r="D699" i="44"/>
  <c r="D690" i="44"/>
  <c r="D681" i="44"/>
  <c r="D673" i="44"/>
  <c r="D665" i="44"/>
  <c r="D657" i="44"/>
  <c r="D649" i="44"/>
  <c r="D641" i="44"/>
  <c r="D633" i="44"/>
  <c r="D625" i="44"/>
  <c r="D616" i="44"/>
  <c r="D607" i="44"/>
  <c r="D599" i="44"/>
  <c r="D583" i="44"/>
  <c r="D575" i="44"/>
  <c r="D567" i="44"/>
  <c r="D559" i="44"/>
  <c r="D551" i="44"/>
  <c r="D543" i="44"/>
  <c r="D535" i="44"/>
  <c r="D527" i="44"/>
  <c r="D519" i="44"/>
  <c r="D510" i="44"/>
  <c r="D501" i="44"/>
  <c r="D227" i="44"/>
  <c r="D218" i="44"/>
  <c r="D209" i="44"/>
  <c r="D166" i="44"/>
  <c r="D158" i="44"/>
  <c r="D200" i="44"/>
  <c r="D192" i="44"/>
  <c r="D175" i="44"/>
  <c r="D184" i="44"/>
  <c r="D30" i="98" l="1"/>
  <c r="D35" i="98"/>
  <c r="D38" i="98"/>
  <c r="D34" i="98"/>
  <c r="D36" i="98"/>
  <c r="D39" i="98"/>
  <c r="D31" i="98"/>
  <c r="D28" i="98"/>
  <c r="D25" i="98"/>
  <c r="D24" i="98"/>
  <c r="D27" i="98"/>
  <c r="D788" i="44"/>
  <c r="D465" i="44"/>
  <c r="D908" i="44"/>
  <c r="D29" i="98"/>
  <c r="D903" i="44"/>
  <c r="D725" i="44"/>
  <c r="D167" i="44"/>
  <c r="D356" i="44"/>
  <c r="D89" i="98" l="1"/>
  <c r="D87" i="98"/>
  <c r="D86" i="98"/>
  <c r="D724" i="44"/>
  <c r="D23" i="98"/>
  <c r="D909" i="44"/>
  <c r="D37" i="125"/>
  <c r="D366" i="44"/>
  <c r="D136" i="98" l="1"/>
  <c r="J10" i="115" s="1"/>
  <c r="D64" i="125"/>
  <c r="D73" i="125"/>
  <c r="D68" i="125"/>
  <c r="D328" i="44"/>
  <c r="D70" i="125" l="1"/>
  <c r="D37" i="98"/>
  <c r="D331" i="44"/>
  <c r="D339" i="44"/>
  <c r="D318" i="44" l="1"/>
  <c r="D33" i="98"/>
  <c r="D392" i="44"/>
  <c r="D76" i="48"/>
  <c r="D57" i="98"/>
  <c r="D97" i="98" s="1"/>
  <c r="D291" i="44"/>
  <c r="D273" i="44"/>
  <c r="D247" i="44"/>
  <c r="D99" i="44"/>
  <c r="D81" i="44"/>
  <c r="D72" i="44"/>
  <c r="D63" i="44"/>
  <c r="D54" i="44"/>
  <c r="D45" i="44"/>
  <c r="D36" i="44"/>
  <c r="D27" i="44"/>
  <c r="D17" i="44"/>
  <c r="D125" i="44"/>
  <c r="D150" i="44"/>
  <c r="D142" i="44"/>
  <c r="D134" i="44"/>
  <c r="D117" i="44"/>
  <c r="D109" i="44"/>
  <c r="D91" i="44"/>
  <c r="D142" i="98" l="1"/>
  <c r="D126" i="44"/>
  <c r="D374" i="44"/>
  <c r="D9" i="44"/>
  <c r="D70" i="48"/>
  <c r="D82" i="48"/>
  <c r="D73" i="44"/>
  <c r="D53" i="98"/>
  <c r="D83" i="44"/>
  <c r="D55" i="44"/>
  <c r="D228" i="44"/>
  <c r="D102" i="136"/>
  <c r="D207" i="136"/>
  <c r="D199" i="136"/>
  <c r="D196" i="136"/>
  <c r="D193" i="136"/>
  <c r="D187" i="136"/>
  <c r="D184" i="136"/>
  <c r="D182" i="136"/>
  <c r="D181" i="136"/>
  <c r="D180" i="136"/>
  <c r="D179" i="136"/>
  <c r="D178" i="136"/>
  <c r="D177" i="136"/>
  <c r="D176" i="136"/>
  <c r="D174" i="136"/>
  <c r="D89" i="136"/>
  <c r="D257" i="136"/>
  <c r="D250" i="136"/>
  <c r="D241" i="136"/>
  <c r="D240" i="136"/>
  <c r="D239" i="136"/>
  <c r="D228" i="136"/>
  <c r="D165" i="136"/>
  <c r="D162" i="136"/>
  <c r="D158" i="136"/>
  <c r="D154" i="136"/>
  <c r="D132" i="136"/>
  <c r="D131" i="136"/>
  <c r="D127" i="136"/>
  <c r="D119" i="136"/>
  <c r="D255" i="136"/>
  <c r="D116" i="136"/>
  <c r="D97" i="136"/>
  <c r="D82" i="136"/>
  <c r="D66" i="136"/>
  <c r="D61" i="136"/>
  <c r="D55" i="136"/>
  <c r="D45" i="136"/>
  <c r="D31" i="136"/>
  <c r="D27" i="136"/>
  <c r="D24" i="136"/>
  <c r="D341" i="135"/>
  <c r="D342" i="135"/>
  <c r="D343" i="135"/>
  <c r="D345" i="135"/>
  <c r="D489" i="135" s="1"/>
  <c r="D754" i="135" s="1"/>
  <c r="D347" i="135"/>
  <c r="D335" i="135"/>
  <c r="D336" i="135"/>
  <c r="D320" i="135"/>
  <c r="D315" i="135"/>
  <c r="D311" i="135"/>
  <c r="D302" i="135"/>
  <c r="D281" i="135"/>
  <c r="D277" i="135"/>
  <c r="D268" i="135"/>
  <c r="D247" i="135"/>
  <c r="D243" i="135"/>
  <c r="D234" i="135"/>
  <c r="D213" i="135"/>
  <c r="D209" i="135"/>
  <c r="D200" i="135"/>
  <c r="D179" i="135"/>
  <c r="D175" i="135"/>
  <c r="D166" i="135"/>
  <c r="D145" i="135"/>
  <c r="D141" i="135"/>
  <c r="D132" i="135"/>
  <c r="D110" i="135"/>
  <c r="D106" i="135"/>
  <c r="D97" i="135"/>
  <c r="D76" i="135"/>
  <c r="D72" i="135"/>
  <c r="D63" i="135"/>
  <c r="D41" i="135"/>
  <c r="D37" i="135"/>
  <c r="D28" i="135"/>
  <c r="D31" i="135" l="1"/>
  <c r="D459" i="135"/>
  <c r="D460" i="135" s="1"/>
  <c r="D142" i="136"/>
  <c r="D71" i="136"/>
  <c r="D491" i="135"/>
  <c r="D88" i="98"/>
  <c r="D121" i="98"/>
  <c r="D55" i="98"/>
  <c r="D225" i="136"/>
  <c r="D180" i="135"/>
  <c r="D487" i="135"/>
  <c r="D81" i="48"/>
  <c r="D82" i="44"/>
  <c r="D305" i="135"/>
  <c r="D316" i="135"/>
  <c r="D271" i="135"/>
  <c r="D282" i="135"/>
  <c r="D237" i="135"/>
  <c r="D248" i="135"/>
  <c r="D203" i="135"/>
  <c r="D214" i="135"/>
  <c r="D169" i="135"/>
  <c r="D135" i="135"/>
  <c r="D100" i="135"/>
  <c r="D111" i="135"/>
  <c r="D66" i="135"/>
  <c r="D77" i="135"/>
  <c r="D479" i="135"/>
  <c r="D42" i="135"/>
  <c r="D485" i="135"/>
  <c r="J39" i="115"/>
  <c r="C36" i="115"/>
  <c r="D197" i="136"/>
  <c r="D234" i="136"/>
  <c r="D221" i="136"/>
  <c r="C11" i="115"/>
  <c r="C23" i="115"/>
  <c r="D188" i="136"/>
  <c r="D236" i="136" s="1"/>
  <c r="D208" i="136"/>
  <c r="C50" i="115"/>
  <c r="C13" i="115"/>
  <c r="D95" i="136"/>
  <c r="C37" i="115"/>
  <c r="D229" i="136"/>
  <c r="D200" i="136"/>
  <c r="C12" i="115"/>
  <c r="C35" i="115"/>
  <c r="C53" i="115"/>
  <c r="D231" i="136"/>
  <c r="D194" i="136"/>
  <c r="D248" i="136"/>
  <c r="D337" i="135"/>
  <c r="D477" i="135"/>
  <c r="D346" i="135"/>
  <c r="D486" i="135"/>
  <c r="D146" i="135"/>
  <c r="D332" i="135"/>
  <c r="D350" i="135"/>
  <c r="D227" i="136"/>
  <c r="D175" i="136"/>
  <c r="D185" i="136" s="1"/>
  <c r="D108" i="136"/>
  <c r="D230" i="136"/>
  <c r="D246" i="136"/>
  <c r="D223" i="136"/>
  <c r="G21" i="145" s="1"/>
  <c r="D222" i="136"/>
  <c r="D43" i="136"/>
  <c r="D101" i="136"/>
  <c r="D245" i="136"/>
  <c r="D242" i="136"/>
  <c r="D232" i="136"/>
  <c r="D243" i="136"/>
  <c r="G9" i="145" l="1"/>
  <c r="D473" i="135"/>
  <c r="D722" i="135"/>
  <c r="D756" i="135"/>
  <c r="D147" i="136"/>
  <c r="H21" i="145"/>
  <c r="C20" i="115"/>
  <c r="D95" i="98"/>
  <c r="D50" i="98"/>
  <c r="H9" i="145"/>
  <c r="D752" i="135"/>
  <c r="D22" i="136"/>
  <c r="D214" i="136"/>
  <c r="D115" i="47"/>
  <c r="D47" i="98"/>
  <c r="D340" i="135"/>
  <c r="D750" i="135"/>
  <c r="D744" i="135"/>
  <c r="D751" i="135"/>
  <c r="C45" i="115"/>
  <c r="C24" i="115"/>
  <c r="C16" i="115"/>
  <c r="C39" i="115"/>
  <c r="C17" i="115"/>
  <c r="C42" i="115"/>
  <c r="C27" i="115"/>
  <c r="C41" i="115"/>
  <c r="C25" i="115"/>
  <c r="D249" i="136"/>
  <c r="C30" i="115"/>
  <c r="C26" i="115"/>
  <c r="D259" i="136"/>
  <c r="C38" i="115"/>
  <c r="D110" i="136"/>
  <c r="C18" i="115"/>
  <c r="C22" i="115"/>
  <c r="D494" i="135"/>
  <c r="D237" i="136"/>
  <c r="C32" i="115"/>
  <c r="C33" i="115" s="1"/>
  <c r="D481" i="135"/>
  <c r="D742" i="135"/>
  <c r="D490" i="135"/>
  <c r="D351" i="135"/>
  <c r="D247" i="136"/>
  <c r="G18" i="145" s="1"/>
  <c r="D244" i="136"/>
  <c r="D226" i="136"/>
  <c r="D224" i="136"/>
  <c r="G27" i="145" l="1"/>
  <c r="D723" i="135"/>
  <c r="D737" i="135" s="1"/>
  <c r="D172" i="136"/>
  <c r="D217" i="136" s="1"/>
  <c r="C8" i="115"/>
  <c r="D84" i="136"/>
  <c r="D167" i="136"/>
  <c r="D251" i="136"/>
  <c r="H18" i="145"/>
  <c r="D116" i="47"/>
  <c r="D117" i="98"/>
  <c r="C44" i="115"/>
  <c r="D119" i="98"/>
  <c r="D96" i="98"/>
  <c r="D41" i="98"/>
  <c r="C19" i="115"/>
  <c r="C40" i="115"/>
  <c r="D484" i="135"/>
  <c r="D104" i="98"/>
  <c r="D204" i="136"/>
  <c r="D118" i="98"/>
  <c r="D755" i="135"/>
  <c r="D495" i="135"/>
  <c r="D260" i="136"/>
  <c r="C56" i="115"/>
  <c r="C46" i="115"/>
  <c r="C47" i="115" s="1"/>
  <c r="D235" i="136"/>
  <c r="C21" i="115"/>
  <c r="C31" i="115" s="1"/>
  <c r="D746" i="135"/>
  <c r="D203" i="136"/>
  <c r="D124" i="98"/>
  <c r="D759" i="135"/>
  <c r="D173" i="136" l="1"/>
  <c r="D190" i="136" s="1"/>
  <c r="D252" i="136"/>
  <c r="D121" i="136"/>
  <c r="D254" i="136"/>
  <c r="D133" i="98"/>
  <c r="J7" i="115" s="1"/>
  <c r="D141" i="98"/>
  <c r="C57" i="115"/>
  <c r="D98" i="98"/>
  <c r="D135" i="98"/>
  <c r="C48" i="115"/>
  <c r="D103" i="98"/>
  <c r="D749" i="135"/>
  <c r="D760" i="135"/>
  <c r="D134" i="98"/>
  <c r="D122" i="98"/>
  <c r="D127" i="98"/>
  <c r="D140" i="98"/>
  <c r="D205" i="136"/>
  <c r="D253" i="136"/>
  <c r="C10" i="115"/>
  <c r="C15" i="115" s="1"/>
  <c r="C34" i="115" s="1"/>
  <c r="D220" i="136"/>
  <c r="D19" i="49"/>
  <c r="D14" i="49" s="1"/>
  <c r="J38" i="115" l="1"/>
  <c r="C51" i="115"/>
  <c r="J9" i="115"/>
  <c r="J8" i="115"/>
  <c r="D107" i="98"/>
  <c r="D145" i="98"/>
  <c r="D129" i="98"/>
  <c r="D210" i="136"/>
  <c r="D238" i="136"/>
  <c r="D261" i="136" s="1"/>
  <c r="J14" i="115"/>
  <c r="D143" i="98"/>
  <c r="J37" i="115"/>
  <c r="D258" i="136"/>
  <c r="C49" i="115"/>
  <c r="D25" i="49"/>
  <c r="D97" i="142"/>
  <c r="C55" i="115" l="1"/>
  <c r="J48" i="115"/>
  <c r="C59" i="115"/>
  <c r="D82" i="98"/>
  <c r="D90" i="98" s="1"/>
  <c r="D83" i="98"/>
  <c r="D148" i="98"/>
  <c r="J51" i="115"/>
  <c r="J55" i="115" s="1"/>
  <c r="D91" i="98" l="1"/>
  <c r="D137" i="98" l="1"/>
  <c r="D138" i="98" s="1"/>
  <c r="D151" i="98" s="1"/>
  <c r="D92" i="98"/>
  <c r="D25" i="142"/>
  <c r="J12" i="115" l="1"/>
  <c r="J34" i="115" s="1"/>
  <c r="J59" i="115" s="1"/>
  <c r="D112" i="98"/>
  <c r="D68" i="142"/>
  <c r="D69" i="142"/>
  <c r="D167" i="141" l="1"/>
  <c r="D164" i="141"/>
  <c r="D157" i="141" l="1"/>
  <c r="D19" i="142" l="1"/>
  <c r="D85" i="142" l="1"/>
  <c r="D83" i="142" l="1"/>
  <c r="D86" i="141" l="1"/>
  <c r="D98" i="142"/>
  <c r="D159" i="141" l="1"/>
  <c r="D155" i="141" l="1"/>
  <c r="D36" i="141"/>
  <c r="D89" i="142"/>
  <c r="D52" i="142" l="1"/>
  <c r="D29" i="142"/>
  <c r="D24" i="142"/>
  <c r="D23" i="142"/>
  <c r="D22" i="142"/>
  <c r="D99" i="142"/>
  <c r="J169" i="141" l="1"/>
  <c r="I51" i="138" l="1"/>
  <c r="I52" i="138"/>
  <c r="I53" i="138"/>
  <c r="I54" i="138"/>
  <c r="I55" i="138"/>
  <c r="I56" i="138"/>
  <c r="I50" i="138"/>
  <c r="I49" i="138"/>
  <c r="D86" i="142" l="1"/>
  <c r="D93" i="142" l="1"/>
  <c r="D84" i="142"/>
  <c r="D88" i="142"/>
  <c r="D80" i="142" l="1"/>
  <c r="C19" i="49" l="1"/>
  <c r="C14" i="49" s="1"/>
  <c r="C82" i="98" s="1"/>
  <c r="C90" i="98" l="1"/>
  <c r="C137" i="98" s="1"/>
  <c r="C138" i="98" s="1"/>
  <c r="C151" i="98" s="1"/>
  <c r="D54" i="142"/>
  <c r="D15" i="142"/>
  <c r="D61" i="142"/>
  <c r="D60" i="142" l="1"/>
  <c r="D33" i="142"/>
  <c r="D40" i="141" l="1"/>
  <c r="D64" i="142"/>
  <c r="D46" i="142"/>
  <c r="D12" i="142" l="1"/>
  <c r="I27" i="138" l="1"/>
  <c r="I13" i="115" l="1"/>
  <c r="B9" i="115"/>
  <c r="B12" i="115" l="1"/>
  <c r="B35" i="115"/>
  <c r="B13" i="115"/>
  <c r="B36" i="115"/>
  <c r="B37" i="115"/>
  <c r="B11" i="115"/>
  <c r="B23" i="115"/>
  <c r="I50" i="115"/>
  <c r="I56" i="115"/>
  <c r="I57" i="115" s="1"/>
  <c r="B20" i="115"/>
  <c r="I14" i="115"/>
  <c r="C25" i="49"/>
  <c r="I49" i="115"/>
  <c r="B45" i="115"/>
  <c r="B50" i="115"/>
  <c r="B49" i="115"/>
  <c r="C83" i="98" l="1"/>
  <c r="C91" i="98" s="1"/>
  <c r="C92" i="98" s="1"/>
  <c r="C112" i="98" s="1"/>
  <c r="B53" i="115"/>
  <c r="B38" i="115"/>
  <c r="B16" i="115"/>
  <c r="B41" i="115"/>
  <c r="B42" i="115"/>
  <c r="B8" i="115"/>
  <c r="B18" i="115" l="1"/>
  <c r="B44" i="115"/>
  <c r="B10" i="115"/>
  <c r="B15" i="115" s="1"/>
  <c r="B46" i="115"/>
  <c r="B47" i="115" s="1"/>
  <c r="B17" i="115"/>
  <c r="B39" i="115"/>
  <c r="B40" i="115" s="1"/>
  <c r="B19" i="115" l="1"/>
  <c r="B27" i="115"/>
  <c r="H27" i="145"/>
  <c r="I10" i="115"/>
  <c r="B24" i="115"/>
  <c r="B32" i="115"/>
  <c r="B33" i="115" s="1"/>
  <c r="B22" i="115"/>
  <c r="B56" i="115"/>
  <c r="B57" i="115" s="1"/>
  <c r="B30" i="115"/>
  <c r="B48" i="115"/>
  <c r="I39" i="115"/>
  <c r="B26" i="115"/>
  <c r="B25" i="115"/>
  <c r="I38" i="115" l="1"/>
  <c r="I37" i="115"/>
  <c r="B21" i="115"/>
  <c r="I12" i="115"/>
  <c r="B31" i="115" l="1"/>
  <c r="B34" i="115" s="1"/>
  <c r="B59" i="115" s="1"/>
  <c r="I48" i="115"/>
  <c r="D166" i="141" l="1"/>
  <c r="B51" i="115" l="1"/>
  <c r="B55" i="115" s="1"/>
  <c r="L169" i="141" l="1"/>
  <c r="I9" i="115" l="1"/>
  <c r="I8" i="115"/>
  <c r="I7" i="115" l="1"/>
  <c r="I34" i="115" s="1"/>
  <c r="I59" i="115" l="1"/>
  <c r="I51" i="115" l="1"/>
  <c r="I55" i="115" s="1"/>
  <c r="D163" i="141" l="1"/>
  <c r="D154" i="141" l="1"/>
  <c r="D150" i="141" l="1"/>
  <c r="D16" i="142" l="1"/>
  <c r="D45" i="142" l="1"/>
  <c r="D38" i="142" l="1"/>
  <c r="D34" i="142"/>
  <c r="D94" i="142" l="1"/>
  <c r="D7" i="142" l="1"/>
  <c r="D30" i="142" l="1"/>
  <c r="D11" i="142" l="1"/>
  <c r="D51" i="142" l="1"/>
  <c r="D41" i="142"/>
  <c r="D13" i="142"/>
  <c r="D18" i="142"/>
  <c r="D67" i="142" l="1"/>
  <c r="D56" i="142"/>
  <c r="D145" i="141" l="1"/>
  <c r="D66" i="142" l="1"/>
  <c r="F25" i="139"/>
  <c r="G25" i="139"/>
  <c r="H25" i="139"/>
  <c r="I25" i="139"/>
  <c r="D149" i="141" l="1"/>
  <c r="D42" i="142"/>
  <c r="D20" i="142" l="1"/>
  <c r="K27" i="145" l="1"/>
  <c r="J27" i="145"/>
  <c r="I27" i="145"/>
  <c r="G12" i="143"/>
  <c r="E12" i="143"/>
  <c r="D12" i="143"/>
  <c r="C12" i="143"/>
  <c r="D91" i="142"/>
  <c r="D90" i="142"/>
  <c r="D82" i="142"/>
  <c r="D81" i="142"/>
  <c r="D79" i="142"/>
  <c r="D78" i="142"/>
  <c r="D77" i="142"/>
  <c r="D76" i="142"/>
  <c r="D75" i="142"/>
  <c r="D74" i="142"/>
  <c r="D73" i="142"/>
  <c r="D72" i="142"/>
  <c r="D71" i="142"/>
  <c r="D70" i="142"/>
  <c r="D65" i="142"/>
  <c r="D63" i="142"/>
  <c r="D62" i="142"/>
  <c r="D59" i="142"/>
  <c r="D58" i="142"/>
  <c r="D57" i="142"/>
  <c r="D55" i="142"/>
  <c r="D50" i="142"/>
  <c r="D49" i="142"/>
  <c r="D48" i="142"/>
  <c r="D47" i="142"/>
  <c r="D44" i="142"/>
  <c r="D43" i="142"/>
  <c r="D40" i="142"/>
  <c r="D39" i="142"/>
  <c r="D37" i="142"/>
  <c r="D36" i="142"/>
  <c r="D35" i="142"/>
  <c r="D32" i="142"/>
  <c r="D31" i="142"/>
  <c r="D17" i="142"/>
  <c r="D14" i="142"/>
  <c r="D8" i="142"/>
  <c r="D165" i="141"/>
  <c r="D161" i="141"/>
  <c r="D160" i="141"/>
  <c r="D153" i="141"/>
  <c r="D152" i="141"/>
  <c r="D151" i="141"/>
  <c r="D148" i="141"/>
  <c r="D147" i="141"/>
  <c r="D146" i="141"/>
  <c r="D144" i="141"/>
  <c r="D143" i="141"/>
  <c r="D142" i="141"/>
  <c r="D138" i="141"/>
  <c r="D135" i="141"/>
  <c r="D126" i="141"/>
  <c r="D125" i="141"/>
  <c r="D124" i="141"/>
  <c r="D78" i="141"/>
  <c r="D76" i="141"/>
  <c r="D64" i="141"/>
  <c r="D48" i="141"/>
  <c r="D47" i="141"/>
  <c r="D46" i="141"/>
  <c r="D45" i="141"/>
  <c r="D38" i="141"/>
  <c r="I50" i="139"/>
  <c r="H50" i="139"/>
  <c r="G49" i="139"/>
  <c r="F50" i="139"/>
  <c r="C169" i="141" l="1"/>
  <c r="D169" i="141"/>
  <c r="D100" i="142"/>
  <c r="E25" i="139"/>
  <c r="E49" i="139"/>
  <c r="G50" i="139"/>
  <c r="E50" i="139" l="1"/>
  <c r="H319" i="135" l="1"/>
  <c r="I11" i="135"/>
  <c r="H12" i="135"/>
  <c r="I12" i="135" l="1"/>
  <c r="I319" i="135"/>
  <c r="H23" i="135"/>
  <c r="H320" i="135"/>
  <c r="H332" i="135" l="1"/>
  <c r="I320" i="135"/>
  <c r="H459" i="135"/>
  <c r="I459" i="135" s="1"/>
  <c r="H31" i="135"/>
  <c r="I23" i="135"/>
  <c r="I31" i="135" l="1"/>
  <c r="H722" i="135"/>
  <c r="H460" i="135"/>
  <c r="I460" i="135" s="1"/>
  <c r="I332" i="135"/>
  <c r="H340" i="135"/>
  <c r="H473" i="135" l="1"/>
  <c r="H484" i="135" s="1"/>
  <c r="I340" i="135"/>
  <c r="H723" i="135"/>
  <c r="I722" i="135"/>
  <c r="I473" i="135" l="1"/>
  <c r="I484" i="135"/>
  <c r="H737" i="135"/>
  <c r="I723" i="135"/>
  <c r="I737" i="135" l="1"/>
  <c r="H749" i="135"/>
  <c r="I749" i="135" l="1"/>
</calcChain>
</file>

<file path=xl/sharedStrings.xml><?xml version="1.0" encoding="utf-8"?>
<sst xmlns="http://schemas.openxmlformats.org/spreadsheetml/2006/main" count="4246" uniqueCount="1801">
  <si>
    <t xml:space="preserve">       - Helyiség megszerzési díj  </t>
  </si>
  <si>
    <t xml:space="preserve">       - Önkormányzat közvetített szolgáltatások ellenértéke  </t>
  </si>
  <si>
    <t xml:space="preserve">     - Működési célú költségvetési támogatások és kiegészítő támogatások</t>
  </si>
  <si>
    <t xml:space="preserve">     - Elszámolásból származó bevételek</t>
  </si>
  <si>
    <t xml:space="preserve">       - Nyomvonal létesítés kártalanítás</t>
  </si>
  <si>
    <t xml:space="preserve">Egyéb közhatalmi bevételek </t>
  </si>
  <si>
    <t>Akadálymentesítési támogatás</t>
  </si>
  <si>
    <t>Ferencvárosi Helytörténeti Egyesület</t>
  </si>
  <si>
    <t>Gépkocsi elszállítás</t>
  </si>
  <si>
    <t>Jövedelempótló rendszeres támogatás</t>
  </si>
  <si>
    <t xml:space="preserve">                        ebből: kiemelt rendezvények</t>
  </si>
  <si>
    <t xml:space="preserve">   Beruházási kiadások</t>
  </si>
  <si>
    <t>Közfoglalkoztatottak pályázat tám.önrésze, kapcs.egyéb kiad.tám.</t>
  </si>
  <si>
    <t xml:space="preserve">Ferencvárosi Intézmény Üzemeltetési Központ </t>
  </si>
  <si>
    <t>FEV IX. Zrt. támogatása</t>
  </si>
  <si>
    <t>Térfigyelő rendszer fejlesztése</t>
  </si>
  <si>
    <t>Humánszolgáltatási feladatok</t>
  </si>
  <si>
    <t>Karaván Művészeti Alapítvány</t>
  </si>
  <si>
    <t xml:space="preserve">   Munkaadókat terhelő járulékok</t>
  </si>
  <si>
    <t xml:space="preserve">    Építményadó                        </t>
  </si>
  <si>
    <t xml:space="preserve">    Telekadó                   </t>
  </si>
  <si>
    <t xml:space="preserve">Felhalmozási finanszírozási kiadások </t>
  </si>
  <si>
    <t xml:space="preserve">Működési finanszírozási kiadások </t>
  </si>
  <si>
    <t>FESZOFE Nonprofit Kft</t>
  </si>
  <si>
    <t>Idősügyi Koncepció</t>
  </si>
  <si>
    <t>Ifjusági és drogprevenciós feladatok</t>
  </si>
  <si>
    <t>Felhalmozási finanszírozási kiadások mindösszesen</t>
  </si>
  <si>
    <t>Működési finanszírozási bevételek összesen</t>
  </si>
  <si>
    <r>
      <t xml:space="preserve">Általános tartalék - </t>
    </r>
    <r>
      <rPr>
        <i/>
        <sz val="9"/>
        <rFont val="Arial CE"/>
        <charset val="238"/>
      </rPr>
      <t>Egyéb működési célú kiadás</t>
    </r>
  </si>
  <si>
    <r>
      <t xml:space="preserve">Céltartalék - </t>
    </r>
    <r>
      <rPr>
        <i/>
        <sz val="9"/>
        <rFont val="Arial CE"/>
        <charset val="238"/>
      </rPr>
      <t>Egyéb működési célú kiadás</t>
    </r>
  </si>
  <si>
    <t>Üdülőhelyi szálláshely szolgáltatás</t>
  </si>
  <si>
    <t>Általános közszolgáltatások, közrend, közbiztonság</t>
  </si>
  <si>
    <t>Egészségügy, szociális védelem</t>
  </si>
  <si>
    <t>Kiadások összesen</t>
  </si>
  <si>
    <t>Szabadidő, sport, kultúra, vallás</t>
  </si>
  <si>
    <t>Egészszégügy, szociális védelem</t>
  </si>
  <si>
    <r>
      <t xml:space="preserve">Céltartalék - </t>
    </r>
    <r>
      <rPr>
        <sz val="10"/>
        <rFont val="Arial CE"/>
        <charset val="238"/>
      </rPr>
      <t>egyéb működés célú kiadás</t>
    </r>
  </si>
  <si>
    <t>Működési költségvetési kiadások mindösszesen</t>
  </si>
  <si>
    <t>Működési finanszírozási bevételek</t>
  </si>
  <si>
    <t>Működési finanszírozási kiadások</t>
  </si>
  <si>
    <t>Felhalmozási finanszírozási bevételek</t>
  </si>
  <si>
    <t>Felhalmozási finanszírozási kiadások</t>
  </si>
  <si>
    <t xml:space="preserve">     Munkáltatói kölcsön</t>
  </si>
  <si>
    <t>Felhalmozási költségvetési kiadások mindösszesen</t>
  </si>
  <si>
    <t>Működési költségvetési bevételek mindösszesen</t>
  </si>
  <si>
    <t>Felhalmozási költségvetési bevételek mindösszesen</t>
  </si>
  <si>
    <t>Működési költségvetési kiadások</t>
  </si>
  <si>
    <t>Felhalmozási költségvetési kiadások</t>
  </si>
  <si>
    <t>Felhalmozási költségvetés kiadások mindösszesen</t>
  </si>
  <si>
    <t>Bevételek mindösszesen</t>
  </si>
  <si>
    <t>Polgármester tiszt. összefüggő egyéb feladatok</t>
  </si>
  <si>
    <t>Tartalék összesen</t>
  </si>
  <si>
    <t>ebből:társasházak lépcsőházi kamerák támogatása</t>
  </si>
  <si>
    <t>Pályázat előkészítés, lebonyolítás</t>
  </si>
  <si>
    <t xml:space="preserve">Kiadások összesen </t>
  </si>
  <si>
    <t>Ágazat összesen:</t>
  </si>
  <si>
    <t xml:space="preserve">      ebből tartalék:</t>
  </si>
  <si>
    <t>Közúti közlekedés</t>
  </si>
  <si>
    <t xml:space="preserve">   Ellátottak pénzbeli támogatása</t>
  </si>
  <si>
    <t xml:space="preserve">   Felhalmozási költségvetési kiadások</t>
  </si>
  <si>
    <t>Egyéb kiegészítő szolgáltatás</t>
  </si>
  <si>
    <t>Tulajdonosi bevétel</t>
  </si>
  <si>
    <t>Általános közszolgáltatások</t>
  </si>
  <si>
    <t>Általános közszolgáltatások, közrend - Gazdasági társaságok</t>
  </si>
  <si>
    <t>Szabadidő, sport, kultúra, és vallás</t>
  </si>
  <si>
    <t>Szabadidő, sport</t>
  </si>
  <si>
    <t xml:space="preserve">       - Egyéb szolgáltatás</t>
  </si>
  <si>
    <t xml:space="preserve">       - Bérleti díjak</t>
  </si>
  <si>
    <t xml:space="preserve">        - Önkormányzat kamat</t>
  </si>
  <si>
    <t xml:space="preserve">    Egyéb működési célú kiadások </t>
  </si>
  <si>
    <t>Működési-felhalmozási bevételek-kiadások mérlegszerű bemutatása</t>
  </si>
  <si>
    <t>Egyéb működési célú kiadások</t>
  </si>
  <si>
    <t>Ellátottak pénzbeli juttatásai</t>
  </si>
  <si>
    <t>Örmény Nemzetiségi Önkormányzat</t>
  </si>
  <si>
    <t>Román Nemzetiségi Önkormányzat</t>
  </si>
  <si>
    <t>Szerb Nemzetiségi Önkormányzat</t>
  </si>
  <si>
    <t>Szlovák Nemzetiségi Önkormányzat</t>
  </si>
  <si>
    <t>Ukrán Nemzetiségi Önkormányzat</t>
  </si>
  <si>
    <t xml:space="preserve">     Munkaadókat terhelő járulékok és szociális hozzájárulási adó</t>
  </si>
  <si>
    <t xml:space="preserve">     Dologi kiadások</t>
  </si>
  <si>
    <t xml:space="preserve">   Munkaadókat terhelő járulékok és szociális hozzájárulási adó</t>
  </si>
  <si>
    <t>Kiadások mindösszesen</t>
  </si>
  <si>
    <t xml:space="preserve">     Személyi juttatások </t>
  </si>
  <si>
    <t>Balatonszéplaki Üdülő</t>
  </si>
  <si>
    <t xml:space="preserve">   Személyi juttatások </t>
  </si>
  <si>
    <t>Polgármesteri Hivatal összesen:</t>
  </si>
  <si>
    <t>Férőhely fenntartási díj Magyar Vöröskereszt</t>
  </si>
  <si>
    <t>Fogyatékos személyek nappali ellátása Gond-viselés Kht.</t>
  </si>
  <si>
    <t xml:space="preserve">     Ellátottak pénzbeli juttatásai</t>
  </si>
  <si>
    <t xml:space="preserve">   Ellátottak pénzbeli juttatásai</t>
  </si>
  <si>
    <t>Közutak üzemeltetése</t>
  </si>
  <si>
    <t>Bérlakás és egyéb ingatlan elidegenítés</t>
  </si>
  <si>
    <t>Ingatlanokkal kapcsolatos egyéb feladatok</t>
  </si>
  <si>
    <t>Nem önkormányzati tulajdonú lakóépületek veszélyelhárítása</t>
  </si>
  <si>
    <t xml:space="preserve">Helyiség megszerzési díj </t>
  </si>
  <si>
    <t>Oktatás</t>
  </si>
  <si>
    <t>Nemzetiségi Önkormányzat működési kiadásai</t>
  </si>
  <si>
    <t>Költségvetési kiadások</t>
  </si>
  <si>
    <t>Lakbértámogatás</t>
  </si>
  <si>
    <t>Adósságkezelési támogatás</t>
  </si>
  <si>
    <t>Köztisztasági feladatok</t>
  </si>
  <si>
    <t>Diáksport</t>
  </si>
  <si>
    <t>Testvérvárosi kapcsolatok</t>
  </si>
  <si>
    <t>Egyéb rendezvények</t>
  </si>
  <si>
    <t>Köztemetés</t>
  </si>
  <si>
    <t>Feladat megnevezése</t>
  </si>
  <si>
    <t>bizottság</t>
  </si>
  <si>
    <t>Támogatások összesen:</t>
  </si>
  <si>
    <t>R e h a b i l i t á c i ó   ö s s z e s e n :</t>
  </si>
  <si>
    <t>Egészségügyi prevenció</t>
  </si>
  <si>
    <t>Mindösszesen</t>
  </si>
  <si>
    <t xml:space="preserve">Összesen </t>
  </si>
  <si>
    <t>Társasház felújítási pályázat</t>
  </si>
  <si>
    <t>Kulturális feladatok összesen</t>
  </si>
  <si>
    <t>Támogató Szolgálat (Motiváció Alapítvány)</t>
  </si>
  <si>
    <t>Bursa Hungarica</t>
  </si>
  <si>
    <t xml:space="preserve">    Személyi juttatások</t>
  </si>
  <si>
    <t>Lakáslemondás térítés, lakásbiztosíték visszafizetés</t>
  </si>
  <si>
    <t xml:space="preserve">    Ellátottak pénzbeli juttatásai</t>
  </si>
  <si>
    <t>Megnevezés</t>
  </si>
  <si>
    <t>1.</t>
  </si>
  <si>
    <t>2.</t>
  </si>
  <si>
    <t>3.</t>
  </si>
  <si>
    <t xml:space="preserve">       - Parkolási díj, ügyviteli költség</t>
  </si>
  <si>
    <t>Concerto Akadémia Nonprofit Kft.</t>
  </si>
  <si>
    <t xml:space="preserve">   Személyi juttatás</t>
  </si>
  <si>
    <t>Sport Alap</t>
  </si>
  <si>
    <t>KÉK Pont</t>
  </si>
  <si>
    <t>Összesen:</t>
  </si>
  <si>
    <t>Bevételek</t>
  </si>
  <si>
    <t>Összesen</t>
  </si>
  <si>
    <t xml:space="preserve">    Idegenforgalmi adó</t>
  </si>
  <si>
    <t>Kényszer kiköltöztetés</t>
  </si>
  <si>
    <t xml:space="preserve">    Iparűzési adó</t>
  </si>
  <si>
    <t xml:space="preserve">    Helyiség értékesítés</t>
  </si>
  <si>
    <t>Egyéb közhatalmi bevételek</t>
  </si>
  <si>
    <t>KF - rehabilitáció járulékos költségek</t>
  </si>
  <si>
    <t>Társasházak támogatása</t>
  </si>
  <si>
    <t>Soszám</t>
  </si>
  <si>
    <t>Ügyvédi díjak</t>
  </si>
  <si>
    <t xml:space="preserve"> Elvonások és befizetések bevételei</t>
  </si>
  <si>
    <t xml:space="preserve"> Egyéb működési célú támogatások bevételei Áh-n belülről</t>
  </si>
  <si>
    <t>Működési célú támogatások Áh-n belülről összesen</t>
  </si>
  <si>
    <t xml:space="preserve"> Szolgáltatások ellenértéke</t>
  </si>
  <si>
    <t xml:space="preserve">    Egyéb szolgáltatás</t>
  </si>
  <si>
    <t xml:space="preserve">    Bérleti díjak</t>
  </si>
  <si>
    <t xml:space="preserve"> Közvetített szolgáltatások ellenértéke</t>
  </si>
  <si>
    <t xml:space="preserve"> Ellátási díjak</t>
  </si>
  <si>
    <t xml:space="preserve"> Kiszámlázott általános forgalmi adó</t>
  </si>
  <si>
    <t xml:space="preserve"> Egyéb működési bevételek</t>
  </si>
  <si>
    <t>Védőoltás támogatása</t>
  </si>
  <si>
    <t>Kerekerdő Óvoda /Vágóhíd u. 35.-37./</t>
  </si>
  <si>
    <t>Működési célú támogatások Áh-n belülről</t>
  </si>
  <si>
    <t>Intézmények mindösszesen</t>
  </si>
  <si>
    <t>Önkormányzatok működési támogatásai</t>
  </si>
  <si>
    <t xml:space="preserve">     - Helyi önkormányzatok működésének általános támogatása</t>
  </si>
  <si>
    <t xml:space="preserve">     - Települési önkormányzatok egyes köznevelési feladatainak támogatása</t>
  </si>
  <si>
    <t xml:space="preserve">     - Települési önkormányzatok kulturális feladatainak támogatása</t>
  </si>
  <si>
    <t>Elvonások és befizetések bevételei</t>
  </si>
  <si>
    <t>Működési célú támogatások Államháztartáson belülről összesen</t>
  </si>
  <si>
    <t>Vagyoni típusú adók (Helyi adó)</t>
  </si>
  <si>
    <t>Termékek és szolgáltatások adói</t>
  </si>
  <si>
    <t xml:space="preserve">   Igazgatásszolgáltatási díj</t>
  </si>
  <si>
    <t xml:space="preserve">   Környezetvédelmi bírság</t>
  </si>
  <si>
    <t xml:space="preserve">   Szabálysértési bírság</t>
  </si>
  <si>
    <t xml:space="preserve">   Parkolási bírság, pótdíj</t>
  </si>
  <si>
    <t xml:space="preserve">   Egyéb bírságból származó bevétel</t>
  </si>
  <si>
    <t>Közhatalmi bevételek összesen</t>
  </si>
  <si>
    <t>Szolgáltatások ellenértéke</t>
  </si>
  <si>
    <t>Közvetített szolgáltatások ellenértéke</t>
  </si>
  <si>
    <t xml:space="preserve">       - Vagyonkezeléssel kapcsolatos közvetített szolgáltatások ellenértéke </t>
  </si>
  <si>
    <t xml:space="preserve">       - Parkolással kapcsolatos közvetített szolgáltatások ellenértéke</t>
  </si>
  <si>
    <t>Ellátási díjak</t>
  </si>
  <si>
    <t>Kiszámlázott általános forgalmi adó</t>
  </si>
  <si>
    <t>Általános forgalmi adó visszatérítése</t>
  </si>
  <si>
    <t>Egyéb működési bevételek</t>
  </si>
  <si>
    <t>Egyéb működési célú átvett pénzeszköz</t>
  </si>
  <si>
    <t>Működési célú átvett pénzeszközök összesen</t>
  </si>
  <si>
    <t>Felhalmozási célú önkormányzati támogatások</t>
  </si>
  <si>
    <t>Egyéb felhalmozási célú támog.bevételei Áh-n belülről - EU-s pályázatok kapcsán</t>
  </si>
  <si>
    <t>Egyéb felhalmozási célú támog.bevételei ÁH-n belülről - Fővárosi Önkormányzattól</t>
  </si>
  <si>
    <t>Felhalmozási célú támogatások Államháztartáson belülről összesen</t>
  </si>
  <si>
    <t>Ingatlanok értékesítése</t>
  </si>
  <si>
    <t>Felhalmozási bevételek összesen</t>
  </si>
  <si>
    <t>Közterületi növényvédelem</t>
  </si>
  <si>
    <t>Egyéb felhalmozási célú átvett pénzeszközök</t>
  </si>
  <si>
    <t>Felhalmozási célú átvett pénzeszközök összesen</t>
  </si>
  <si>
    <t>Felhalmozási finanszírozási bevételek összesen</t>
  </si>
  <si>
    <t>Egyéb tárgyi eszköz értékesítése</t>
  </si>
  <si>
    <t xml:space="preserve">     Ellátottak pénzbeli juttatási</t>
  </si>
  <si>
    <t>Beruházások</t>
  </si>
  <si>
    <t>Felújítások</t>
  </si>
  <si>
    <t xml:space="preserve">     Beruházások</t>
  </si>
  <si>
    <t xml:space="preserve">     Felújítások</t>
  </si>
  <si>
    <r>
      <t xml:space="preserve">    </t>
    </r>
    <r>
      <rPr>
        <sz val="9"/>
        <rFont val="Arial CE"/>
        <charset val="238"/>
      </rPr>
      <t>Beruházások</t>
    </r>
  </si>
  <si>
    <t xml:space="preserve">  Beruházások</t>
  </si>
  <si>
    <t xml:space="preserve">  Felújítások</t>
  </si>
  <si>
    <t xml:space="preserve">   Beruházások</t>
  </si>
  <si>
    <t xml:space="preserve">   Felújítások</t>
  </si>
  <si>
    <t xml:space="preserve">    Felújítások</t>
  </si>
  <si>
    <t>Költségvetési kiadások mindösszesen</t>
  </si>
  <si>
    <t>Egyéb kommunális feladatok</t>
  </si>
  <si>
    <t>Egyéb kommunális feladatok összesen</t>
  </si>
  <si>
    <t>Nemzetiségi közfeladatok ellátása és támogatása</t>
  </si>
  <si>
    <t>Közrend és közbiztonság, közösségi szolgáltatások</t>
  </si>
  <si>
    <t>Egyéb általános szolgáltatások</t>
  </si>
  <si>
    <t>Önkormányzati vagyonnal való gazdálkodás - Ingatlanügyek</t>
  </si>
  <si>
    <t>Egészségügy, szociális védelem, szabadidő</t>
  </si>
  <si>
    <t>Egészségügy, szociális védelem, szabadidő összesen</t>
  </si>
  <si>
    <t>I. Önkormányzati felújítások</t>
  </si>
  <si>
    <t>I. Önkormányzati felújítások összesen:</t>
  </si>
  <si>
    <t xml:space="preserve">     Egyéb működési célú kiadás</t>
  </si>
  <si>
    <t>I. Önkormányzati beruházások összesen</t>
  </si>
  <si>
    <t xml:space="preserve">   Egyéb felhalmozási célú kiadások</t>
  </si>
  <si>
    <t>Utcai szociális munka (Menhely Alapítvány)</t>
  </si>
  <si>
    <t>I. Polgármesteri Hivatal kiadásai</t>
  </si>
  <si>
    <t xml:space="preserve">     Személyi juttatások</t>
  </si>
  <si>
    <t>Sorsz.</t>
  </si>
  <si>
    <t xml:space="preserve"> </t>
  </si>
  <si>
    <t xml:space="preserve"> 1.</t>
  </si>
  <si>
    <t xml:space="preserve"> 2.</t>
  </si>
  <si>
    <t xml:space="preserve">   Személyi juttatások</t>
  </si>
  <si>
    <t xml:space="preserve">   Dologi kiadások és egyéb folyó kiadások</t>
  </si>
  <si>
    <t xml:space="preserve">    Önkormányzati lakások értékesítése</t>
  </si>
  <si>
    <t>Veszélyelhárítás</t>
  </si>
  <si>
    <t>Ferenc busz működtetése</t>
  </si>
  <si>
    <t>Kiadás megnevezése</t>
  </si>
  <si>
    <t xml:space="preserve">     Egyéb működési célú kiadások</t>
  </si>
  <si>
    <t xml:space="preserve">   Egyéb működési célú kiadások</t>
  </si>
  <si>
    <t>Informatikai működés és fejlesztés</t>
  </si>
  <si>
    <t xml:space="preserve">   Dologi kiadások</t>
  </si>
  <si>
    <t xml:space="preserve">   Munkaadókat terhelő jár. és szociális hozzájár.adó</t>
  </si>
  <si>
    <t>Bevétel</t>
  </si>
  <si>
    <t>Kiadások</t>
  </si>
  <si>
    <t>Személyi juttatások</t>
  </si>
  <si>
    <t>Dologi kiadások</t>
  </si>
  <si>
    <t xml:space="preserve">       - Önkormányzat ÁFA</t>
  </si>
  <si>
    <t>II. Polgármesteri Hivatal költségvetési bevételei</t>
  </si>
  <si>
    <t xml:space="preserve">    Munkaadókat terhelő járulékok és szociális hozzájárulási adó</t>
  </si>
  <si>
    <t xml:space="preserve">    Dologi kiadások</t>
  </si>
  <si>
    <t xml:space="preserve">       - Helyiség bérleti díj</t>
  </si>
  <si>
    <t>FESZGYI</t>
  </si>
  <si>
    <t>Bolgár Nemzetiségi Önkormányzat</t>
  </si>
  <si>
    <t>Görög Nemzetiségi Önkormányzat</t>
  </si>
  <si>
    <t>Német Nemzetiségi Önkormányzat</t>
  </si>
  <si>
    <t xml:space="preserve">       - Parkolási feladatokkal kapcsolatos ÁFA</t>
  </si>
  <si>
    <t xml:space="preserve">     Helyi támogatás, házmesterek visszafizetése</t>
  </si>
  <si>
    <t xml:space="preserve">     Társasházak befizetései</t>
  </si>
  <si>
    <t>Csicsergő Óvoda /Thaly K. u. 38./</t>
  </si>
  <si>
    <t xml:space="preserve">     Egyéb felhalmozási célú kiadások</t>
  </si>
  <si>
    <t xml:space="preserve">       - Lakbér bevételek</t>
  </si>
  <si>
    <t xml:space="preserve">  Személyi juttatások</t>
  </si>
  <si>
    <t xml:space="preserve">  Munkaadókat terhelő járulékok és szociális hozzájárulási adó</t>
  </si>
  <si>
    <t xml:space="preserve">  Dologi kiadások</t>
  </si>
  <si>
    <t xml:space="preserve">  Egyéb működési célú kiadások</t>
  </si>
  <si>
    <t xml:space="preserve">  Ellátottak pénzbeli juttatásai</t>
  </si>
  <si>
    <t>Csudafa Óvoda /Óbester u. 9./</t>
  </si>
  <si>
    <t>Epres Óvoda /Epreserdő u. 10./</t>
  </si>
  <si>
    <t>Kicsi Bocs Óvoda /Erkel u. 10./</t>
  </si>
  <si>
    <t>Liliom Óvoda  /Liliom u. 15./</t>
  </si>
  <si>
    <t>Méhecske Óvoda /Ifjúmunkás u. 30./</t>
  </si>
  <si>
    <t>Napfény Óvoda /Napfény u. 4./</t>
  </si>
  <si>
    <t>Ugrifüles Óvoda  /Hurok u. 9./</t>
  </si>
  <si>
    <t>Óvodák összesen</t>
  </si>
  <si>
    <t>Ferencvárosi Egyesített Bölcsöde</t>
  </si>
  <si>
    <t>Szociális ágazat összesen</t>
  </si>
  <si>
    <t>Ferencvárosi Művelődési Központ</t>
  </si>
  <si>
    <t>I. Helyi Önkormányzat bevételei</t>
  </si>
  <si>
    <t>I. Helyi Önkormányzat bevételei mindösszesen:</t>
  </si>
  <si>
    <t>II. Polgármesteri Hivatal bevételei mindösszesen:</t>
  </si>
  <si>
    <t>Működési bevételek összesen</t>
  </si>
  <si>
    <t>Munkaadókat terh. járulékok és szociális hozzájárulási adó</t>
  </si>
  <si>
    <t>Tulajdonosi bevételek</t>
  </si>
  <si>
    <t xml:space="preserve">       Polgármesteri Hivatal támogatása</t>
  </si>
  <si>
    <t xml:space="preserve"> Általános forgalmi adó visszatérítése</t>
  </si>
  <si>
    <t>Roma Nemzetiségi Önkormányzat</t>
  </si>
  <si>
    <t>Önkormányzati szakmai feladatokkal kapcsolatos kiadások</t>
  </si>
  <si>
    <t>Környezetvédelem</t>
  </si>
  <si>
    <t>Nemzetiségi önkormányzatok pályázati támogatása</t>
  </si>
  <si>
    <t>Születési és életkezdési támogatás</t>
  </si>
  <si>
    <t>Önkormányzati vagyon gazd. kapcs. feladatok - általános</t>
  </si>
  <si>
    <t>Polgármesteri Hivatal igazgatási kiadásai</t>
  </si>
  <si>
    <t>Önkormányzati vagyon gazdálkodásával kapcs. feladatok</t>
  </si>
  <si>
    <t>Önkormányzati vagyon gazd. kapcs. feladatok - eseti</t>
  </si>
  <si>
    <t>Pályázatok</t>
  </si>
  <si>
    <t xml:space="preserve">       Költségvetési szervek támogatása</t>
  </si>
  <si>
    <t xml:space="preserve">       Költségvetési szervek étkezés támogatása</t>
  </si>
  <si>
    <t>Pszichiátriai betegek nappali ellátása Moravcsik Alapítvány</t>
  </si>
  <si>
    <t>Parkolóhely megváltás</t>
  </si>
  <si>
    <t xml:space="preserve">    Elvonások és befizetések</t>
  </si>
  <si>
    <t xml:space="preserve">    - Egyéb működési célú kiadások</t>
  </si>
  <si>
    <t xml:space="preserve">    Beruházások</t>
  </si>
  <si>
    <t>MÁV Szimfónikus Zenakari Alapítvány</t>
  </si>
  <si>
    <t xml:space="preserve">          Márton 5./a</t>
  </si>
  <si>
    <t>FESZ KN Kft.</t>
  </si>
  <si>
    <t>Rendkívüli támogatás</t>
  </si>
  <si>
    <t>Ifjusági koncepció végrehajtásával összefüggő feladat</t>
  </si>
  <si>
    <t>VIII. kerület Józsefváros Önkormányzata ellátási szerződés</t>
  </si>
  <si>
    <t>Sport és szabadidős feladatok</t>
  </si>
  <si>
    <t>Térfigyelő rendszer karbantartásának, üzemeltetésének költs.</t>
  </si>
  <si>
    <t>Egyéb felhalmozási célú kiadások</t>
  </si>
  <si>
    <t>Személyi juttatás</t>
  </si>
  <si>
    <t>Munkaadókat terhelő járulékok</t>
  </si>
  <si>
    <t xml:space="preserve">     Beruházási kiadások</t>
  </si>
  <si>
    <t>Zeneművészeti szervezetek támogatása</t>
  </si>
  <si>
    <t>Egyéb felhalmozási célú támog.bevételei Áh-n belülről - Fővárosi Önkormányzattól</t>
  </si>
  <si>
    <t>Kulturális koncepció</t>
  </si>
  <si>
    <r>
      <t xml:space="preserve">    Fővárosi IPA visszafizetése </t>
    </r>
    <r>
      <rPr>
        <sz val="9"/>
        <rFont val="Arial CE"/>
        <charset val="238"/>
      </rPr>
      <t>- Dologi kiadások</t>
    </r>
  </si>
  <si>
    <t>Ferencvárosi Pinceszínház</t>
  </si>
  <si>
    <t xml:space="preserve"> Készletértékesítés</t>
  </si>
  <si>
    <t xml:space="preserve"> Egyéb tárgyi eszköz értékesítés</t>
  </si>
  <si>
    <t xml:space="preserve"> Készlet értékesítés</t>
  </si>
  <si>
    <t>Készletértékesítés</t>
  </si>
  <si>
    <t>Belföldi értékpapírok bevételei</t>
  </si>
  <si>
    <t>Játszóterek karbantartása</t>
  </si>
  <si>
    <t>Képviselők és választott tisztségviselők juttatásai</t>
  </si>
  <si>
    <t>Parkolási feladatok (FEV IX. Zrt. által ellátott feladatokkal együtt)</t>
  </si>
  <si>
    <t>Egyéb működési célú támogatások bevételei államháztartáson belülről</t>
  </si>
  <si>
    <t>Működési célú támogatások államháztartáson belülről összesen</t>
  </si>
  <si>
    <t xml:space="preserve">    Belföldi gépjárművek adójának a helyi önkormányzatot megillető része</t>
  </si>
  <si>
    <t xml:space="preserve">   Helyi adó pótlék, bírság </t>
  </si>
  <si>
    <t xml:space="preserve">   Iparűzési adó pótlék, bírság</t>
  </si>
  <si>
    <t>Egyéb működési bevételek - Parkolási feladatokkal kapcsolatban</t>
  </si>
  <si>
    <t xml:space="preserve">       - Vagyonkezelési és városfejlesztési feladatokkal kapcsolatos ÁFA</t>
  </si>
  <si>
    <t>Felhalmozási célú támogatások államháztartáson belülről összesen</t>
  </si>
  <si>
    <t>Működési célú támogatások államháztartáson belülről</t>
  </si>
  <si>
    <t>Felhalmozási célú visszat. tám., kölcsönök visszatérülései államháztartáson kívülről</t>
  </si>
  <si>
    <t>Előző év költségvetési maradványának igénybevétele</t>
  </si>
  <si>
    <t>Előző év költségvetési maradványának igánybevétele</t>
  </si>
  <si>
    <t>Egyéb felhalmozási célú támogatás bevételei államháztartáson belülről</t>
  </si>
  <si>
    <t>Egyéb felhalmozási célú támog.bevételei államháztartáson belülről - EU-s pályázatok kapcsán</t>
  </si>
  <si>
    <t>Egyéb felhalmozási célú támog.bevételei államháztartáson belülről - Fővárosi Önkormányzattól</t>
  </si>
  <si>
    <t>Felhalmozási célú visszatérítendő tám. kölcsönök visszatérülései államháztartáson kívülről</t>
  </si>
  <si>
    <r>
      <t xml:space="preserve">    Szolidaritási hozzájárulási adó  -</t>
    </r>
    <r>
      <rPr>
        <sz val="9"/>
        <rFont val="Arial CE"/>
        <charset val="238"/>
      </rPr>
      <t xml:space="preserve"> Egyéb működési célú kiadások</t>
    </r>
  </si>
  <si>
    <t xml:space="preserve">     Egyéb felhalmozási célú kiadások - Munkáltatói kölcsön</t>
  </si>
  <si>
    <t xml:space="preserve">     Egyéb felhalmozási célú  kiadások</t>
  </si>
  <si>
    <t xml:space="preserve">  Egyéb felhalmozási célú kiadások</t>
  </si>
  <si>
    <t xml:space="preserve">   Egyéb felhalmozási célú kiadások - Munkáltatói kölcsön</t>
  </si>
  <si>
    <t xml:space="preserve">    Egyéb felhalmozási célú kiadások</t>
  </si>
  <si>
    <t xml:space="preserve">   Közigazgatási bírság</t>
  </si>
  <si>
    <t>Előző év vállalkozkozási maradványának igénybevétele</t>
  </si>
  <si>
    <t>Előző év vállalkozási maradványának igénybevétele</t>
  </si>
  <si>
    <t>Készletértékesítés ellenértéke</t>
  </si>
  <si>
    <t>Kamatbevételek és más nyereségjellegű bevételek</t>
  </si>
  <si>
    <t>Hitel-, kölcsöntörlesztés államháztartáson kívülre</t>
  </si>
  <si>
    <t xml:space="preserve">     - Települési önkormányzatok szociális, gyermekjóléti és gyermekétkeztési feladatainak támogatása</t>
  </si>
  <si>
    <t>Egyéb felhalmozási célú támogatás bevételei</t>
  </si>
  <si>
    <t>Felhalmozási célú visszatérítendő tám., kölcsönök visszatérülései államháztartáson kívülről</t>
  </si>
  <si>
    <t xml:space="preserve">Felhalmozási célú visszatérítendő tám., kölcsönönök törlesztése államháztartáson belülre </t>
  </si>
  <si>
    <t>Államháztartáson belüli megelőlegezések visszafizetése</t>
  </si>
  <si>
    <t>Hitel-, kölcsön törlesztése államháztartáson kívülre</t>
  </si>
  <si>
    <t xml:space="preserve"> Kamatbevételek és más nyereségjelegű bevételek</t>
  </si>
  <si>
    <t>Küldetés Egyesület ellátási szerződés</t>
  </si>
  <si>
    <t>FESZOFE kiemelkedően közhasznú Non-profit Kft működési tám.</t>
  </si>
  <si>
    <t>Belföldi értékpapírok kiadásai</t>
  </si>
  <si>
    <t>Irányító szervi támogatás</t>
  </si>
  <si>
    <t>Irányító szervi támogatások folyósítása</t>
  </si>
  <si>
    <t>Irányító szervi támogatás folyosítása</t>
  </si>
  <si>
    <t>Irányító szervi támogatás - étkezés</t>
  </si>
  <si>
    <t>Egyéb felhalmozási célú támogatások bevételei államháztartáson belülről</t>
  </si>
  <si>
    <t>Egyéb tárgyi eszköz értékesítés</t>
  </si>
  <si>
    <t>Jelzőrendszeres házi segítségnyújtás</t>
  </si>
  <si>
    <t xml:space="preserve">       - Egyéb szolgáltatás </t>
  </si>
  <si>
    <t xml:space="preserve">       - Bérleti díjak  </t>
  </si>
  <si>
    <t xml:space="preserve">   Bakáts projekt</t>
  </si>
  <si>
    <t>Részesedések értékesítése, részesedések megszűnéséhez kapcsolódó bevételek</t>
  </si>
  <si>
    <t>Részesedések értékesítéséhez kapcsolódó realizált nyereség</t>
  </si>
  <si>
    <r>
      <t xml:space="preserve">    Fizetendő általános forgalmi adó  </t>
    </r>
    <r>
      <rPr>
        <sz val="9"/>
        <rFont val="Arial CE"/>
        <charset val="238"/>
      </rPr>
      <t>- Dologi kiadások</t>
    </r>
  </si>
  <si>
    <t xml:space="preserve">    Földterület, telek, ingatlan értékesítése</t>
  </si>
  <si>
    <t>Működési és felhalmozási költségvetési kiadások mindösszesen</t>
  </si>
  <si>
    <t>Óvodák, oktatási, szociális és kulturális intézmények  összesen</t>
  </si>
  <si>
    <t xml:space="preserve">Játszóterek, műfüves és sportpályák, fitness eszközök, zöldf. felúj., </t>
  </si>
  <si>
    <t>Haller park felújítás</t>
  </si>
  <si>
    <t xml:space="preserve">   ebből: Általános tartalék</t>
  </si>
  <si>
    <t xml:space="preserve">Egyéb felhalmozási célú támog.bevételei ÁH-n belülről </t>
  </si>
  <si>
    <t>Tűzliliom park</t>
  </si>
  <si>
    <t>Beruházási kiadások</t>
  </si>
  <si>
    <t>Felújítási kiadások</t>
  </si>
  <si>
    <t>8.</t>
  </si>
  <si>
    <t>9.</t>
  </si>
  <si>
    <t>Magyar Máltai Szeretetszolgálat Egyesület-Közösségi hasznosítás</t>
  </si>
  <si>
    <t>Közterületüzemeltetési egyéb feladatok</t>
  </si>
  <si>
    <t>Ferencvárosi 65+ támogatás</t>
  </si>
  <si>
    <t>Általános forgalmi adó visszatérítés</t>
  </si>
  <si>
    <t xml:space="preserve">   Felújítás</t>
  </si>
  <si>
    <t xml:space="preserve">   TÉR-KÖZ 2018</t>
  </si>
  <si>
    <t>Közrend, közbiztonság</t>
  </si>
  <si>
    <t>Zöldfelületi kataszter, fakataszter elkészítése</t>
  </si>
  <si>
    <t>Kerékbilincs bevétele</t>
  </si>
  <si>
    <t>Faültetés</t>
  </si>
  <si>
    <t>Bölcsőde konyha felújítása</t>
  </si>
  <si>
    <t>Kerékpáros infrastruktúra tervezés, kiépítés, fejlesztés</t>
  </si>
  <si>
    <t>Kifli, túró rudi, tej beszerzés iskolák részére</t>
  </si>
  <si>
    <t>Lakás és helyiség karbantartás</t>
  </si>
  <si>
    <t>Deák Alapítvány</t>
  </si>
  <si>
    <t>Fogyatékos személyek nappali ellátása (gyermekek) Újbuda Önkrom.</t>
  </si>
  <si>
    <t>Tervezési díjak TÉR-KÖZ</t>
  </si>
  <si>
    <t>IX. kerületi Rendőrkapitányság támogatása</t>
  </si>
  <si>
    <t>Faültetés támogatása</t>
  </si>
  <si>
    <t>(beszámolás)</t>
  </si>
  <si>
    <t>Felhasználást és beszámolást  koordináló</t>
  </si>
  <si>
    <t>ESZSIC Bizottság</t>
  </si>
  <si>
    <t>József Attila Városrészi Önk.</t>
  </si>
  <si>
    <t>ebből: Működési célú céltartalék</t>
  </si>
  <si>
    <t>ebből: Felhalmozási célú céltartalék</t>
  </si>
  <si>
    <t xml:space="preserve">   Felújítási kiadások</t>
  </si>
  <si>
    <t>Járdák felújítása</t>
  </si>
  <si>
    <t>MÁV lakótelep víz, közmű</t>
  </si>
  <si>
    <t xml:space="preserve">Közvilágítás kiépítése MÁV </t>
  </si>
  <si>
    <t>"Krízis Alap" bevétel</t>
  </si>
  <si>
    <t>Egyéb felhasználási célú támogatások bevételei Áh-n belülről</t>
  </si>
  <si>
    <t>Tárgyévi finanszírozási megelőlegezések</t>
  </si>
  <si>
    <t>FESZ épületének felújítása</t>
  </si>
  <si>
    <t xml:space="preserve">   Egyéb felhalmozási célú kiadások (Államháztartáson kívülre)</t>
  </si>
  <si>
    <t xml:space="preserve">       ebből államháztartáson belüli</t>
  </si>
  <si>
    <t xml:space="preserve">                 államháztartáson kívüli</t>
  </si>
  <si>
    <r>
      <t xml:space="preserve">    Kamat kiadás, banki költségek, tranzakciós díjak </t>
    </r>
    <r>
      <rPr>
        <sz val="9"/>
        <rFont val="Arial CE"/>
        <charset val="238"/>
      </rPr>
      <t>- Dologi kiadások</t>
    </r>
  </si>
  <si>
    <t>FEV IX. Zrt. (Bérlemény közszolg. + Megbízási)</t>
  </si>
  <si>
    <t>Bérlemény közszolgáltatás + Megbízási szerz.</t>
  </si>
  <si>
    <t>4.</t>
  </si>
  <si>
    <t>5.</t>
  </si>
  <si>
    <t xml:space="preserve">Önkormányzati vagyonnal való gazdálkodás </t>
  </si>
  <si>
    <t>Államháztartáson belüli megelőlegezések tárgyéven belül</t>
  </si>
  <si>
    <t xml:space="preserve">Közterületi takarítógépek beszerzése </t>
  </si>
  <si>
    <t>Egészségügy, szoc.,szabadidő, sport, kultúra, oktatás, vallás</t>
  </si>
  <si>
    <t xml:space="preserve">   Beruházás</t>
  </si>
  <si>
    <t>Egyéb műk. célú támog.bevételei Áh-n belülről - EU-s pályázat KEHOP-1.2.1-18-2018-00006</t>
  </si>
  <si>
    <t>Egyéb működési célú tám.bev. Áh-n belülről</t>
  </si>
  <si>
    <t>Egyéb műk. célú támog.bevételei Áh-n belülről - EU-s pály. KEHOP-1.2.1-18-2018-00006</t>
  </si>
  <si>
    <t>6.</t>
  </si>
  <si>
    <t>További kötelezettségek</t>
  </si>
  <si>
    <t>Tisztítószer beszerzés</t>
  </si>
  <si>
    <t>Hivatali szállítás (taxi)</t>
  </si>
  <si>
    <t>Üzemanyagkártya szerződés</t>
  </si>
  <si>
    <t>Hivatali parkolás bérlés</t>
  </si>
  <si>
    <t>Könyvvizsgálati díj</t>
  </si>
  <si>
    <t>ÁFA szakértői díj</t>
  </si>
  <si>
    <t>Semmelweis Egyetem bérl.díj Közter-f.</t>
  </si>
  <si>
    <t>Fővárosi Szabó Ervin könyvtár</t>
  </si>
  <si>
    <t>FIÜK étkezés biztosítása</t>
  </si>
  <si>
    <t>Tervezett költségvetési adatok</t>
  </si>
  <si>
    <t>Támogatás államháztartáson belülről -működési</t>
  </si>
  <si>
    <t>Támogatás államháztartáson belülről -felhalmozási</t>
  </si>
  <si>
    <t>Munkaadókat terhelő járulékok és szocho.</t>
  </si>
  <si>
    <t xml:space="preserve">   ebből önkormányzati hozzájárulás</t>
  </si>
  <si>
    <t>Ssz.</t>
  </si>
  <si>
    <t>Engedélyezett létszám</t>
  </si>
  <si>
    <t>Szakmai létszám</t>
  </si>
  <si>
    <t>Egyéb létszám</t>
  </si>
  <si>
    <t xml:space="preserve">Közfoglalkoz-tatottak létszáma </t>
  </si>
  <si>
    <t xml:space="preserve">Teljes munkaidős </t>
  </si>
  <si>
    <t>Részmun-kaidős</t>
  </si>
  <si>
    <t>Teljes munkaidős</t>
  </si>
  <si>
    <t xml:space="preserve">Részmun-kaidős </t>
  </si>
  <si>
    <t>Polgármesteri Hivatal összesen</t>
  </si>
  <si>
    <t>7.</t>
  </si>
  <si>
    <t>10.</t>
  </si>
  <si>
    <t>11.</t>
  </si>
  <si>
    <t>12.</t>
  </si>
  <si>
    <t>13.</t>
  </si>
  <si>
    <t>15.</t>
  </si>
  <si>
    <t>Csicsergő Óvoda</t>
  </si>
  <si>
    <t>16.</t>
  </si>
  <si>
    <t>Csudafa Óvoda</t>
  </si>
  <si>
    <t>17.</t>
  </si>
  <si>
    <t>Epres Óvoda</t>
  </si>
  <si>
    <t>18.</t>
  </si>
  <si>
    <t>Kerekerdő Óvoda</t>
  </si>
  <si>
    <t>19.</t>
  </si>
  <si>
    <t>Kicsi Bocs Óvoda</t>
  </si>
  <si>
    <t xml:space="preserve">Liliom Óvoda </t>
  </si>
  <si>
    <t>21.</t>
  </si>
  <si>
    <t xml:space="preserve">Méhecske Óvoda </t>
  </si>
  <si>
    <t>22.</t>
  </si>
  <si>
    <t>Napfény Óvoda</t>
  </si>
  <si>
    <t>23.</t>
  </si>
  <si>
    <t>Ugrifüles Óvoda</t>
  </si>
  <si>
    <t>24.</t>
  </si>
  <si>
    <t>Ferencvárosi Intézmény Üzemeltetés Központ</t>
  </si>
  <si>
    <t>25.</t>
  </si>
  <si>
    <t>Fvi Egyesített Bölcsödék</t>
  </si>
  <si>
    <t>26.</t>
  </si>
  <si>
    <t>FMK</t>
  </si>
  <si>
    <t>Pinceszínház</t>
  </si>
  <si>
    <t>Mindösszesen:</t>
  </si>
  <si>
    <t>A támogatás jellege</t>
  </si>
  <si>
    <t>Adókedvezmény</t>
  </si>
  <si>
    <t>Egyéb kedvezmény</t>
  </si>
  <si>
    <t>jogcím</t>
  </si>
  <si>
    <t>összeg</t>
  </si>
  <si>
    <t>Építményadó</t>
  </si>
  <si>
    <t>elengedés</t>
  </si>
  <si>
    <t>részletfizetés</t>
  </si>
  <si>
    <t>Telekadó</t>
  </si>
  <si>
    <t>Ellátottak térítési díja gyermekétkeztetés</t>
  </si>
  <si>
    <t>méltányosság</t>
  </si>
  <si>
    <t>Ellátottak térítési díja személyes gondoskodás</t>
  </si>
  <si>
    <t>közérdekű bérbeadás</t>
  </si>
  <si>
    <t xml:space="preserve">A helyi önkormányzat kötelező feladatai ellátásának költségvetési forrásai és kiadásai </t>
  </si>
  <si>
    <t>Kötelező feladatok
(Mötv. 23. § (5) bekezdés alapján)</t>
  </si>
  <si>
    <t>Költségvetési bevételi előirányzat</t>
  </si>
  <si>
    <t>Önkormányzatok működési támogatása, elvonások és befizetések</t>
  </si>
  <si>
    <t>Közhatalmi bevételek</t>
  </si>
  <si>
    <t>Saját bevétel</t>
  </si>
  <si>
    <t>Támogatás Áht-n belülről</t>
  </si>
  <si>
    <t>Átvett pénzeszköz</t>
  </si>
  <si>
    <t>Előző évi mar. igénybev.</t>
  </si>
  <si>
    <t>Felhalm. Bev.</t>
  </si>
  <si>
    <t>Működési bevételek</t>
  </si>
  <si>
    <t>Műk. Célú</t>
  </si>
  <si>
    <t>Felhal. Célú</t>
  </si>
  <si>
    <t>Felhalm. Célú</t>
  </si>
  <si>
    <t>Helyi közutak, közterek és parkok kezelése, fejlesztése és üzemeltetése</t>
  </si>
  <si>
    <t xml:space="preserve">             3054 Kerületi növényvédelem</t>
  </si>
  <si>
    <t xml:space="preserve">             3056 Közterületüzemeltetési egyéb feladatok</t>
  </si>
  <si>
    <t xml:space="preserve">             3061 Köztutak üzemeltetése</t>
  </si>
  <si>
    <t xml:space="preserve">             3071 Köztisztasági feladatok</t>
  </si>
  <si>
    <t xml:space="preserve">             3112 Játszóterek karbantartása</t>
  </si>
  <si>
    <t xml:space="preserve">             3205 Környezetvédelem</t>
  </si>
  <si>
    <t xml:space="preserve">             3216 FESZOFE Nonprofit Kft </t>
  </si>
  <si>
    <t xml:space="preserve">             4012 Haller park</t>
  </si>
  <si>
    <t xml:space="preserve">             4014 Játszóterek, műfüves és sportpályák, fitness eszközök, zöldf.felúj., </t>
  </si>
  <si>
    <t>Közterületek használatára vonatkozó szabályok és díjak megáll.</t>
  </si>
  <si>
    <t xml:space="preserve">             3911 Társasházak támogatása</t>
  </si>
  <si>
    <t>Parkolás üzemeltetése</t>
  </si>
  <si>
    <t xml:space="preserve">             3212 Parkolási feladatok (FEV IX. Zrt. Parkolási feladatokkal együttt)</t>
  </si>
  <si>
    <t>Helyi településrendezés, településfejlesztés</t>
  </si>
  <si>
    <t xml:space="preserve">             3211 FEV IX. Zrt.</t>
  </si>
  <si>
    <t xml:space="preserve">             3116 Magyar Máltai Szeretetszolgálat Egyesület Közz.Haszn.</t>
  </si>
  <si>
    <t xml:space="preserve">             4121 Felújításokkal kapcsolatos tervezések</t>
  </si>
  <si>
    <t xml:space="preserve">             4141 KÉSZ-ek tervezése</t>
  </si>
  <si>
    <t>Helyi településrendezési szabályok megalkotása</t>
  </si>
  <si>
    <t>Turizmussal kapcsolatos szabályok</t>
  </si>
  <si>
    <t>Ipari és keresk. tev. kapcs. szabályozási jogkörök</t>
  </si>
  <si>
    <t>Egészségügyi alapell., az egészséges életmód segítését célzó szolg.</t>
  </si>
  <si>
    <t xml:space="preserve">       3301 Egészségügyi prevenció</t>
  </si>
  <si>
    <t xml:space="preserve">       3348 KÉK Pont</t>
  </si>
  <si>
    <t xml:space="preserve">       3302 FESZ KN Kft.</t>
  </si>
  <si>
    <t>Óvodai ellátás</t>
  </si>
  <si>
    <t>2305 Csicsergő Óvoda</t>
  </si>
  <si>
    <t>2309 Csudafa Óvoda</t>
  </si>
  <si>
    <t>2310 Epres Óvoda</t>
  </si>
  <si>
    <t>2325 Kicsi Bocs Óvoda</t>
  </si>
  <si>
    <t>2315 Kerekerdő Óvoda</t>
  </si>
  <si>
    <t>2330 Liliom Óvoda</t>
  </si>
  <si>
    <t>2335 Méhecske Óvoda</t>
  </si>
  <si>
    <t>2345 Napfény Óvoda</t>
  </si>
  <si>
    <t>2360 Ugrifüles Óvoda</t>
  </si>
  <si>
    <t>Gyermekjóléti szolgáltatások, szociális szolgált.ell.</t>
  </si>
  <si>
    <t xml:space="preserve">      3081 Köztemetés</t>
  </si>
  <si>
    <t xml:space="preserve">      3311 Lakbértámogatás</t>
  </si>
  <si>
    <t xml:space="preserve">      3323 Születési és életkezdési támogatás</t>
  </si>
  <si>
    <t xml:space="preserve">      3340 Jelzőrendszeres házi segítségnyújtás</t>
  </si>
  <si>
    <t xml:space="preserve">      3341 VIII. kerület Józsefváros Önkormányzata ellátási szerződés</t>
  </si>
  <si>
    <t xml:space="preserve">      3342 Küldetés Egyesület ellátási szerződés</t>
  </si>
  <si>
    <t xml:space="preserve">      3345 Támogató Szolgálat (Motivácó Alapítvány)</t>
  </si>
  <si>
    <t xml:space="preserve">      3346 Férőhely fenntartási díj Magyar Vöröskereszt</t>
  </si>
  <si>
    <t xml:space="preserve">      3347 Fogyatékos személyek nappali ellátása Gond-viselés Kht.</t>
  </si>
  <si>
    <t xml:space="preserve">      3349 Pszichiátriai betegek nappali ellátása Moravcsik Alapítvány</t>
  </si>
  <si>
    <t xml:space="preserve">      3350 Fogyatékos személyek nappali ellátása gyermekek Újbuda Önk.</t>
  </si>
  <si>
    <t>Hajléktalanná vált személyek ell.és rehab., vmint megakadályozása</t>
  </si>
  <si>
    <t xml:space="preserve">      3344 Utcai szociális munka (Menhely Alapítvány)</t>
  </si>
  <si>
    <t>Helyi közművelődési tevékenység támogatása, kult. örökség véd.</t>
  </si>
  <si>
    <t xml:space="preserve">      3428 Ferencvárosi Helytörténeti Egyesület</t>
  </si>
  <si>
    <t xml:space="preserve">      3429 Karaván Művészeti Alapítvány</t>
  </si>
  <si>
    <t xml:space="preserve">      3431 Concerto Akadémia Nonprofit Kft.</t>
  </si>
  <si>
    <t xml:space="preserve">      3432 MÁV Szimfónikus Zenekari Alapítvány</t>
  </si>
  <si>
    <t xml:space="preserve">      3931 Bursa Hungarica</t>
  </si>
  <si>
    <t xml:space="preserve">     3961 Zeneművészeti szervezetek támogatása</t>
  </si>
  <si>
    <t xml:space="preserve">      3963 Budapest Art Center Nonprofit Kft. - Színházművészeti szerv.támogatása</t>
  </si>
  <si>
    <t>14.</t>
  </si>
  <si>
    <t>Saját tulajdonú lakás és helyiség gazdálkodás</t>
  </si>
  <si>
    <t xml:space="preserve">      3111 Lakáslemondás térítés, lakásbiztosítés visszafizetése</t>
  </si>
  <si>
    <t xml:space="preserve">      3114 Ingatlanokkal kapcsolatos egyéb feladatok</t>
  </si>
  <si>
    <t xml:space="preserve">      3115 Lakás és helyiség karbantartás, berendezési tárgyak cseréje</t>
  </si>
  <si>
    <t xml:space="preserve">      3121 KF - rehabilitáció járulékos költségek</t>
  </si>
  <si>
    <t xml:space="preserve">      3122 Kényszer kiköltöztetés</t>
  </si>
  <si>
    <t xml:space="preserve">      3123 Bérlakás és egyéb ingatlan elidegenítés</t>
  </si>
  <si>
    <t xml:space="preserve">      3124 Helyiség megszerzési díj</t>
  </si>
  <si>
    <t xml:space="preserve">      3213 Önkormányzati bérlemények üzemeltetési költségei</t>
  </si>
  <si>
    <t xml:space="preserve">      4131 Veszélyelhárítás</t>
  </si>
  <si>
    <t xml:space="preserve">      4133 Veszélyes tűzfalak, kémények vizsgálata, bontása</t>
  </si>
  <si>
    <t>Helyi adóval kapcsolatos feladatok</t>
  </si>
  <si>
    <t>Kistermelők, őstermelők számára értékesítési lehetőségek bizt.</t>
  </si>
  <si>
    <t>Kerületi sport és szabadidő sport támogatása, ifjúsági ügyek</t>
  </si>
  <si>
    <t xml:space="preserve">      3142 Humánszolgáltatási feladatok</t>
  </si>
  <si>
    <t xml:space="preserve">      3143 Szociális és köznevelési feladatok</t>
  </si>
  <si>
    <t xml:space="preserve">      3146 Kulturális, Egyházi és Nemzetiségi feladatok</t>
  </si>
  <si>
    <t xml:space="preserve">      3145 Ifjusági koncepció végrehajtásával összefüggő feladatok</t>
  </si>
  <si>
    <t xml:space="preserve">      3357 Ifjusági és drogprevenciós feladatok</t>
  </si>
  <si>
    <t xml:space="preserve">      3412 Sport és szabadidős feladatok</t>
  </si>
  <si>
    <t xml:space="preserve">      3413 Diáksport</t>
  </si>
  <si>
    <t xml:space="preserve">      3414 Óvodai sport tevékenység támogatása</t>
  </si>
  <si>
    <t>Közreműködés a helyi közbiztonság biztosításában</t>
  </si>
  <si>
    <t xml:space="preserve">      3204 Térfigyelő rendszer karbantartásának, üzemeltetésének költsége</t>
  </si>
  <si>
    <t xml:space="preserve">       5033 Térfigyelő kamerák</t>
  </si>
  <si>
    <t>Nemzetiségi ügyek</t>
  </si>
  <si>
    <t xml:space="preserve">     3202 Roma koncepció</t>
  </si>
  <si>
    <t xml:space="preserve">     3362 Esélyegyenlőségi feladatok</t>
  </si>
  <si>
    <t xml:space="preserve">     3451 Nemzetiségi Önkormányzatok működési kiadásai</t>
  </si>
  <si>
    <t>3200 Képviselők és választott tisztségviselők juttatásai</t>
  </si>
  <si>
    <t>3201 Önkormányzati szakmai feladatokkal kapcsolatos kiadások</t>
  </si>
  <si>
    <t>3021-3026 PH  Igazgatási és informatikai működés és fejlesztés kiadásai</t>
  </si>
  <si>
    <t>3208 Ügyvédi díjak</t>
  </si>
  <si>
    <t>3223 Pályázat előkészítés, lebonyolítás</t>
  </si>
  <si>
    <t>3925 FEV IX. Zrt. támogatása</t>
  </si>
  <si>
    <t>1801 Kamat kiadás</t>
  </si>
  <si>
    <t>1802 IPA visszafizetés</t>
  </si>
  <si>
    <t>1803 Szolidaritási hozzájárulási adó</t>
  </si>
  <si>
    <t>1804 Fizetendő Általános forgalmi adó</t>
  </si>
  <si>
    <t>1843 Áh-n belüli megelőlegezések visszaf.</t>
  </si>
  <si>
    <t>1851 Hitel-, kölcsön törlesztése államháztartáson kívülre</t>
  </si>
  <si>
    <t>2795 Ferencvárosi Intézmény Üzemeltetési Központ</t>
  </si>
  <si>
    <t>2850 Ferencvárosi Egyesített Bölcsöde</t>
  </si>
  <si>
    <t>2875 FESZGYI</t>
  </si>
  <si>
    <t>2985 Ferencvárosi Művelődési Központ</t>
  </si>
  <si>
    <t xml:space="preserve"> Ferencvárosi Önkormányzat és Intézményei Összesen</t>
  </si>
  <si>
    <t xml:space="preserve">A helyi önkormányzat önként vállalt feladatai ellátásának költségvetési forrásai és kiadásai </t>
  </si>
  <si>
    <t xml:space="preserve">Önként vállalt feladatok                                                                    </t>
  </si>
  <si>
    <t xml:space="preserve">Költségvetési bevételi előirányzat                           </t>
  </si>
  <si>
    <t>Előző évi marad. Igénybev.</t>
  </si>
  <si>
    <t>Felhalmozási bevételek</t>
  </si>
  <si>
    <t xml:space="preserve">Működési célú </t>
  </si>
  <si>
    <t>Felhalmozási célú</t>
  </si>
  <si>
    <t>Működési célú</t>
  </si>
  <si>
    <t>Polgármesteri tisztséggel összefüggő egyéb feladatok</t>
  </si>
  <si>
    <t>Kifli, túró rudi, tej beszerzés</t>
  </si>
  <si>
    <t>Közfoglalkoztatottak pályázat támogatásának önrésze, kapcsolódó egyéb kiadások támogatása</t>
  </si>
  <si>
    <t>IX. ker. Rendőrségi támogatás</t>
  </si>
  <si>
    <t>Deák ösztöndíj</t>
  </si>
  <si>
    <t>FESZOFE kiemelkedően közhasznú Non-Profit Kft működési támogatása</t>
  </si>
  <si>
    <t>Kulturális tevékenység támogatása</t>
  </si>
  <si>
    <t>A helyi önkormányzat államigazgatási feladatai</t>
  </si>
  <si>
    <t>Államigazgatási feladatok 
(Mötv. 18. § alapján)</t>
  </si>
  <si>
    <t>A helyi önkormányzatok, helyi nemzetiségi önkormányzatok általános működéséhez és ágazati feladataihoz kapcsolódó támogatások</t>
  </si>
  <si>
    <t>A központi költségvetésből származó egyéb költségvetési támogatások</t>
  </si>
  <si>
    <t>Közhatalmi bevétel</t>
  </si>
  <si>
    <t>Saját bevételek és adósságot keletkeztető ügyletekből eredő fizetési kötelezettségek költségvetési évet követő 3 évre várható kihatása</t>
  </si>
  <si>
    <t>Önkormányzat saját bevételei</t>
  </si>
  <si>
    <t>Helyi adóból és a települési adóból származó bevétel (építményadó, telekadó, idegenforgalmi adó, iparűzési adó)</t>
  </si>
  <si>
    <t>Osztalék, koncessziós díj és hozambevétel</t>
  </si>
  <si>
    <t>---</t>
  </si>
  <si>
    <t>Tárgyi eszköz és immateriális jószág, részvény, részesedés, vállalat értékesítéséből vagy privatizációból származó bevétel (telek, földterület, helyiség, lakás, törzstőke ért.)</t>
  </si>
  <si>
    <r>
      <t xml:space="preserve">Bírság, pótlék, és díjbevétel </t>
    </r>
    <r>
      <rPr>
        <sz val="9"/>
        <rFont val="Times New Roman"/>
        <family val="1"/>
        <charset val="238"/>
      </rPr>
      <t>(egyéb közhatalmi bevételek között szereplő tételek)</t>
    </r>
  </si>
  <si>
    <t>Kezesség illetve garancia vállalással kapcsolatos megtérülés</t>
  </si>
  <si>
    <t>Adósságot keletkeztető ügyletből eredő fizetési kötelezettség</t>
  </si>
  <si>
    <t>Önkormányzatok és önkormányzati hivatalok jogalkotó és általános igazgatási tevékenysége</t>
  </si>
  <si>
    <t>Az önkormányzati vagyonnal való gazdálkodással kapcsolatos feladatok</t>
  </si>
  <si>
    <t>Önkormányzati bérlemények üzemeltetési költségei</t>
  </si>
  <si>
    <t>016080</t>
  </si>
  <si>
    <t>Kiemelt állami és önkormányzati rendezvények</t>
  </si>
  <si>
    <t>Központi költségvetési befizetések</t>
  </si>
  <si>
    <t>031030</t>
  </si>
  <si>
    <t>Bűnmegelőzés</t>
  </si>
  <si>
    <t>013360</t>
  </si>
  <si>
    <t>Hosszabb időtartamú közfoglalkoztatás</t>
  </si>
  <si>
    <t>Városi és elővárosi közúti személyszállítás</t>
  </si>
  <si>
    <t>Környezetszennyezés csökkentésének igazgatása</t>
  </si>
  <si>
    <t>Zöldterület-kezelés</t>
  </si>
  <si>
    <t>FESZOFE Nonprofit Kft.</t>
  </si>
  <si>
    <t>Város-, községgazdálkodási egyéb szolgáltatások</t>
  </si>
  <si>
    <t>Társasházak támogatásai</t>
  </si>
  <si>
    <t>072210</t>
  </si>
  <si>
    <t>Járóbetegek gyógyító szakellátása</t>
  </si>
  <si>
    <t>074052</t>
  </si>
  <si>
    <t>074054</t>
  </si>
  <si>
    <t>Komplex egészségfejlesztő, prevenciós programok</t>
  </si>
  <si>
    <t>Versenysport- és utánpótlás-nevelési tevékenység és támogatása</t>
  </si>
  <si>
    <t>Iskolai, diáksport-tevékenység és támogatása</t>
  </si>
  <si>
    <t>Szabadidősport- (rekreációs sport-) tevékenység és támogatása</t>
  </si>
  <si>
    <t>081071</t>
  </si>
  <si>
    <t>FIÜK</t>
  </si>
  <si>
    <t>Kultúra igazgatása</t>
  </si>
  <si>
    <t>082020</t>
  </si>
  <si>
    <t>082061</t>
  </si>
  <si>
    <t>Múzeumi kiállítási tevékenység</t>
  </si>
  <si>
    <t>Közművelődés - közösségi és társadalmi részvétel fejlesztése</t>
  </si>
  <si>
    <t>084031</t>
  </si>
  <si>
    <t>Civil szervezetek programtámogatása</t>
  </si>
  <si>
    <t>Egyházak közösségi és hitéleti tevékenységének támogatása</t>
  </si>
  <si>
    <t>A fiatalok társadalmi integrációját segítő struktúra, szakmai szolgáltatások fejlesztése, működtetése</t>
  </si>
  <si>
    <t>091110</t>
  </si>
  <si>
    <t>Óvodai nevelés, ellátás szakmai feladatai</t>
  </si>
  <si>
    <t>Óvodai nevelés, ellátás működtetési feladatai</t>
  </si>
  <si>
    <t>096015</t>
  </si>
  <si>
    <t>Gyermekétkeztetés köznevelési intézményben</t>
  </si>
  <si>
    <t>Oktatás igazgatása</t>
  </si>
  <si>
    <t>101142</t>
  </si>
  <si>
    <t>Szenvedélybetegek nappali ellátása</t>
  </si>
  <si>
    <t>Fogyatékossággal élők nappali ellátása</t>
  </si>
  <si>
    <t>Támogató szolgáltatás fogyatékos személyek részére</t>
  </si>
  <si>
    <t>Idősek nappali ellátása</t>
  </si>
  <si>
    <t>Az időskorúak társadalmi integrációját célzó programok</t>
  </si>
  <si>
    <t>104031</t>
  </si>
  <si>
    <t>104035</t>
  </si>
  <si>
    <t>Gyermekétkeztetés bölcsődében, fogyatékosok nappali intézményében</t>
  </si>
  <si>
    <t>104036</t>
  </si>
  <si>
    <t>106020</t>
  </si>
  <si>
    <t>Lakásfenntartással, lakhatással összefüggő ellátások</t>
  </si>
  <si>
    <t>107015</t>
  </si>
  <si>
    <t>107016</t>
  </si>
  <si>
    <t>Utcai szociális munka</t>
  </si>
  <si>
    <t>Házi segítségnyújtás</t>
  </si>
  <si>
    <t>Egyéb szociális pénzbeli és természetbeni ellátások, támogatások</t>
  </si>
  <si>
    <t>Romák társadalmi integrációját elősegítő tevékenységek, programok</t>
  </si>
  <si>
    <t>Forgatási és befektetési célú finanszírozási műveletek</t>
  </si>
  <si>
    <t>Önkormányzatok funkcióra nem sorolható bevételei államháztartáson kívülről</t>
  </si>
  <si>
    <t>Utak felújítása, javítása</t>
  </si>
  <si>
    <t>Fasorfenntartás</t>
  </si>
  <si>
    <t>Erdőgazdálkodás</t>
  </si>
  <si>
    <t>Oktatási támogatás</t>
  </si>
  <si>
    <t>Gyermeknevelési támogatás</t>
  </si>
  <si>
    <t>Gyógyszertámogatás</t>
  </si>
  <si>
    <t>65+ támogatás</t>
  </si>
  <si>
    <t>Helyiség bérleti díj (nettó)</t>
  </si>
  <si>
    <t xml:space="preserve">             4018 Utak javítása, felújítása</t>
  </si>
  <si>
    <t xml:space="preserve">              3057 Fasorfenntartás</t>
  </si>
  <si>
    <t xml:space="preserve">              3058 Erdőgazdálkodás</t>
  </si>
  <si>
    <t xml:space="preserve">Médiacég </t>
  </si>
  <si>
    <t>Lakásfentartási támogatás</t>
  </si>
  <si>
    <t>Bérlemény üzemeltetéssel kapcs. Kiadások mind. + Megb.sz.</t>
  </si>
  <si>
    <t>Kulturális tevékenység, egyházi és civil szerv.támog támogatása</t>
  </si>
  <si>
    <t xml:space="preserve">   Közterületfoglalási díj</t>
  </si>
  <si>
    <t>Önkormányzati lakások komfortosítása, lakások és helyiségek felújítása</t>
  </si>
  <si>
    <t xml:space="preserve">       4126 Önkor-i lakások komfort., lakások és helyiségek felújítása</t>
  </si>
  <si>
    <t xml:space="preserve">          Parkoló Alap</t>
  </si>
  <si>
    <t>Előző évi vállalkozási maradvány</t>
  </si>
  <si>
    <t>Előző évi vállalkozási maradvány igénybevétele</t>
  </si>
  <si>
    <t>SOS Krízis Alapítvány</t>
  </si>
  <si>
    <t>Haller u. 50. függőfolyosó felújítás</t>
  </si>
  <si>
    <t>Boráros téri lámpás zebra</t>
  </si>
  <si>
    <t>Pöttyös utcai metró felszíni rendezés</t>
  </si>
  <si>
    <t>6135 Parkoló Alap</t>
  </si>
  <si>
    <t>"Törd a betont"</t>
  </si>
  <si>
    <t>Irodalmi  pályázat</t>
  </si>
  <si>
    <t>Kerékpáros infr. tervezés, kiépítés, fejlesztés, okosbicikli tárolók</t>
  </si>
  <si>
    <t>Törd a betont</t>
  </si>
  <si>
    <t>Irodalmi pályázat</t>
  </si>
  <si>
    <t>Kulturális, oktatási, egyházügyi és Nemzetiségi feladatok</t>
  </si>
  <si>
    <t>Helyi esélyegyenlőségi program végrehajtásával összefüggő feladatok</t>
  </si>
  <si>
    <t xml:space="preserve">Egyéb közterületek felújítása, fejlesztése </t>
  </si>
  <si>
    <t xml:space="preserve">              4021 Egyéb közterületek felújítása, fejlesztése</t>
  </si>
  <si>
    <t>Lakásfenntartási támogatás és lakhatáshoz kapcs.rendkívüli t.</t>
  </si>
  <si>
    <t>Egyéb műk. célú támog.bevételei Áh-n belülről - VEKOP-7 3 4-17-2017-00011</t>
  </si>
  <si>
    <t>VEKOP-7 3 4-17-2017-00011</t>
  </si>
  <si>
    <t>HERO pályázat</t>
  </si>
  <si>
    <t>Egyéb műk. célú támog.bevételei Áh-n belülről - VEKOP-7 3 4-17-2017-00012</t>
  </si>
  <si>
    <t>"Egészséges Budapest Program" Integrélt Alapell. Járóbeteg szakell. Központ megv.</t>
  </si>
  <si>
    <t>"Egészséges Budapest Program" Integrélt Alapell. Járób. szakell. Közp. megv.</t>
  </si>
  <si>
    <t>"Egészséges Budapest Program" Integr. Alapell. Járób. szakell. Központ megv.</t>
  </si>
  <si>
    <t xml:space="preserve">       - Munkásszálló bérleti díj</t>
  </si>
  <si>
    <t>Jövedelemkiegészítő támogatás</t>
  </si>
  <si>
    <t>Lekötött betétek</t>
  </si>
  <si>
    <t>BEVÉTELEK MINDÖSSZ.:(Irányítószervi támogatás, lekötött betét nélkül)</t>
  </si>
  <si>
    <t>KIADÁSOK MINDÖSSZ.:(Irányítószervi tám., lekötött bet. nélkül)</t>
  </si>
  <si>
    <t>Vállalkozási maradvány</t>
  </si>
  <si>
    <t>Gyáli úti aluljáró felújítása</t>
  </si>
  <si>
    <t xml:space="preserve">Haller parkba illemhelyiség építése </t>
  </si>
  <si>
    <t>Egészségügyi, Szociális, Sport, Ifj. és Civil feladatok</t>
  </si>
  <si>
    <t xml:space="preserve">  Beruházások (bútorok, berendezési tárgyak)</t>
  </si>
  <si>
    <t xml:space="preserve">             Céltartalék 6. sz. melléklet szerint</t>
  </si>
  <si>
    <t>SNI-s és BTM-es gyermekek ellátása</t>
  </si>
  <si>
    <t>Részvételi költségvetés</t>
  </si>
  <si>
    <t>Tűzoltóság támogtása</t>
  </si>
  <si>
    <t>Konkáv Közösségi tér - Köztes átmenetek Nonprofit Kft.</t>
  </si>
  <si>
    <t>Epreserdő utcában parkolóhelyek kialakítása</t>
  </si>
  <si>
    <t>Valéria tér felújítása</t>
  </si>
  <si>
    <t>Börzsöny u. 19. sz. orvosi rendelő felújítása</t>
  </si>
  <si>
    <t>Ifjúmunkás u. útburkolat felújítása</t>
  </si>
  <si>
    <t>Tűzoltóság támogatása</t>
  </si>
  <si>
    <t>Konkáv Közösségi tér-Köztes Átmenetek Kft.</t>
  </si>
  <si>
    <t xml:space="preserve">       4311 Börzsöny u. 19. orvosi rendelő felújítása</t>
  </si>
  <si>
    <t xml:space="preserve">             4013 Valéria tér felújítása</t>
  </si>
  <si>
    <t xml:space="preserve">             4015 Ifjúmunkás utca útburkolat felújítása</t>
  </si>
  <si>
    <t xml:space="preserve">        4129 Telepy u. 34. személyfelvonó létesítése</t>
  </si>
  <si>
    <t>Telepy u. 34. személyfelvonó létesítése</t>
  </si>
  <si>
    <t>Ferencvárosi Klímastratégia végrehajtása</t>
  </si>
  <si>
    <t>ÉFOÉSZ ellátási szerződés</t>
  </si>
  <si>
    <t>Kitüntetések adományozásával kapcs. Költségek</t>
  </si>
  <si>
    <t>Nemzeti, önkormányzati ünnepek, rendezvények</t>
  </si>
  <si>
    <t>Kitüntetésekkel kapcsolatos költségek</t>
  </si>
  <si>
    <t>Ferencvárosi Klímastratégia végrehatása</t>
  </si>
  <si>
    <t xml:space="preserve"> Ebből bérleményüzemeltetési közszolg.szerz. Bruttó</t>
  </si>
  <si>
    <t xml:space="preserve">             Megbízási szerződési díj bruttó</t>
  </si>
  <si>
    <t>Ebből Parkolási közszolgáltatási szerződési díj</t>
  </si>
  <si>
    <t>Ebből: Polgármester, alpolgármesterek</t>
  </si>
  <si>
    <t xml:space="preserve">             Képviselő-testület tagok</t>
  </si>
  <si>
    <t xml:space="preserve">             Külsős bizottsági tagok</t>
  </si>
  <si>
    <t>Ebből: 9 magazin</t>
  </si>
  <si>
    <t xml:space="preserve">            9TV</t>
  </si>
  <si>
    <t xml:space="preserve">            Bérköltség</t>
  </si>
  <si>
    <t xml:space="preserve">           Közüzemi költségek, egyéb kiadások</t>
  </si>
  <si>
    <t xml:space="preserve">           Naptár</t>
  </si>
  <si>
    <t xml:space="preserve">             Önként vállalt feladatellátás</t>
  </si>
  <si>
    <t>Ebből: Közszolgáltató díj</t>
  </si>
  <si>
    <t xml:space="preserve">            Eseti megrendelés</t>
  </si>
  <si>
    <t>Ferencvárosi Humanitárius Alap</t>
  </si>
  <si>
    <t>II. Önkormányzat kiadásai</t>
  </si>
  <si>
    <t>III. Költségvetési szervek bevételei</t>
  </si>
  <si>
    <t>III. Költségvetési szervek bevételei mindösszesen:</t>
  </si>
  <si>
    <t>IV. Kerületi bevételek</t>
  </si>
  <si>
    <t xml:space="preserve">IV. Bevételek mindösszesen  (I+II+III.) Irányítószervi támogatása nélkül) </t>
  </si>
  <si>
    <t>III. Költségvetési szervek kiadásai mindösszesen</t>
  </si>
  <si>
    <t>IV. Kerületi kiadások</t>
  </si>
  <si>
    <t xml:space="preserve">IV. Kiadások mindösszesen  (I+II+III.) Irányítószervi támogatás folyósítása nélkül) </t>
  </si>
  <si>
    <t>PH és Önkormányzat költségvetési kiadásai mindössz:</t>
  </si>
  <si>
    <t>Önkormányzati lakóházak tetőfelújítás</t>
  </si>
  <si>
    <t>Gát u. 24.-26. sz. ingatlan felújítás</t>
  </si>
  <si>
    <t>Köztéri nyilvános illemhelyek kialakítása</t>
  </si>
  <si>
    <t xml:space="preserve">       4114 Önkormányzati lakóházak tetőfelújítás</t>
  </si>
  <si>
    <t>Díszkivilágítás</t>
  </si>
  <si>
    <t>Idősgondozás átalakítása</t>
  </si>
  <si>
    <t>Boráros téri lift tervezése</t>
  </si>
  <si>
    <t xml:space="preserve">          AVICO Riverbay telekátlkítási megállapodás</t>
  </si>
  <si>
    <t>Hátrányos helyzetű diákok sport támogatása</t>
  </si>
  <si>
    <t>Jégpálya</t>
  </si>
  <si>
    <t>6110 Általános tartalék</t>
  </si>
  <si>
    <t xml:space="preserve">        - Közterületfoglalási díj</t>
  </si>
  <si>
    <t xml:space="preserve">    - Egyéb felhalmozási célú kiadások</t>
  </si>
  <si>
    <t>Soroksári út 84- Koppány utca 3. Épületbontás</t>
  </si>
  <si>
    <t>Tűzifa program</t>
  </si>
  <si>
    <t>Toronyház u. 11. tetőfelújítás</t>
  </si>
  <si>
    <t>INCLUDATE</t>
  </si>
  <si>
    <t>2026. év várható terv szám</t>
  </si>
  <si>
    <t>Orvosi rendelők fűtéskorszerűsítése</t>
  </si>
  <si>
    <t>Molnár F. Magyar-Angol Két Tanítási Nyelvi Ált. Isk. Okostanterem kial.</t>
  </si>
  <si>
    <t>VEKOP-7 3 4-17-2017-00011 József Attila</t>
  </si>
  <si>
    <t>Elektromos rásegítésű teherszállító kerékpár</t>
  </si>
  <si>
    <t>EUCF pályázat</t>
  </si>
  <si>
    <t>Életjáradéki szolgáltatás</t>
  </si>
  <si>
    <t xml:space="preserve">      3125 Életjáradéki szolgáltatás</t>
  </si>
  <si>
    <t>Felújításokkal kapcsolatos tervezések , MÁV csatorna tervezés</t>
  </si>
  <si>
    <t xml:space="preserve">          Beruházás (eszközbeszerzések, monitor, laptop, kamera, stb. )</t>
  </si>
  <si>
    <t xml:space="preserve">    Ebből: Hibaelhárítás, karbantartás br. 331.000 eFt</t>
  </si>
  <si>
    <t xml:space="preserve">                 Garanciális javítások pótlása br. 50.000 eFt</t>
  </si>
  <si>
    <t xml:space="preserve">             4019 Járdák felújítása</t>
  </si>
  <si>
    <t xml:space="preserve">             5025 Távíró utca "zöldparkoló"</t>
  </si>
  <si>
    <t>3147 SNI, BMI gyermekek ellátása</t>
  </si>
  <si>
    <t>Termelői piac</t>
  </si>
  <si>
    <t>Ebből: Kötelező feladatellátás</t>
  </si>
  <si>
    <t xml:space="preserve"> Felhalmozási költségvetési kiadások</t>
  </si>
  <si>
    <t>Orvosi rendelők energ. költs. Támogatása</t>
  </si>
  <si>
    <t>Ferencvárosi Média Nonprofit Kft. (Ferencvárosi naptár is 2022-től)</t>
  </si>
  <si>
    <t>Önkormányzati lakóházak közös területeinek felújítása</t>
  </si>
  <si>
    <t>Tartószerkezeti statikai vizsgálatok</t>
  </si>
  <si>
    <t>Tartószerkezeti statikai felújítások</t>
  </si>
  <si>
    <t>Balázs Béla utca 27/B lakóépület felújítása</t>
  </si>
  <si>
    <t>Kutyafuttatók felújítása</t>
  </si>
  <si>
    <t>Tanoda támogatás</t>
  </si>
  <si>
    <t>CT vizsgálat</t>
  </si>
  <si>
    <t>Vágóhíd u. 31-33. sz. épület vízvzeték felújítása</t>
  </si>
  <si>
    <t xml:space="preserve">      4155 Balázs Béla utca 27/B lakóépület felújítása</t>
  </si>
  <si>
    <t>----</t>
  </si>
  <si>
    <t>Moravcsik Alapítvány</t>
  </si>
  <si>
    <t>GAPS Alapítvány</t>
  </si>
  <si>
    <t>Diákok látogatása Holocaust emlékközpontban</t>
  </si>
  <si>
    <t>Polgárőr Egyesület támogatása</t>
  </si>
  <si>
    <t>Településrendezési eszközök</t>
  </si>
  <si>
    <t>2027. év várható terv szám</t>
  </si>
  <si>
    <t>Ferencvárosi lakótömb rehabilitációjának I. üteme</t>
  </si>
  <si>
    <t>FIÜK Munkásszálló, nyári táboroztatás, termelői piac,NOVUS (Inkubátor), jégpálya, tábor</t>
  </si>
  <si>
    <t>Villamos energia</t>
  </si>
  <si>
    <t>Gázdíj</t>
  </si>
  <si>
    <t>Praktiker</t>
  </si>
  <si>
    <t>Épület és vagyon biztosítás</t>
  </si>
  <si>
    <t>Hivatal őrzés</t>
  </si>
  <si>
    <t xml:space="preserve">          Fejlesztési céltartalék</t>
  </si>
  <si>
    <t>Fejlesztési céltartalék</t>
  </si>
  <si>
    <t>Márton u. 8/a lakóház tervezése</t>
  </si>
  <si>
    <t>Márton u. 8. részleges bontás</t>
  </si>
  <si>
    <t>MÁV lakótelep parkoló</t>
  </si>
  <si>
    <t>Közlekedésbiztonsági fejlesztés</t>
  </si>
  <si>
    <t>Napfény u. - Gyáli sarok fásítás</t>
  </si>
  <si>
    <t>Tinódi parkba illemhelyiség</t>
  </si>
  <si>
    <t>Belső-Ferencváros akadálymentesítés</t>
  </si>
  <si>
    <t>Okostanterem kialakítása</t>
  </si>
  <si>
    <t xml:space="preserve">       4153 Tartószerkezeti statikai vizsgálat</t>
  </si>
  <si>
    <t xml:space="preserve">      4152 Márton u. 8. lakóháztervezés</t>
  </si>
  <si>
    <t xml:space="preserve">     4151 Önkormányzati lakóházak közös területeinek közös felújítása</t>
  </si>
  <si>
    <t>Belső-Ferencváros parkolás</t>
  </si>
  <si>
    <t xml:space="preserve">              4022 kutyafuttatóf felújítása</t>
  </si>
  <si>
    <t xml:space="preserve">      4157 Márton 8 részleges bontás</t>
  </si>
  <si>
    <t xml:space="preserve">      4154 Tartószerkezeti statikai felújítás</t>
  </si>
  <si>
    <t>Pöttyös utca metrófelszín</t>
  </si>
  <si>
    <t xml:space="preserve">              5011 Haller park illemhelyiség</t>
  </si>
  <si>
    <t xml:space="preserve">             5008 Tinódi park illemhelyiség</t>
  </si>
  <si>
    <t xml:space="preserve">             5006 Napfény gyáli fásitás</t>
  </si>
  <si>
    <t xml:space="preserve">              5005 Közlekedésbiztonsági fejlesztés</t>
  </si>
  <si>
    <t xml:space="preserve">             6143 Haller utca fejlesztés</t>
  </si>
  <si>
    <t>Gát u. 23-25. tervezés</t>
  </si>
  <si>
    <t>Thaly passzázs közvilágítás</t>
  </si>
  <si>
    <t xml:space="preserve">             4016 Thaly passzázs közvilágítás</t>
  </si>
  <si>
    <t>Boráros téri lift tervezés</t>
  </si>
  <si>
    <t xml:space="preserve">       4158 Gát u. 23.-25. lakóház tervezés</t>
  </si>
  <si>
    <t>Ferencvárosi Egészségügyi Szolgálat</t>
  </si>
  <si>
    <t>2987 Ferencvárosi Egészségügyi Szolgálat</t>
  </si>
  <si>
    <t>NEXT LEVEL Parking pályázat</t>
  </si>
  <si>
    <t>Krízis Alap-ból kifizetés</t>
  </si>
  <si>
    <t xml:space="preserve">       4122 Balázs Béla utca 27/B, felújítás-tervezés</t>
  </si>
  <si>
    <t xml:space="preserve">      4123 Közbeszerzési beszerzésekhez kapcsolódó többletkiadások</t>
  </si>
  <si>
    <t xml:space="preserve">      4125 Gát u. 24.-26. sz. ingatlan felújítás</t>
  </si>
  <si>
    <t xml:space="preserve">      4127 Haller u. 50. függőfolyosó felújítás</t>
  </si>
  <si>
    <t xml:space="preserve">      4124 Önkormányzati lakások komfortosítása</t>
  </si>
  <si>
    <t>1842 Tárgyévi finanszírozási megelőlegezések</t>
  </si>
  <si>
    <t>3027 EP és Önkormányzati választások</t>
  </si>
  <si>
    <t>Gyáli úti okososzlop telepítése</t>
  </si>
  <si>
    <t xml:space="preserve">Marhagödör és Vágó utcai felújítás </t>
  </si>
  <si>
    <t>Márton utca 8. Lakóház felújítás</t>
  </si>
  <si>
    <t>Ügyfélszolgálati Iroda felújítás</t>
  </si>
  <si>
    <t xml:space="preserve">       4161 Ügyfélszolgálati Iroda felújítás</t>
  </si>
  <si>
    <t xml:space="preserve">       4160 Márton utca 8. Lakóház felújítás</t>
  </si>
  <si>
    <t xml:space="preserve">       4159 Marhagödör és Vágó utcai felújítás </t>
  </si>
  <si>
    <t xml:space="preserve">EUCF </t>
  </si>
  <si>
    <t xml:space="preserve">NEXT LEVEL Parking </t>
  </si>
  <si>
    <t>Ifjúmunkás utca 28-30 Sportpályák felújítása</t>
  </si>
  <si>
    <t xml:space="preserve">Ifjúmunkás utca 32. Fitnesz park </t>
  </si>
  <si>
    <t xml:space="preserve">             4010 Ifjúmunkás utca 28-30 Sportpályák felújítása</t>
  </si>
  <si>
    <t>Informatikai eszközök</t>
  </si>
  <si>
    <t>Veszélyes tűzfalak, kémények vizsgálata, bontása, ellenőrzése</t>
  </si>
  <si>
    <t>MÁV csatornázás</t>
  </si>
  <si>
    <t>Ferencvárosi Településképi Arculati Kézikönyv</t>
  </si>
  <si>
    <t>Márton 8/a felújítás</t>
  </si>
  <si>
    <t xml:space="preserve">Egyéb felhalmozási célú kiadások </t>
  </si>
  <si>
    <t xml:space="preserve">   Talajterhelési díj </t>
  </si>
  <si>
    <t xml:space="preserve">     Parkolóhely megváltása </t>
  </si>
  <si>
    <t xml:space="preserve">     - Egyéb felhalmozási célú kiadások</t>
  </si>
  <si>
    <t xml:space="preserve">1809 Parkolóhely megváltása </t>
  </si>
  <si>
    <t>FESZ részesedés</t>
  </si>
  <si>
    <t>Támogatás államháztartáson kívülről -működési</t>
  </si>
  <si>
    <t>Támogatás államháztartáson kívülről -felhalmozási</t>
  </si>
  <si>
    <t>Ruszin Nemzetiségi Önkormányzat</t>
  </si>
  <si>
    <t>Horvát Nemzetiségi Önkormányzat</t>
  </si>
  <si>
    <t xml:space="preserve">    Fedett, zárható kerékpártárolók társasházak, lakótelepek környékén</t>
  </si>
  <si>
    <t xml:space="preserve"> Fedett, zárható kerékpártárolók társasházak, lakótelepek környékén</t>
  </si>
  <si>
    <t>Ecseri úti metró megálló felszíni rendezése</t>
  </si>
  <si>
    <t>Ecseri úti metró megálló felszíni rendezés</t>
  </si>
  <si>
    <t>Városfejlesztési Bizottság</t>
  </si>
  <si>
    <t>Városfejlesztési Bizottság (beszámolás)</t>
  </si>
  <si>
    <t>Gazdasági Bizottság</t>
  </si>
  <si>
    <t>József Attila Városrészi Önk. (beszámolás)</t>
  </si>
  <si>
    <t>Gazdasági Bizottság (beszámolás)</t>
  </si>
  <si>
    <t>Szociális és Egészségügyi Bizottság (beszámolás)</t>
  </si>
  <si>
    <t>Kulturális Bizottság beszámolás</t>
  </si>
  <si>
    <t>Szociális és Egészségügyi Bizottság</t>
  </si>
  <si>
    <t>Kulturális Bizottság</t>
  </si>
  <si>
    <t>Kulturális Bizottság (beszámolás)</t>
  </si>
  <si>
    <t>Szociális és egészségügyi Bizottság</t>
  </si>
  <si>
    <t>Városfejlesztés Bizottság</t>
  </si>
  <si>
    <t>Szociális és egészségügyi Bizottság (beszámolás)</t>
  </si>
  <si>
    <r>
      <t xml:space="preserve">Önkormányzati vagyon és önkormányzatot megillető vagyoni értékű jog hasznosításából származó bevétel </t>
    </r>
    <r>
      <rPr>
        <sz val="9"/>
        <rFont val="Times New Roman"/>
        <family val="1"/>
        <charset val="238"/>
      </rPr>
      <t>(lakbér, helyiség bérleti díj, helyiség megszerzési díj)</t>
    </r>
  </si>
  <si>
    <t xml:space="preserve">Városfejlesztési Bizottság </t>
  </si>
  <si>
    <t>Városfejl. Biz., Szoc. és Eügyi Biz., Gazdasági Biz. (beszámolás)</t>
  </si>
  <si>
    <t>Városfejlesztési Biz., József A. Városrészi Önk. (beszámolás)</t>
  </si>
  <si>
    <t xml:space="preserve">Városfejlesztési Biz., József A. Városrészi Önk. </t>
  </si>
  <si>
    <t>Kulturális Bizottság, Szociális és Egészségügyi Bizottság</t>
  </si>
  <si>
    <t xml:space="preserve">           Kilenconline</t>
  </si>
  <si>
    <t>Idősügyi feladatok</t>
  </si>
  <si>
    <t>Az önkormányzat költségvetésében szereplő 2025. évi tartalékok</t>
  </si>
  <si>
    <t>2025. évi beruházási, fejlesztési kiadások</t>
  </si>
  <si>
    <t>2025. évi felújítások (felújítási kiadások, egyéb felhalmozási célú kiadások és egyéb felújítási munkákhoz kapcsolódó kiadások)</t>
  </si>
  <si>
    <t xml:space="preserve">Az önkormányzat  költségvetésében szereplő támogatások 2025. évi kiadásai </t>
  </si>
  <si>
    <t>A Polgármesteri Hivatal kiadásai 2025.</t>
  </si>
  <si>
    <t xml:space="preserve">Az önkormányzat  költségvetésében szereplő 2025. évi kiadások </t>
  </si>
  <si>
    <t>Költségvetési szervek 2025. évi költségvetése</t>
  </si>
  <si>
    <t>Az önkormányzat 2025. évi kiadásai</t>
  </si>
  <si>
    <t>Az önkormányzat 2025. évi bevételei</t>
  </si>
  <si>
    <t xml:space="preserve">FESZ új  épületbe beszerzések </t>
  </si>
  <si>
    <t>2025. év</t>
  </si>
  <si>
    <t>Köznevelési, szociális, kulturális, egészségügyi intézmények összesen</t>
  </si>
  <si>
    <t>Az Európai Unió-s forrásokkal támogatott fejlesztések tervezett 2025. évi adatairól</t>
  </si>
  <si>
    <t>2025. évi közvetett támogatások</t>
  </si>
  <si>
    <t>Kölcsön visszatérülés/Működ.finansz. Bevétel</t>
  </si>
  <si>
    <t>1807   Elvonások és befizetések (felhalmozási)</t>
  </si>
  <si>
    <t>1806  Elvonások és befizetések (működési)</t>
  </si>
  <si>
    <t xml:space="preserve">      5055 FESZ új  épületbe beszerzések </t>
  </si>
  <si>
    <t>Szoborpark</t>
  </si>
  <si>
    <t xml:space="preserve">          Lónyay Property célbefizetés</t>
  </si>
  <si>
    <t>Felhalmozási célú önkormányzati támogatások Óvodafejlesztés</t>
  </si>
  <si>
    <t>Óvodafejlesztés</t>
  </si>
  <si>
    <t>2028. év várható terv szám</t>
  </si>
  <si>
    <t>Pinceszínház szinpadi villamoselosztó csere</t>
  </si>
  <si>
    <t>Dési H. Műv. nyílászáró cserék</t>
  </si>
  <si>
    <t>Óvodákba klíma telepítés csoport szobákba</t>
  </si>
  <si>
    <t>Csicsergő (Thaly 38.) napelem rendszer kiépítése</t>
  </si>
  <si>
    <t>Kicsi Bocs világítás korszerűsítés, lámpa testek cseréje</t>
  </si>
  <si>
    <t>Kicsi Bocs ablak csere</t>
  </si>
  <si>
    <t>Konnektor pince hangstúdió szellőztetés kialakítása</t>
  </si>
  <si>
    <t>Konnektor világítás korszerűsítés</t>
  </si>
  <si>
    <t>Tárgyi eszközök</t>
  </si>
  <si>
    <t>Aprók Háza belső udvar burkolat felújítása</t>
  </si>
  <si>
    <t>Aprók Háza PEN szétválasztás szinti elosztók cseréje</t>
  </si>
  <si>
    <t>Család- és Gyermekjóléti Központ (Üllői út) hátsó bejárat csere</t>
  </si>
  <si>
    <t>Óvodai és Iskolai Szoc. Seg.Csoport (Gát u.) ajtó csere</t>
  </si>
  <si>
    <t>Írisz Klub bejárati ajtó csere</t>
  </si>
  <si>
    <t>Írisz Klub szoba világítás felújítás</t>
  </si>
  <si>
    <t>Napsugár Idősek Klubja bejárati ajtó csere</t>
  </si>
  <si>
    <t>Szerető Kezek Gondozó Ház (Friss u.) férfi mosdó felújítás</t>
  </si>
  <si>
    <t>Nappali Melegeő csomagmegörző PVC csere</t>
  </si>
  <si>
    <t>Nappali Melegedő előtér járólap csere</t>
  </si>
  <si>
    <t>Kincsesbánya épület előtti közlekedő felújítás</t>
  </si>
  <si>
    <t>Balatonlelle B épület és étterem faház tetőfelújítás</t>
  </si>
  <si>
    <t>Bakáts Bunker belső elektromos hálózat felújítás</t>
  </si>
  <si>
    <t>FMK főelosztó felújítás</t>
  </si>
  <si>
    <t>Csicsergő (Thaly 17) tornaterem PVC burkolat csere</t>
  </si>
  <si>
    <t>Méhecske 2 csoport szoba PVC csere festés</t>
  </si>
  <si>
    <t>Ugri 2 csoportszoba felújítás</t>
  </si>
  <si>
    <t>Pöttyös Bölcsi 4 csoport szoba PVC csere, festés</t>
  </si>
  <si>
    <t>2db iskolai konyha felújítás</t>
  </si>
  <si>
    <t>Haller u. 54. felújítás tervezés</t>
  </si>
  <si>
    <t>Lónyay Property</t>
  </si>
  <si>
    <t>Óvoda fejlesztés</t>
  </si>
  <si>
    <t xml:space="preserve">        4162 Haller u. 54. kiviteli tervezés</t>
  </si>
  <si>
    <t>Konkáv Köztes Átmenetek Nonprofit Kft.</t>
  </si>
  <si>
    <t>Városfejlesztési Biz.,Gazdasági Biz. (beszámolás)</t>
  </si>
  <si>
    <t>Városfejlesztési Bizottság, József A. Városrészi Önk.</t>
  </si>
  <si>
    <t>Városfejlesztési Biz, József A. Városr. Önk. (beszámolás)</t>
  </si>
  <si>
    <t>2025. évi  előirányzat 5/2025.</t>
  </si>
  <si>
    <t>2025. évi előirányzat 5/2025.</t>
  </si>
  <si>
    <t>2025 évi előirányzat  5/2025.</t>
  </si>
  <si>
    <t>ebből: Tavirózsa Gondozási Központ bejárat akadálymentesítése</t>
  </si>
  <si>
    <t>ebből: Fehér Holló bölcsi függőeresz csatorna felújítás</t>
  </si>
  <si>
    <t>109010</t>
  </si>
  <si>
    <t>Szociális szolgáltatások igazgatása</t>
  </si>
  <si>
    <t xml:space="preserve">Beruházások </t>
  </si>
  <si>
    <t>Önkormányzati lakások komfortosítása</t>
  </si>
  <si>
    <t>Kerekerdő Óvoda elektromos hálózat részleges felújítása</t>
  </si>
  <si>
    <t>Kerekerdő Óvoda kerítés felújítás</t>
  </si>
  <si>
    <t>Pöttyös Bölcsőde villámvédelem felújítás</t>
  </si>
  <si>
    <t>Pöttyös Bölcsőde konyha átalakítása ÁNTSZ levél szerint</t>
  </si>
  <si>
    <t>Varázskert Bölcsőde klíma beszerzés</t>
  </si>
  <si>
    <t>Szivárvány nyílászárók csere</t>
  </si>
  <si>
    <t>Iktató program</t>
  </si>
  <si>
    <t>Kerekerdő óvoda acélszerkezetű feljárólétra</t>
  </si>
  <si>
    <t>Napelem- Kicsi Bocs Óvoda</t>
  </si>
  <si>
    <t>Csudafa Óvoda villamoshálózat teljesítménybővítése</t>
  </si>
  <si>
    <t>Beruházás és Felújítási munkák terveztetése</t>
  </si>
  <si>
    <t>Bakáts Bunker belső elektromos hálózat kiépítése</t>
  </si>
  <si>
    <t>FIÜK új telephely Tűzoltó u. 32.</t>
  </si>
  <si>
    <t>Méhecske Óvoda udvar felújítása</t>
  </si>
  <si>
    <t>Méhecske álmennyezet csere, aula teljes padlóburkolat csere</t>
  </si>
  <si>
    <t>Budapesti Zöld Panel program</t>
  </si>
  <si>
    <t>Lenhossék u. 5. Felújítás tervezés</t>
  </si>
  <si>
    <t xml:space="preserve">       4163  Lenhossék u. 5. Felújítás tervezés</t>
  </si>
  <si>
    <t>Új önkormányzati bérház építés-tervezés</t>
  </si>
  <si>
    <t>Dési Huber Műv. Ház  homlokzat műkő szegélyek felújítása</t>
  </si>
  <si>
    <t>Gyermekek Átmeneti Otthona  tetőfelújítás</t>
  </si>
  <si>
    <t>Kicsi Bocs Óvoda emeleti játszóterasz burkolatcsere öntöttgumira kompletten új vízszigeteléssel</t>
  </si>
  <si>
    <t>Varázskert Bölcsöde konyhafelújítás</t>
  </si>
  <si>
    <t>Jépálya portálcsere, tetőszigetelés, ablakcsere</t>
  </si>
  <si>
    <t>Balatonlele Ifjúsági tábor sportpálya felújítása</t>
  </si>
  <si>
    <t>Méhecske Óvoda homlokzati ablakok, ajtók cseréje</t>
  </si>
  <si>
    <t>Gyermekek Átmeneti Otthona  homlokzat hőszigetelése</t>
  </si>
  <si>
    <t>Liliom Óvoda fűtést és használati melegvízellátást biztosító kazánok cseréje</t>
  </si>
  <si>
    <t>Pinceszínház fűtést és használati melegvízellátást biztosító kazánok cseréje</t>
  </si>
  <si>
    <t xml:space="preserve">Bartók Táncegyüttes </t>
  </si>
  <si>
    <t>Bartók Táncegyüttes</t>
  </si>
  <si>
    <t>Sobieski u. 3-9 épületek bontása</t>
  </si>
  <si>
    <t xml:space="preserve">     4137 Sobieski u. 3-9 épületek bontása</t>
  </si>
  <si>
    <t>Gát u. 23-25 építés</t>
  </si>
  <si>
    <t xml:space="preserve">       4164 Gát u. 23-25 építés</t>
  </si>
  <si>
    <t>Működési finanszírozási bevétel</t>
  </si>
  <si>
    <t>2025. évi előirányzat 14/2025.</t>
  </si>
  <si>
    <t>2025. évi előirányzat  14/2025.</t>
  </si>
  <si>
    <t>2025. évi előirányzat        14/2025.</t>
  </si>
  <si>
    <t>2025. évi  előirányzat 14/2025.</t>
  </si>
  <si>
    <t xml:space="preserve">Személyi juttatások </t>
  </si>
  <si>
    <t>Munkaadókat terhelő járulékok és szociális hozzájárulási adó</t>
  </si>
  <si>
    <t xml:space="preserve"> Biztosító által fizetett kártérítés</t>
  </si>
  <si>
    <t>Biztosító által fizetett kártérítés</t>
  </si>
  <si>
    <t>CLAP Gyermekek helyi ügyekben való részvétele</t>
  </si>
  <si>
    <t>Csengettyű utca 23. orvosi rendelő felújítása</t>
  </si>
  <si>
    <t xml:space="preserve">Üllői út 65-67. orvosi rendelő felújtása </t>
  </si>
  <si>
    <t xml:space="preserve">       4312 Csengettyű utca 23. orvosi rendelő felújítása</t>
  </si>
  <si>
    <t xml:space="preserve">       4313 Üllői út 65-67. orvosi rendelő felújtása </t>
  </si>
  <si>
    <t xml:space="preserve">       4156 Vágóhd u. 31-33. </t>
  </si>
  <si>
    <t>Csicsergő Óvoda  emelet részleges részleges felújítása</t>
  </si>
  <si>
    <t>2 db iskola konyhatechnológiai eszközök gyártása, beépítése szabadszedéshez</t>
  </si>
  <si>
    <t>Aprók Háza bölcsi hátsó homlokzat hőszigetelése, nyílászárók cseréje,  belső burkolat felújítása</t>
  </si>
  <si>
    <t>Nappali Melegedő (Gubacsi u.) ügyfél fürdő felújítás, csomagmegőrző PVC, előtér járólap csere</t>
  </si>
  <si>
    <t>Kincsesbánya tető felújítás,  épület előtti közlekedő felújítás</t>
  </si>
  <si>
    <t xml:space="preserve">Méhecske folyosó PVC csere festés,2 csoport szoba, álmennyezet, aula padló, homlokzati ablakok, ajtók csere </t>
  </si>
  <si>
    <t>József Attila helyiségeinek részleges felújítási munkái</t>
  </si>
  <si>
    <t>Pinceszínház iroda felújítása</t>
  </si>
  <si>
    <t>2025. évi előirányzat  18/2025.</t>
  </si>
  <si>
    <t>2025. évi előirányzat 18/2025.</t>
  </si>
  <si>
    <t>2025. évi  előirányzat 18/2025.</t>
  </si>
  <si>
    <t>Településrendezési eszközök </t>
  </si>
  <si>
    <t>2025. évi előirányzat        18/2025.</t>
  </si>
  <si>
    <r>
      <t xml:space="preserve">Általános tartalék  - </t>
    </r>
    <r>
      <rPr>
        <sz val="10"/>
        <rFont val="Arial CE"/>
        <charset val="238"/>
      </rPr>
      <t>egyéb működési célú kiadás</t>
    </r>
  </si>
  <si>
    <t>2025. évi  előirányzat 22/2025.</t>
  </si>
  <si>
    <t>2025. évi előirányzat 22/2025.</t>
  </si>
  <si>
    <t>2025. évi előirányzat  22/2025.</t>
  </si>
  <si>
    <t>2025. évi előirányzat        22/2025.</t>
  </si>
  <si>
    <t>Varázskert Bölcsőde edénybeszerzéés</t>
  </si>
  <si>
    <t>Aprók Háza aula, közlekedő folyosó felújítása</t>
  </si>
  <si>
    <t xml:space="preserve">   Egyéb felhalmozási célú kiadások </t>
  </si>
  <si>
    <t>Államkötvény</t>
  </si>
  <si>
    <t>DPT 2025-6 Drogos pályázat</t>
  </si>
  <si>
    <t>Testvértelepülési programok támogatása</t>
  </si>
  <si>
    <t>Zwack Unicum Nyrt. Általános kulturális feladatok támogatása</t>
  </si>
  <si>
    <t>Fővárosi Szociális Közalapítvány DPT 2025-6/TO Drogprevenciós programok támogatása</t>
  </si>
  <si>
    <t xml:space="preserve">   Parkolóhely megváltás</t>
  </si>
  <si>
    <t>Területfejlesztési Alap befizetések (IPA adóbevétei többlet miatt)</t>
  </si>
  <si>
    <t xml:space="preserve">     - Egyéb működési célú kiadások</t>
  </si>
  <si>
    <t>EU-s és önkormányzati választás</t>
  </si>
  <si>
    <t>Államkötvény vásárlás</t>
  </si>
  <si>
    <t>Államkötvény vásárlás kiadásai</t>
  </si>
  <si>
    <t>Államkötvény vásárlás bevételei</t>
  </si>
  <si>
    <t>dpt 2025-6 Drogos pályázat</t>
  </si>
  <si>
    <t>1219 Államkötvény vásárlás</t>
  </si>
  <si>
    <t>1810 Területfejlesztési Alap befizetések (IPA adóbevétei többlet miatt)</t>
  </si>
  <si>
    <t>016010</t>
  </si>
  <si>
    <t>Országgyűlési, önkormányzati és európai parlamenti képviselőválasztásokhoz kapcsolódó tevékenységek</t>
  </si>
  <si>
    <t>Fitnesz eszközök, sporteszközök és napvitorlák rendszeres karbantartása,</t>
  </si>
  <si>
    <t xml:space="preserve">Játszóeszközök rendszeres ellenőrzése, karbantartása, </t>
  </si>
  <si>
    <t xml:space="preserve">  </t>
  </si>
  <si>
    <t>2025. évi  előirányzat 1/2026.</t>
  </si>
  <si>
    <t>10. melléklet</t>
  </si>
  <si>
    <t>2025. évi előirányzat  1/2026.</t>
  </si>
  <si>
    <t>9. melléklet</t>
  </si>
  <si>
    <t>2025. évi előirányzat 1/2026.</t>
  </si>
  <si>
    <t>2025. évi I-XII. havi teljesítés  /2026.</t>
  </si>
  <si>
    <t>Index      8./7.</t>
  </si>
  <si>
    <t>8. melléklet</t>
  </si>
  <si>
    <t>7. melléklet</t>
  </si>
  <si>
    <t>6. melléklet</t>
  </si>
  <si>
    <t>5. melléklet</t>
  </si>
  <si>
    <t>4. melléklet</t>
  </si>
  <si>
    <t>3. melléklet</t>
  </si>
  <si>
    <t>Index     8./7.</t>
  </si>
  <si>
    <t>2. melléklet</t>
  </si>
  <si>
    <t>11. melléklet</t>
  </si>
  <si>
    <t>12. melléklet</t>
  </si>
  <si>
    <t>13. számú melléklet</t>
  </si>
  <si>
    <t>14. melléklet</t>
  </si>
  <si>
    <t>15. melléklet</t>
  </si>
  <si>
    <t>POLGÁRMESTERI KABINET</t>
  </si>
  <si>
    <t>JEGYZŐ</t>
  </si>
  <si>
    <t>ALJEGYZŐK</t>
  </si>
  <si>
    <t>JEGYZŐI KABINET</t>
  </si>
  <si>
    <t>FŐÉPÍTÉSZI CSOPORT</t>
  </si>
  <si>
    <t>GAZDASÁGI IRODA</t>
  </si>
  <si>
    <t>HATÓSÁGI IRODA</t>
  </si>
  <si>
    <t>HUMÁNSZOLGÁLTATÁSI IRODA</t>
  </si>
  <si>
    <t>VAGYONGAZDÁLKODÁSI IRODA</t>
  </si>
  <si>
    <t>VÁROSÜZEMELTETÉSI IRODA</t>
  </si>
  <si>
    <t>KÖZTERÜLET-FELÜGYELET</t>
  </si>
  <si>
    <t>Átlagos statisztikai állományi létszám összesen 2025. év
  /2026.</t>
  </si>
  <si>
    <t>Intézmény megnevezése</t>
  </si>
  <si>
    <t>Polgármesteri Hivatal Irodánként</t>
  </si>
  <si>
    <t>20.</t>
  </si>
  <si>
    <t>2025. évi Polgármesteri Hivatal és Intézményi átlagos statisztikai állományi létszámadatok</t>
  </si>
  <si>
    <t>22. melléklet</t>
  </si>
  <si>
    <t>Az állami támogatás jogcímei</t>
  </si>
  <si>
    <t>Költségvetési törvény szerint igényelt támogatás összege</t>
  </si>
  <si>
    <t>A támogatási jogcímhez kapcsolódó kormányzati funkciók szerinti kiadások összege</t>
  </si>
  <si>
    <t>Többlettámogatás összege</t>
  </si>
  <si>
    <t>Helyi Önkormányzatok visszafizetési kötelezettsége, pótlólagos támogatása (13=9-12)</t>
  </si>
  <si>
    <t xml:space="preserve">A települési  önkormányzatok működésének támogatása </t>
  </si>
  <si>
    <t xml:space="preserve">A települési önkormányzatok egyes köznevelési feladatainak támogatása </t>
  </si>
  <si>
    <t xml:space="preserve">Egyes szociális és gyermekjóléti feladatok támogatása - család és gyermekjóléti szolgálat/központ </t>
  </si>
  <si>
    <t xml:space="preserve">Egyes szociális és gyermekjóléti feladatok támogatása - család és gyermekjóléti szolgálat/központ kivételével </t>
  </si>
  <si>
    <t xml:space="preserve">Bölcsőde, mini bölcsőde támogatása </t>
  </si>
  <si>
    <t>A települési önkormányzatok által biztosított egyes szociális szakosított ellátások, valamint a gyermekek átmeneti gondozásával kapcsolatos feladatok támogatása</t>
  </si>
  <si>
    <t xml:space="preserve">Intézményi gyermekétkeztetés támogatása </t>
  </si>
  <si>
    <t xml:space="preserve">Szünidei étkeztetés támogatása </t>
  </si>
  <si>
    <t>Mutatószámok, feladatmutatók alapján járó támogatások elszámolása 2025. év</t>
  </si>
  <si>
    <t>Támogatások évközi változása 2025. május hó</t>
  </si>
  <si>
    <t>Támogatás évközi változása - 2025. október hó</t>
  </si>
  <si>
    <t>Tényleges járó támogatás összege                    2025. év</t>
  </si>
  <si>
    <t>Év végi eltérés mutatószám szerinti támogatás 2025. év (5=-(2+3+4))</t>
  </si>
  <si>
    <t xml:space="preserve">Az önkormányzat által az adott célra 2025. december 31-ig ténylegesen felhasznált összeg </t>
  </si>
  <si>
    <t xml:space="preserve"> 2025. évben az óvodában foglalkoztatott pedagógusok béremeléséhez kapcsolódó többlettámogatás elszámolása</t>
  </si>
  <si>
    <t xml:space="preserve"> A 2025. évi bérintézkedések támogatásból az adott célra december 31-ig ténylegesen felhasznált összeg</t>
  </si>
  <si>
    <t xml:space="preserve"> 2025. évben az óvodában foglalkoztatott pedagógusok béremeléséhez kapcsolódó többlettámogatás elszámolása visszafizetendő összege</t>
  </si>
  <si>
    <t>A központi  költségvetésből támogatásként rendelkezésre bocsátott összeg</t>
  </si>
  <si>
    <t>Az önkormányzat által az adott célra ténylegesen felhasznált összeg</t>
  </si>
  <si>
    <t>Az önkormányzat által fel nem használt, de a következő évben jogszerűen felhasználható összeg</t>
  </si>
  <si>
    <t>Az önkormányzat által visszafizetendő/ az önkormányzatok részére utalandó összeg</t>
  </si>
  <si>
    <t>Fővárosi kerületi önkormányzatok kulturális feladatainak támogatása</t>
  </si>
  <si>
    <t xml:space="preserve">Szociális ágazati összevont pótlék </t>
  </si>
  <si>
    <t>Óvodai és iskolai szociális segítő tevékenység támogatása</t>
  </si>
  <si>
    <t>Települési önkormányzatok kulturális feladatainak bérjellegű támogatása</t>
  </si>
  <si>
    <t>Helyi Önkormányzatok működési célú költségvetési támogatásai</t>
  </si>
  <si>
    <t>Helyi önkormányzatok legfeljebb kettő évig felhasználható támogatásainak elszámolása,   2025. évben</t>
  </si>
  <si>
    <t>16. melléklet</t>
  </si>
  <si>
    <t>Polgármesteri Hivatal</t>
  </si>
  <si>
    <t>Sorszám</t>
  </si>
  <si>
    <t>Összeg</t>
  </si>
  <si>
    <t>Alaptevékenység költségvetési bevételei</t>
  </si>
  <si>
    <t>Alaptevékenység költségvetési kiadásai</t>
  </si>
  <si>
    <t>Alaptevékenység költségvetési egyenlege</t>
  </si>
  <si>
    <t>Alaptevékenység finanszírozási bevétele</t>
  </si>
  <si>
    <t>Alaptevékenység finanszírozási egyenlege</t>
  </si>
  <si>
    <t>Alaptevékenység maradványa</t>
  </si>
  <si>
    <t>Munkaadókat terhelő jár. és szociális hozzájár.adó</t>
  </si>
  <si>
    <t>Kötelezettséggel vállalt maradvány mindösszesen</t>
  </si>
  <si>
    <t>Alaptevékenység szabad maradványa</t>
  </si>
  <si>
    <t xml:space="preserve">       2025. évi maradvány kimutatása</t>
  </si>
  <si>
    <t>17. melléklet</t>
  </si>
  <si>
    <t xml:space="preserve">Az Önkormányzat </t>
  </si>
  <si>
    <t>Alaptevékenység finanszírozási kiadásai</t>
  </si>
  <si>
    <t>Kamat kiadás, banki költségek, tranzakciós díjak</t>
  </si>
  <si>
    <t xml:space="preserve">Környezetvédelem </t>
  </si>
  <si>
    <t>Nemzetiségi Önkormányzatok működési kiadásai</t>
  </si>
  <si>
    <t>4. sz. melléklet</t>
  </si>
  <si>
    <t>5. sz. melléklet</t>
  </si>
  <si>
    <t>5. sz. melléklet összesen</t>
  </si>
  <si>
    <t>18. melléklet</t>
  </si>
  <si>
    <t>Intézmények</t>
  </si>
  <si>
    <t>Alaptevékenység maradvány kimutatása</t>
  </si>
  <si>
    <t>Alaptevékenység finanszírozási bevételei</t>
  </si>
  <si>
    <t>Alaptevékeny-ség  maradványa</t>
  </si>
  <si>
    <t>Alaptevékenységből a szabad maradvány összege</t>
  </si>
  <si>
    <t>Szabad maradvánnyal korrigált alaptevékeny-ség maradványa</t>
  </si>
  <si>
    <t>Kötel. terhelt maradvány</t>
  </si>
  <si>
    <t>Alaptevékenység maradványának felosztása</t>
  </si>
  <si>
    <t>Munkaadói járulék</t>
  </si>
  <si>
    <t>Liliom Óvoda</t>
  </si>
  <si>
    <t>Méhecske Óvoda</t>
  </si>
  <si>
    <t>FEBI</t>
  </si>
  <si>
    <t>FESZ</t>
  </si>
  <si>
    <t>Alaptevékenység összesen</t>
  </si>
  <si>
    <t>19. melléklet</t>
  </si>
  <si>
    <t>Vagyonmérleg</t>
  </si>
  <si>
    <t>A</t>
  </si>
  <si>
    <t>B</t>
  </si>
  <si>
    <t>C</t>
  </si>
  <si>
    <t>D</t>
  </si>
  <si>
    <t>E</t>
  </si>
  <si>
    <t>Változás %-a</t>
  </si>
  <si>
    <t xml:space="preserve">ESZKÖZÖK  </t>
  </si>
  <si>
    <t>04.</t>
  </si>
  <si>
    <t>I. Immateriális javak</t>
  </si>
  <si>
    <t>01.</t>
  </si>
  <si>
    <t>I/1. Vagyoni értékű jogok</t>
  </si>
  <si>
    <t>02.</t>
  </si>
  <si>
    <t>I./2. Szellemi termékek</t>
  </si>
  <si>
    <t xml:space="preserve">II. Tárgyi eszközök </t>
  </si>
  <si>
    <t>05.</t>
  </si>
  <si>
    <t>II./1 Ingatlanok és a kapcsolódó vagyoni értékű jogok</t>
  </si>
  <si>
    <t>06.</t>
  </si>
  <si>
    <t>II./2. Gépek, berendezések, felszerelések, járművek</t>
  </si>
  <si>
    <t>08.</t>
  </si>
  <si>
    <t>II./4. Beruházások, felújítások</t>
  </si>
  <si>
    <t xml:space="preserve">III. Befektetett pénzügyi eszközök </t>
  </si>
  <si>
    <t>III./1. Tartós részesedések</t>
  </si>
  <si>
    <t>29.</t>
  </si>
  <si>
    <t>A.) Nemzeti vagyonba tartozó befektetett  eszközök összesen (04.+10.+22).</t>
  </si>
  <si>
    <t>35.</t>
  </si>
  <si>
    <t>I. Készletek</t>
  </si>
  <si>
    <t>30.</t>
  </si>
  <si>
    <t>I./1. Vásárolt készletek</t>
  </si>
  <si>
    <t>45.</t>
  </si>
  <si>
    <t>B.) Nemzeti vagyonba tartozó forgóeszközök  (35.)</t>
  </si>
  <si>
    <t>49.</t>
  </si>
  <si>
    <t>II./1.   Forintpénztár</t>
  </si>
  <si>
    <t>53.</t>
  </si>
  <si>
    <t>III./1. Kincstáron kívüli forintszámlák</t>
  </si>
  <si>
    <t>59.</t>
  </si>
  <si>
    <t>C.) Pénzeszközök (49+53)</t>
  </si>
  <si>
    <t>103.</t>
  </si>
  <si>
    <t>I.   Költségvetési évben esedékes követelések                                                                  (64-től 91-ig)</t>
  </si>
  <si>
    <t>64.</t>
  </si>
  <si>
    <t>3. Költségvetési évben esedékes követelések közhatalmi bevételre</t>
  </si>
  <si>
    <t>71.</t>
  </si>
  <si>
    <t>4. Költségvetési évben esedékes követelések működési bevételre</t>
  </si>
  <si>
    <t>81.</t>
  </si>
  <si>
    <t>5. Költségvetési évben esedékes követelések felhalmozási bevételre</t>
  </si>
  <si>
    <t>87.</t>
  </si>
  <si>
    <t>6. Költségvetési évben esedékes követelések működési célú átvett pénzeszközre</t>
  </si>
  <si>
    <t>91.</t>
  </si>
  <si>
    <t xml:space="preserve">7. Költségvetési évben esedékes követelések felhalmozási célú átvett pénzeszközre </t>
  </si>
  <si>
    <t>144.</t>
  </si>
  <si>
    <t>II.  Költségvetési évet követően esedékes követelések                                                     (108-tól 135-ig)</t>
  </si>
  <si>
    <t>108.</t>
  </si>
  <si>
    <t>3. Költségvetési évet követően esedékes követelések közhatalmi bevételre</t>
  </si>
  <si>
    <t>115.</t>
  </si>
  <si>
    <t>4. Költségvetési évet követően esedékes követelések működési bevételre</t>
  </si>
  <si>
    <t>125.</t>
  </si>
  <si>
    <t>5. Költségvetési évet követően esedékes követelések felhalmozási bevételre</t>
  </si>
  <si>
    <t>135.</t>
  </si>
  <si>
    <t>7. Költségvetési évet követően esedékes követelések felhalmozási célú átvett pénzeszközre</t>
  </si>
  <si>
    <t>160.</t>
  </si>
  <si>
    <t>III. Követelés jellegű sajátos elszámolások</t>
  </si>
  <si>
    <t>161.</t>
  </si>
  <si>
    <t>D.) Követelések összesen (103.+144.+160.)</t>
  </si>
  <si>
    <t>166.</t>
  </si>
  <si>
    <t>Előzetesen felszámított általános forgalmi adó elszámolása</t>
  </si>
  <si>
    <t>169.</t>
  </si>
  <si>
    <t>Fizetendő általános forgalmi adó elszámolása</t>
  </si>
  <si>
    <t>171.</t>
  </si>
  <si>
    <t>II. Utalványok, bérletek és más hasonló készpénz-helyettesítő fizetési eszköznek nem minősülő eszközök elszámolásai</t>
  </si>
  <si>
    <t>172.</t>
  </si>
  <si>
    <t>E.) Egyéb sajátos eszközoldali elszámolások (166.+169.+171.)</t>
  </si>
  <si>
    <t>177.</t>
  </si>
  <si>
    <t>F.) Aktív időbeli elhatárolások</t>
  </si>
  <si>
    <t>178.</t>
  </si>
  <si>
    <t>Eszközök összesen: (29.+45.+59.+161.+172.+177.)</t>
  </si>
  <si>
    <t xml:space="preserve">FORRÁSOK  </t>
  </si>
  <si>
    <t>179.</t>
  </si>
  <si>
    <t>I.    Nemzeti vagyon induláskori értéke</t>
  </si>
  <si>
    <t>180.</t>
  </si>
  <si>
    <t>II.   Nemzeti vagyon változásai</t>
  </si>
  <si>
    <t>181.</t>
  </si>
  <si>
    <t>III.  Egyéb eszközök induláskori értéke és változásai</t>
  </si>
  <si>
    <t>182.</t>
  </si>
  <si>
    <t>IV. Felhalmozott eredmény</t>
  </si>
  <si>
    <t>184.</t>
  </si>
  <si>
    <t>VI. Mérleg szerinti eredmény</t>
  </si>
  <si>
    <t>185.</t>
  </si>
  <si>
    <t>G.) Saját tőke összesen (179+180+181+182+184)</t>
  </si>
  <si>
    <t>211.</t>
  </si>
  <si>
    <t>I. Költségvetési évben esedékes kötelezettségek                                                  (186-tól 194-ig)</t>
  </si>
  <si>
    <t>186.</t>
  </si>
  <si>
    <t>1. Költségvetési évben esedékes kötelezettségek személyi juttatásokra</t>
  </si>
  <si>
    <t>188.</t>
  </si>
  <si>
    <t>3. Költségvetési évben esedékes kötelezettségek dologi kiadásokra</t>
  </si>
  <si>
    <t>193.</t>
  </si>
  <si>
    <t>6. Költségvetési évben esedékes kötelezettségek beruházásokra</t>
  </si>
  <si>
    <t>194.</t>
  </si>
  <si>
    <t>7. Költségvetési évben esedékes kötelezettségek felújításokra</t>
  </si>
  <si>
    <t>235.</t>
  </si>
  <si>
    <t>II. Költségvetési évet követően esedékes kötelezettségek                                   (212-tól 224-ig)</t>
  </si>
  <si>
    <t>212.</t>
  </si>
  <si>
    <t>1. Költségvetési évet követően esedékes kötelezettségek személyi juttatásokra</t>
  </si>
  <si>
    <t>214.</t>
  </si>
  <si>
    <t>3. Költségvetési évet követően esedékes kötelezettségek dologi kiadásokra</t>
  </si>
  <si>
    <t>215.</t>
  </si>
  <si>
    <t>4. Költségvetési évet követően esedékes kötelezettségek ellátottak pénzbeli juttatására</t>
  </si>
  <si>
    <t>220.</t>
  </si>
  <si>
    <t>7. Költségvetési évet követően esedékes kötelezettségek felújításokra</t>
  </si>
  <si>
    <t>224.</t>
  </si>
  <si>
    <t>9. Költségvetési évet követően esedékes kötelezettségek finanszírozási kiadásokra</t>
  </si>
  <si>
    <t>245.</t>
  </si>
  <si>
    <t>III. Kötelezettség jellegű sajátos elszámolások</t>
  </si>
  <si>
    <t>246.</t>
  </si>
  <si>
    <t>H.) Kötelezettségek összesen (212+236+247)</t>
  </si>
  <si>
    <t>248.</t>
  </si>
  <si>
    <t>Eredményszemléletű bevételek paszív időbeli elhatárolása</t>
  </si>
  <si>
    <t>249.</t>
  </si>
  <si>
    <t>Költségek, ráfordítások passzív időbeli elhatárolása</t>
  </si>
  <si>
    <t>250.</t>
  </si>
  <si>
    <t>Halasztott eredményszemléletű bevételek</t>
  </si>
  <si>
    <t>251.</t>
  </si>
  <si>
    <t>J.)  Passzív időbeli elhatárolások (250.+251+252.)</t>
  </si>
  <si>
    <t>252.</t>
  </si>
  <si>
    <t>Források összesen: (186.+248.+253.)</t>
  </si>
  <si>
    <t>2025.év</t>
  </si>
  <si>
    <t>Előző év (2024.)</t>
  </si>
  <si>
    <t>Tárgyév (2025.)</t>
  </si>
  <si>
    <t>20. melléklet</t>
  </si>
  <si>
    <t>Vagyonkimutatás</t>
  </si>
  <si>
    <t>adatok eFt-ban</t>
  </si>
  <si>
    <t>ESZKÖZÖK</t>
  </si>
  <si>
    <t>sor-
szám</t>
  </si>
  <si>
    <t>Tárgy év bruttó érték</t>
  </si>
  <si>
    <t>Tárgy év nettó érték</t>
  </si>
  <si>
    <t xml:space="preserve">         I/1. Vagyoni értékű jogok</t>
  </si>
  <si>
    <t xml:space="preserve">         I./2. Szellemi termékek</t>
  </si>
  <si>
    <t>II. Tárgyi eszközök</t>
  </si>
  <si>
    <t xml:space="preserve">    II./1. Törzsvagyon</t>
  </si>
  <si>
    <t xml:space="preserve">         a./ Forgalomképtelen ingatlanok</t>
  </si>
  <si>
    <t xml:space="preserve">         a./1.  Út, híd, járda, alu-és felüljárók  </t>
  </si>
  <si>
    <t xml:space="preserve">         a./3.  Parkok és felüljárók</t>
  </si>
  <si>
    <t xml:space="preserve">         a./6.  Egyéb ingatlanok </t>
  </si>
  <si>
    <t xml:space="preserve">         a./7.  Folyamatban lévő ingatlan beruházás, felújítás</t>
  </si>
  <si>
    <t xml:space="preserve">         b./ Nemzetgazdasági szempontból kiemelt jelentőségű ingatlanok</t>
  </si>
  <si>
    <t xml:space="preserve">         c./ Korlátozottan forgalomképes ingatlanok</t>
  </si>
  <si>
    <t xml:space="preserve">         c./5. Intézmények ingatlanai</t>
  </si>
  <si>
    <t xml:space="preserve">         c./6. Sportlétesítmények</t>
  </si>
  <si>
    <t xml:space="preserve">         c./11. Folyamatban lévő ingatlan beruházás</t>
  </si>
  <si>
    <t xml:space="preserve">     II./2. Üzleti vagyon</t>
  </si>
  <si>
    <t xml:space="preserve">         a./ Forgalomképes ingatlanok</t>
  </si>
  <si>
    <t xml:space="preserve">         a./1. Telkek, zártkerti és külterületi földterületek</t>
  </si>
  <si>
    <t xml:space="preserve">         a./2. Épületek</t>
  </si>
  <si>
    <t xml:space="preserve">         a./3. Folyamatban lévő ingatlan beruházás</t>
  </si>
  <si>
    <t xml:space="preserve">         b./ Egyéb tárgyi eszközök</t>
  </si>
  <si>
    <t xml:space="preserve">         b./1. Gépek, berendezések, felszerelések, járművek</t>
  </si>
  <si>
    <t xml:space="preserve">         b./3. Beruházások, felújítások</t>
  </si>
  <si>
    <t>III. Befektetett pénzügyi eszközök</t>
  </si>
  <si>
    <t xml:space="preserve">     III/1. Törzsvagyon </t>
  </si>
  <si>
    <t xml:space="preserve">          a./ Forgalomképtelen</t>
  </si>
  <si>
    <t xml:space="preserve">          b./ Korlátozottan forgalomképes</t>
  </si>
  <si>
    <t>27.</t>
  </si>
  <si>
    <t xml:space="preserve">          1. Tartós részesedések</t>
  </si>
  <si>
    <t>28.</t>
  </si>
  <si>
    <t xml:space="preserve">     III/2. Üzleti vagyon</t>
  </si>
  <si>
    <t>IV. Koncesszióba, vagyonkezelésbe adott eszközök</t>
  </si>
  <si>
    <t>A.) Nemzeti vagyonba tartozó befektetett  eszközök összesen</t>
  </si>
  <si>
    <t>31.</t>
  </si>
  <si>
    <t>I.  Készletek</t>
  </si>
  <si>
    <t>32.</t>
  </si>
  <si>
    <t>II. Értékpapírok</t>
  </si>
  <si>
    <t>33.</t>
  </si>
  <si>
    <t>B.) Nemzeti vagyonba tartozó forgóeszközök</t>
  </si>
  <si>
    <t>34.</t>
  </si>
  <si>
    <t>II.   Pénztárak, csekkek, betétkönyvek</t>
  </si>
  <si>
    <t>III.  Forintszámlák</t>
  </si>
  <si>
    <t>36.</t>
  </si>
  <si>
    <t>C.) Pénzeszközök</t>
  </si>
  <si>
    <t>37.</t>
  </si>
  <si>
    <t>I.   Költségvetési évben esedékes követelések</t>
  </si>
  <si>
    <t>38.</t>
  </si>
  <si>
    <t>II.  Költségvetési évet követően esedékes követelések</t>
  </si>
  <si>
    <t>39.</t>
  </si>
  <si>
    <t>40.</t>
  </si>
  <si>
    <t>D.) Követelések összesen</t>
  </si>
  <si>
    <t>41.</t>
  </si>
  <si>
    <t>I. Előzetesen felszámított általános forgalmi adó elszámolása</t>
  </si>
  <si>
    <t>42.</t>
  </si>
  <si>
    <t>II. Fizetendő általános forgalmi adó elszámolása</t>
  </si>
  <si>
    <t>43.</t>
  </si>
  <si>
    <t>III. Egyéb sajátos eszközoldali elszámolása</t>
  </si>
  <si>
    <t>44.</t>
  </si>
  <si>
    <t>E.) Egyéb sajátos eszközoldali elszámolások</t>
  </si>
  <si>
    <t>F) Aktív időbeli elhatárolások</t>
  </si>
  <si>
    <t>46.</t>
  </si>
  <si>
    <t>Eszközök összesen:</t>
  </si>
  <si>
    <t>47.</t>
  </si>
  <si>
    <t>48.</t>
  </si>
  <si>
    <t>50.</t>
  </si>
  <si>
    <t>51.</t>
  </si>
  <si>
    <t>52.</t>
  </si>
  <si>
    <t>G.) Saját tőke összesen</t>
  </si>
  <si>
    <t>I. Költségvetési évben esedékes kötelezettségek</t>
  </si>
  <si>
    <t>54.</t>
  </si>
  <si>
    <t>II. Költségvetési évet követően esedékes kötelezettségek</t>
  </si>
  <si>
    <t>55.</t>
  </si>
  <si>
    <t>56.</t>
  </si>
  <si>
    <t>H.) Kötelezettségek összesen</t>
  </si>
  <si>
    <t>57.</t>
  </si>
  <si>
    <t>I.) Kincstári számlavezetéssel kapcsolatos elszámolások</t>
  </si>
  <si>
    <t>58.</t>
  </si>
  <si>
    <t>J) Passzív időbeli elhatárolások</t>
  </si>
  <si>
    <t>Források összesen:</t>
  </si>
  <si>
    <t>60.</t>
  </si>
  <si>
    <t>Bruttó érték eFt</t>
  </si>
  <si>
    <t>Nettó érték</t>
  </si>
  <si>
    <t>A/I. Immateriális javak (2+3)</t>
  </si>
  <si>
    <t>"0"-ra leírt, de használatban lévő</t>
  </si>
  <si>
    <t>"0"-ra leírt, használaton kívüli</t>
  </si>
  <si>
    <t>A/II. Tárgyi eszközök (5+8+11)</t>
  </si>
  <si>
    <t>1. Ingatlanok és kapcsolódó vagyoni értékű jogok (6+7)</t>
  </si>
  <si>
    <t>2. Gépek, berendezések, felszerelések és járművek (9+10)</t>
  </si>
  <si>
    <t>3. Tenyészállatok (12+13)</t>
  </si>
  <si>
    <t>A/IV. Koncesszióba, vagyonkezelésbe adott eszközök (15+16)</t>
  </si>
  <si>
    <t>ÖSSZESEN (1+4+14)</t>
  </si>
  <si>
    <t>Mennyiség (db)</t>
  </si>
  <si>
    <t>Bruttó Érték
(eFt)</t>
  </si>
  <si>
    <t>A/I. Immateriális javak</t>
  </si>
  <si>
    <t>A/II. Tárgyi eszközök (3+4+5)</t>
  </si>
  <si>
    <t>1. Ingatlanok és kapcsolódó vagyoni értékű jogok</t>
  </si>
  <si>
    <t>2. Gépek, berendezések, felszerelések és járművek</t>
  </si>
  <si>
    <t>3. Tenyészállatok</t>
  </si>
  <si>
    <t>B/I. Készletek (7+8+9+10+11)</t>
  </si>
  <si>
    <t>1. Vásárolt készletek</t>
  </si>
  <si>
    <t>2. Átsorolt, követelés fejében átvett készletek</t>
  </si>
  <si>
    <t>3. Egyéb készletek</t>
  </si>
  <si>
    <t>4. Befejezetlen termelés, félkész termékek, késztermékek</t>
  </si>
  <si>
    <t>5. Növendék-, hízó és egyéb állatok</t>
  </si>
  <si>
    <t>ÖSSZESEN (1+2+6)</t>
  </si>
  <si>
    <t>Bruttó érték
(eFt)</t>
  </si>
  <si>
    <t>I. Befektetett eszközök (2+3+4+5)</t>
  </si>
  <si>
    <t>1. Államháztartáson belüli vagyonkezelésbe adott eszközök</t>
  </si>
  <si>
    <t>2. Bérbe vett befektetett eszközök</t>
  </si>
  <si>
    <t>3. Letétbe, bizományba, üzemeltetésre átvett befektetett eszközök</t>
  </si>
  <si>
    <t>4. PPP konstrukcióban használt befektetett eszközök</t>
  </si>
  <si>
    <t>II. Készletek (7+8+9)</t>
  </si>
  <si>
    <t>1. Bérbe vett készletek</t>
  </si>
  <si>
    <t>2. Letétbe, bizományba vett készletek</t>
  </si>
  <si>
    <t>3. Intervenciós készletek</t>
  </si>
  <si>
    <t>ÖSSZESEN (1+6)</t>
  </si>
  <si>
    <t>Képzőművészeti alkotások(kisplasztika)</t>
  </si>
  <si>
    <t>Képzőművészeti alkotások</t>
  </si>
  <si>
    <t>Kép- és hangarchívum</t>
  </si>
  <si>
    <t>Gyűjtemények</t>
  </si>
  <si>
    <t>Kulturális javak</t>
  </si>
  <si>
    <t>Régészeti leletek</t>
  </si>
  <si>
    <t>Összesen (1+2+3+4+5)</t>
  </si>
  <si>
    <t>Érték
(eFt)</t>
  </si>
  <si>
    <t>I. Függő követelések (2+3)</t>
  </si>
  <si>
    <t>1. Támogatási célú előlegekkel kapcsolatos elszámolási követelések</t>
  </si>
  <si>
    <t>2. Egyéb függő követelések</t>
  </si>
  <si>
    <t>II. Biztos (jövőbeni) követelések</t>
  </si>
  <si>
    <t>III. Függő kötelezettségek (6+7+8+9+10)</t>
  </si>
  <si>
    <t>1. Kezességgel-, garanciavállalással kapcsolatos függő kötelezettségek</t>
  </si>
  <si>
    <t>2. Peres ügyekkel kapcsolatos függő kötelezettségek</t>
  </si>
  <si>
    <t>3. El nem ismert tartozások</t>
  </si>
  <si>
    <t>4. Támogatási célú előlegekkel kapcsolatos elszámolási kötelezettségek</t>
  </si>
  <si>
    <t>5. Egyéb függő Kötelezettségek</t>
  </si>
  <si>
    <t>Összesen (1+4+5)</t>
  </si>
  <si>
    <t xml:space="preserve">Tájékoztató adat </t>
  </si>
  <si>
    <t>1. Behajthatatlan követelés</t>
  </si>
  <si>
    <t>2. Elengedett követelés</t>
  </si>
  <si>
    <t>21. melléklet</t>
  </si>
  <si>
    <t>Bevételi rovatos forgalom (+)</t>
  </si>
  <si>
    <t>Maradvány igénybevétele (-)</t>
  </si>
  <si>
    <t xml:space="preserve">vállalkozási maradványának igénybevétele (-) </t>
  </si>
  <si>
    <t>Kiadások rovatos forgalom (-)</t>
  </si>
  <si>
    <t>Sajátos elszámolások (36-os banki forgalom) (+/-)</t>
  </si>
  <si>
    <t>Egyéb sajátos kötelezettség jellegű elszámolások (+/-)</t>
  </si>
  <si>
    <t>Pénzkészlet változás</t>
  </si>
  <si>
    <t>2025. évi pénzkészlet változás kimutatása</t>
  </si>
  <si>
    <t>Pénztár nyitó egyenleg 2025.01.01.</t>
  </si>
  <si>
    <t>Bank nyitó egyenleg 2025.01.01.</t>
  </si>
  <si>
    <t>Nyitó pénzkészlet 2025.01.01.</t>
  </si>
  <si>
    <t>Pénztár, betétkönyv, csekk záró egyenleg 2025.12.31.</t>
  </si>
  <si>
    <t>Bank záró egyenleg 2025.12.31.</t>
  </si>
  <si>
    <t>Záró pénzkészlet 2025.12.31.</t>
  </si>
  <si>
    <t>Adósság állomány, több évre vállalt kötelezettségek évenkénti bemutatása</t>
  </si>
  <si>
    <t>Év</t>
  </si>
  <si>
    <t>Tőke</t>
  </si>
  <si>
    <t>2025.</t>
  </si>
  <si>
    <t>2027.</t>
  </si>
  <si>
    <t>Hivatali szállítás, rakodás</t>
  </si>
  <si>
    <t>Casco, kötelező, biztosítások</t>
  </si>
  <si>
    <t>Újság, folyóirat, napilap</t>
  </si>
  <si>
    <t>2028.</t>
  </si>
  <si>
    <t>23. melléklet</t>
  </si>
  <si>
    <t>24. sz. melléklet</t>
  </si>
  <si>
    <t xml:space="preserve">2025. évi I-XII. havi teljesítés </t>
  </si>
  <si>
    <t>25. melléklet</t>
  </si>
  <si>
    <t>26. melléklet</t>
  </si>
  <si>
    <t>1. melléklet</t>
  </si>
  <si>
    <t>2025. évi előirányzat       1 /2026.</t>
  </si>
  <si>
    <t>adatok fő-ben</t>
  </si>
  <si>
    <t>Önkormányzat VAGYONKIMUTATÁS a "0"-ra leírt eszközökről 2025.</t>
  </si>
  <si>
    <t>Önkormányzat VAGYONKIMUTATÁS a használatban lévő kisértékű eszközökről és készletekről 2025.</t>
  </si>
  <si>
    <t>Önkormányzat VAGYONKIMUTATÁS a 01-02 számlacsoportba nyilvántartott eszközökről 2025.</t>
  </si>
  <si>
    <t>Önkormányzat VAGYONKIMUTATÁS a NVT. 1.§ (2) bek. g) és h) p. sz. kult. javakról és régészeti leleltekről 2025.</t>
  </si>
  <si>
    <t>Önkormányzat VAGYONKIMUTATÁS a függő követelésekről és kötelezettségekről, a biztos (jövőbeni) követelésekről 2025.</t>
  </si>
  <si>
    <t>Felújítás</t>
  </si>
  <si>
    <t>3. melléklet 1.pont</t>
  </si>
  <si>
    <t>3. melléklet 2.pont</t>
  </si>
  <si>
    <t>1 melléklet 3. pont</t>
  </si>
  <si>
    <t>3. melléklet 2. pont összesen</t>
  </si>
  <si>
    <t>3. melléklet 3.pont</t>
  </si>
  <si>
    <t>3. melléklet 3.pont összesen</t>
  </si>
  <si>
    <t>4. sz. melléklet összesen</t>
  </si>
  <si>
    <t xml:space="preserve">2026. évi  2/2026.(I.30.) eredeti költségvetés </t>
  </si>
  <si>
    <t>Budapest főváros IX. kerület Ferencváros Önkormányzata óvodafejlestzésének támogatása</t>
  </si>
  <si>
    <t>Üllői út 169-179. sz. alatti kerékpártárolók üzemeltetése karbantartása</t>
  </si>
  <si>
    <t>Vállalkozás tev. Kiad.</t>
  </si>
  <si>
    <t>900090</t>
  </si>
  <si>
    <t xml:space="preserve">900060 </t>
  </si>
  <si>
    <t xml:space="preserve">900020 </t>
  </si>
  <si>
    <t>Természetes személyek adósságrendezésével kapcsolatos feladatok</t>
  </si>
  <si>
    <t>109030</t>
  </si>
  <si>
    <t xml:space="preserve">107090 </t>
  </si>
  <si>
    <t>Menekültek, befogadottak, oltalmazottak ideiglenes ellátása és támogatása</t>
  </si>
  <si>
    <t xml:space="preserve">107070 </t>
  </si>
  <si>
    <t xml:space="preserve">107060 </t>
  </si>
  <si>
    <t xml:space="preserve">107053 </t>
  </si>
  <si>
    <t xml:space="preserve">107052 </t>
  </si>
  <si>
    <t>Szociális étkeztetés szociális konyhán</t>
  </si>
  <si>
    <t>107051</t>
  </si>
  <si>
    <t>Hajléktalan nappali  ellátása</t>
  </si>
  <si>
    <t>Család és gyermekjóléti központ</t>
  </si>
  <si>
    <t>104043</t>
  </si>
  <si>
    <t>Család és gyermekjóléti szolgáltatások</t>
  </si>
  <si>
    <t>104042</t>
  </si>
  <si>
    <t>Intézményen kívüli gyermekétkeztetés</t>
  </si>
  <si>
    <t>104037</t>
  </si>
  <si>
    <t>Munkahelyi étkeztetés gyermekek napközbeni ellátását biztosító intézményben</t>
  </si>
  <si>
    <t>Gyermekek bölcsődében és mini bölcsődében történő ellátása</t>
  </si>
  <si>
    <t>Gyermekek napközbeni ellátása családi bölcsőde, munkahelyi bölcsőde, napközbeni gyermekfelügyelet vagy alternatív napközbeni ellátás útján</t>
  </si>
  <si>
    <t>104030</t>
  </si>
  <si>
    <t>Gyermekek átmeneti ellátása</t>
  </si>
  <si>
    <t>104012</t>
  </si>
  <si>
    <t xml:space="preserve">102050 </t>
  </si>
  <si>
    <t xml:space="preserve">102031 </t>
  </si>
  <si>
    <t>Időskorúak átmeneti ellátása</t>
  </si>
  <si>
    <t>102025</t>
  </si>
  <si>
    <t xml:space="preserve">101222 </t>
  </si>
  <si>
    <t xml:space="preserve">101221 </t>
  </si>
  <si>
    <t>Pszichiátriai betegek nappali ellátása</t>
  </si>
  <si>
    <t xml:space="preserve">101141 </t>
  </si>
  <si>
    <t xml:space="preserve">098010 </t>
  </si>
  <si>
    <t>Munkahelyi étkeztetés köznevelési intézményben</t>
  </si>
  <si>
    <t>096025</t>
  </si>
  <si>
    <t>Tankönyv- és jegyzettámogatás</t>
  </si>
  <si>
    <t xml:space="preserve">094250 </t>
  </si>
  <si>
    <t xml:space="preserve">091140 </t>
  </si>
  <si>
    <t>Egyéb szabadidős szolgáltatás</t>
  </si>
  <si>
    <t>086090</t>
  </si>
  <si>
    <t>Határon túli magyarok egyéb támogatásai</t>
  </si>
  <si>
    <t xml:space="preserve">086010 </t>
  </si>
  <si>
    <t xml:space="preserve">084070 </t>
  </si>
  <si>
    <t xml:space="preserve">084040 </t>
  </si>
  <si>
    <t xml:space="preserve">084032 </t>
  </si>
  <si>
    <t xml:space="preserve">084020 </t>
  </si>
  <si>
    <t>Társadalmi tevékenységekkel, esélyegyenlőséggel, érdekképviselettel, nemzetiségekkel, egyházakkal összefüggő feladatok igazgatása és szabályozása</t>
  </si>
  <si>
    <t xml:space="preserve">084010 </t>
  </si>
  <si>
    <t>Közművelődés - egész életre kiterjedő tanulás, amatőr művészetek</t>
  </si>
  <si>
    <t>082093</t>
  </si>
  <si>
    <t>Közművelődés - hagyományos közösségi kulturális értékek gondozás</t>
  </si>
  <si>
    <t>082092</t>
  </si>
  <si>
    <t xml:space="preserve">082091 </t>
  </si>
  <si>
    <t xml:space="preserve">082063 </t>
  </si>
  <si>
    <t>Múzeumi gyűjteményi tevékenység</t>
  </si>
  <si>
    <t>Művészeti tevékenységek (kivéve: színház)</t>
  </si>
  <si>
    <t xml:space="preserve">082030 </t>
  </si>
  <si>
    <t>Színházak tevékenysége</t>
  </si>
  <si>
    <t xml:space="preserve">082010 </t>
  </si>
  <si>
    <t>Üdülői szálláshely-szolgáltatás és étkeztetés</t>
  </si>
  <si>
    <t xml:space="preserve">081045 </t>
  </si>
  <si>
    <t xml:space="preserve">081043 </t>
  </si>
  <si>
    <t xml:space="preserve">081041 </t>
  </si>
  <si>
    <t>Sportlétesítmények, edzőtáborok működtetése és fejlesztése</t>
  </si>
  <si>
    <t>081030</t>
  </si>
  <si>
    <t>Kábítószer-megelőzés programjai, tevékenységei</t>
  </si>
  <si>
    <t>Ifjúság-egészségügyi gondozás</t>
  </si>
  <si>
    <t>074032</t>
  </si>
  <si>
    <t>Foglalkozás-egészségügyi alapellátás</t>
  </si>
  <si>
    <t>074011</t>
  </si>
  <si>
    <t>Egynapos sebészeti ellátás (egynapos beavatkozás)</t>
  </si>
  <si>
    <t>073160</t>
  </si>
  <si>
    <t>Fizikoterápiás szolgáltatás</t>
  </si>
  <si>
    <t>072450</t>
  </si>
  <si>
    <t>Képalkotó diagnosztikai szolgáltatások</t>
  </si>
  <si>
    <t>072430</t>
  </si>
  <si>
    <t>Egészségügyi laboratóriumi szolgáltatások</t>
  </si>
  <si>
    <t>072420</t>
  </si>
  <si>
    <t>Otthoni (egészségügyi) szakápolás</t>
  </si>
  <si>
    <t>072410</t>
  </si>
  <si>
    <t xml:space="preserve"> Fogorvosi szakellátás</t>
  </si>
  <si>
    <t>072313</t>
  </si>
  <si>
    <t xml:space="preserve"> Fogorvosi alapellátás</t>
  </si>
  <si>
    <t>072311</t>
  </si>
  <si>
    <t>Járóbetegek egynapos ellátása</t>
  </si>
  <si>
    <t>072240</t>
  </si>
  <si>
    <t>Járóbetegek gyógyító gondozása</t>
  </si>
  <si>
    <t>072230</t>
  </si>
  <si>
    <t>Járóbetegek rehabilitációs szakellátása</t>
  </si>
  <si>
    <t>072220</t>
  </si>
  <si>
    <t>Háziorvosi ügyeleti ellátás</t>
  </si>
  <si>
    <t>072112</t>
  </si>
  <si>
    <t>Háziorvosi alapellátás</t>
  </si>
  <si>
    <t>072111</t>
  </si>
  <si>
    <t xml:space="preserve">066020 </t>
  </si>
  <si>
    <t xml:space="preserve">066010 </t>
  </si>
  <si>
    <t xml:space="preserve">053010 </t>
  </si>
  <si>
    <t>Közuti jármű vontatás</t>
  </si>
  <si>
    <t>045180</t>
  </si>
  <si>
    <t>Parkoló, garázs üzemeltetése, fenntartása</t>
  </si>
  <si>
    <t xml:space="preserve">045170 </t>
  </si>
  <si>
    <t xml:space="preserve">045140 </t>
  </si>
  <si>
    <t xml:space="preserve">041233 </t>
  </si>
  <si>
    <t xml:space="preserve">031060 </t>
  </si>
  <si>
    <t>Közterület rendjének fenntartása</t>
  </si>
  <si>
    <t>Támogatási célú finanszírozási műveletek</t>
  </si>
  <si>
    <t xml:space="preserve">018030 </t>
  </si>
  <si>
    <t xml:space="preserve">018020 </t>
  </si>
  <si>
    <t>Önkormányzatok elszámolásai a központi költségvetéssel</t>
  </si>
  <si>
    <t xml:space="preserve">018010 </t>
  </si>
  <si>
    <t>Nemzetpolitikai tevékenység igazgatása és támogatása</t>
  </si>
  <si>
    <t xml:space="preserve">016040 </t>
  </si>
  <si>
    <t xml:space="preserve"> Más szerv részére végzett pénzügyi-gazdálkodási, üzemeltetési, egyéb szolgáltatások</t>
  </si>
  <si>
    <t xml:space="preserve">013350 </t>
  </si>
  <si>
    <t xml:space="preserve">011130 </t>
  </si>
  <si>
    <t>KOFOG szám</t>
  </si>
  <si>
    <t>27. melléklet</t>
  </si>
  <si>
    <t>KOFOG szerinti 2025. évi bevételek, kiadások bemutatása</t>
  </si>
  <si>
    <t>2025. évi kiadások</t>
  </si>
  <si>
    <t>2025. évi bevételek</t>
  </si>
  <si>
    <t xml:space="preserve"> Állampolgársági ügyek</t>
  </si>
  <si>
    <t>016030</t>
  </si>
  <si>
    <t>041140</t>
  </si>
  <si>
    <t>Területfejlesztés igazgatása</t>
  </si>
  <si>
    <t xml:space="preserve"> Út, autópálya építése</t>
  </si>
  <si>
    <t>045120</t>
  </si>
  <si>
    <t xml:space="preserve"> Egyéb szárazföldi személyszállítás</t>
  </si>
  <si>
    <t>045150</t>
  </si>
  <si>
    <t xml:space="preserve"> Közutak, hidak, alagutak üzemeltetése, fenntartása</t>
  </si>
  <si>
    <t>045160</t>
  </si>
  <si>
    <t xml:space="preserve"> Piac üzemeltetése</t>
  </si>
  <si>
    <t>047120</t>
  </si>
  <si>
    <t>Komplex környezetvédelmi programok támogatása</t>
  </si>
  <si>
    <t xml:space="preserve">056010 </t>
  </si>
  <si>
    <t xml:space="preserve"> Lakáshoz jutást segítő támogatások</t>
  </si>
  <si>
    <t>061030</t>
  </si>
  <si>
    <t>Történelmi hely, építmény, egyéb látványosság működtetése és megóvása</t>
  </si>
  <si>
    <t>082070</t>
  </si>
  <si>
    <t>Egyéb kiadói tevékenység</t>
  </si>
  <si>
    <t xml:space="preserve">083030 </t>
  </si>
  <si>
    <t xml:space="preserve"> Civil szervezetek működési támogatása</t>
  </si>
  <si>
    <t>Nemzetközi kulturális együttműködés</t>
  </si>
  <si>
    <t xml:space="preserve">086030 </t>
  </si>
  <si>
    <t xml:space="preserve"> Országos és helyi nemzetiségi önkormányzatok igazgatási tevékenysége</t>
  </si>
  <si>
    <t>011140</t>
  </si>
  <si>
    <t>Adó-, vám- és jövedéki igazgatás</t>
  </si>
  <si>
    <t xml:space="preserve">011220 </t>
  </si>
  <si>
    <t xml:space="preserve"> Településfejlesztési projektek és támogatásuk</t>
  </si>
  <si>
    <t>062020</t>
  </si>
  <si>
    <t>II/2. Forgatási célú hitelviszonyt megtestesítő értékpapírok</t>
  </si>
  <si>
    <t>II/2c - ebből államkötvények</t>
  </si>
  <si>
    <t>I/1. É ven túli lejáratú forint lekötött bankbetétek</t>
  </si>
  <si>
    <t>III./2. Kincstárban vezetett forintszámlák</t>
  </si>
  <si>
    <t>IV./1. Kincstáron kívüli devizaszámlák</t>
  </si>
  <si>
    <t>104.</t>
  </si>
  <si>
    <t>1. Költségvetési évet követően esedékes követelések működési célú támogatások bevételeire ÁH-n belülről</t>
  </si>
  <si>
    <t>216.</t>
  </si>
  <si>
    <t>5. Költségvetési évet követően esedékes kötelezettségek egyéb működési célú kiadásokra</t>
  </si>
  <si>
    <t>219.</t>
  </si>
  <si>
    <t>6. Költségvetési évet követően esedékes kötelezettségek beruházási kiadásokra</t>
  </si>
  <si>
    <t xml:space="preserve">Egyéb pénzeszközök és sajátos elszámolások mérlegfordulónapi értékelése során megállapított (nem realizált) árfolyamvesztesége tárgyidőszaki egyenlege </t>
  </si>
  <si>
    <t>IV. Devizaszámlák</t>
  </si>
  <si>
    <t>61.</t>
  </si>
  <si>
    <t>I. Lekötött bankbetétek</t>
  </si>
  <si>
    <t>62.</t>
  </si>
  <si>
    <t xml:space="preserve">   Polgármesteri Hivatal kiadása (5. melléklet szerint)</t>
  </si>
  <si>
    <t xml:space="preserve">   Önkormányzat költségvetésben szereplő  kiadások (6. melléklet szerint)</t>
  </si>
  <si>
    <t xml:space="preserve">   Önkormányzat ktsv. szereplő Támogatások (7. melléklet szerint)</t>
  </si>
  <si>
    <t xml:space="preserve">   Önkormányzati Felújítási kiadások (8. sz. melléklet szerint)</t>
  </si>
  <si>
    <t xml:space="preserve">   Önkormányzati Fejlesztési, beruházási kiadások (9. sz. melléklet szerint)</t>
  </si>
  <si>
    <t>III. Költségvetési szervek kiadásai (4.sz.melléklet szerint)</t>
  </si>
  <si>
    <t>Adósságállomány</t>
  </si>
  <si>
    <t>Utcai Szociális Munka – Menhely Alapítvány</t>
  </si>
  <si>
    <t>Támogató Szolgálat – Motiváció Mozgássérülteket Segítő Alapítvány</t>
  </si>
  <si>
    <t>Fogyatékos személyek nappali ellátása Gond-Viselés Kht.</t>
  </si>
  <si>
    <t>Kék Pont Drogkonzultációs Központ és Drogambulancia Alapítvány</t>
  </si>
  <si>
    <t>2029.</t>
  </si>
  <si>
    <t>Forti Core Switchek (2026-ban premium support)</t>
  </si>
  <si>
    <t>Anydesk licencek</t>
  </si>
  <si>
    <t>C1 cafetéria rendszer</t>
  </si>
  <si>
    <t>Céginfó online szolgáltatás</t>
  </si>
  <si>
    <t>Végpontvédelem biztosítása</t>
  </si>
  <si>
    <t>Tűzfalak licencelése</t>
  </si>
  <si>
    <t>Honlap készítés www.ferencvaros.hu címre</t>
  </si>
  <si>
    <t>Térinformatikai rendszer biztosítása (KAPU)</t>
  </si>
  <si>
    <t>Mapinfo Pro szoftver előfizetés</t>
  </si>
  <si>
    <t>Maxi archiváló csomag</t>
  </si>
  <si>
    <t>Microsoft 365 Business Basic előfizetés</t>
  </si>
  <si>
    <t>Microsoft Teams licencek</t>
  </si>
  <si>
    <t>SIM kártyák beszerzése</t>
  </si>
  <si>
    <t>Szoftveres minősített bronz bélyegző csomag éves díja</t>
  </si>
  <si>
    <t>Tanúsított iratkezelő licencbérlet</t>
  </si>
  <si>
    <t>Weboldal-hitelesítõ tanúsítvány éves díja Wildcard</t>
  </si>
  <si>
    <t>Exchange licencek beszerzése</t>
  </si>
  <si>
    <t>Windows Szerver licencek beszerzése</t>
  </si>
  <si>
    <t>AutoCad licencek beszerzése</t>
  </si>
  <si>
    <t>Információbiztonsági felelősi feladatok ellátása</t>
  </si>
  <si>
    <t>Rendszertámogatási szolgáltatás nyújtása</t>
  </si>
  <si>
    <t>Internet (Ferenc krt., Ráday 26)</t>
  </si>
  <si>
    <t>Vezetékes telefon szolgáltatás (Magyar Telekom NYrt)</t>
  </si>
  <si>
    <t>BDSL Toronyház utca (Magyar Telekom NYrt)</t>
  </si>
  <si>
    <t>IP telefon szolgáltatás díja (Magyar Telekom NYrt)</t>
  </si>
  <si>
    <t>Közraktár utca (Magyar Telekom Nyrt)</t>
  </si>
  <si>
    <t>Zöld szám (Magyar Telekom NYrt)</t>
  </si>
  <si>
    <t>Pöttyös utca telefon és internet (Magyar Telekom NYrt)</t>
  </si>
  <si>
    <t>Lónyay u. internet (Magyar Telekom NYrt)</t>
  </si>
  <si>
    <t>Ecseri u. 19. ügyfélszolgálat telefonszolgáltatás (Magyar Telekom NYrt)</t>
  </si>
  <si>
    <t>KMB Lenhossék telefon (Magyar Telekom NYrt)</t>
  </si>
  <si>
    <t>Ráday utca 52. telefon és internet (Magyar Telekom NYrt)</t>
  </si>
  <si>
    <t>Közterület iroda mobilinternet (Magyar Telekom Nyrt)</t>
  </si>
  <si>
    <t>Balatonszéplak telefon (Magyar Telekom NYrt)</t>
  </si>
  <si>
    <t>Mobil telefon (Magyar Telekom)</t>
  </si>
  <si>
    <t>Bérelt vonali Internet és bérelt vonali szolgáltatás  (One Magyarország)</t>
  </si>
  <si>
    <t>Integrált Önkormányzati Szociálpolitikai rendszer</t>
  </si>
  <si>
    <t>Multifunkciós nyomtatók bérleti díja, nyomatdíja, karbantartása, kellékanyagok biztosítása</t>
  </si>
  <si>
    <t>Vagyonkezelési Rendszerhez fejlesztett RFM üzemeltetése</t>
  </si>
  <si>
    <t>VKR üzemeltetése és karbantartása</t>
  </si>
  <si>
    <t>Földkönyv szoftver</t>
  </si>
  <si>
    <t>Ingatlanvagyon kataszter</t>
  </si>
  <si>
    <t>Jogtár szoftverhasználat</t>
  </si>
  <si>
    <t xml:space="preserve">IJR-Loclex </t>
  </si>
  <si>
    <t>Takarnet földhivatali lekérdező rendszer</t>
  </si>
  <si>
    <t>Mikrovoks testületi-bizottsági rendszer átalánydíjas karbantartás</t>
  </si>
  <si>
    <t>Mikro Text</t>
  </si>
  <si>
    <t>Nyilvántartó program</t>
  </si>
  <si>
    <t>Opten automatikus partnerfigyelő</t>
  </si>
  <si>
    <t>Közterület-felügyeleti Iroda munkafolyamatot támogató keretszoftver és dokumentumtár üzemeltetése</t>
  </si>
  <si>
    <t>Közterület-felügyeleti Iroda honlapjának üzemeltetése</t>
  </si>
  <si>
    <t>Ecseri út Rönk, Mester u. 70. (One Magyarország)</t>
  </si>
  <si>
    <t>IP-VPN Bakáts tér és FIÜK (One Magyarország)</t>
  </si>
  <si>
    <t>Térfelügyeleit kamararendszer kameráinak karbantartása (166 db)</t>
  </si>
  <si>
    <t xml:space="preserve">Haller u. 54. építés </t>
  </si>
  <si>
    <t>Projekt menedzsment (egészséges utcák)</t>
  </si>
  <si>
    <t>Egészséges utcák - Viola utca tervezés</t>
  </si>
  <si>
    <t>Egészséges utcák - Sobieski utca tervezés</t>
  </si>
  <si>
    <t>Egészséges utcák - Ipar utca tervezés</t>
  </si>
  <si>
    <t>Egészséges utcák - Angyal utca tervezés</t>
  </si>
  <si>
    <t>Utak, járdák karbantartása</t>
  </si>
  <si>
    <t>2026. évben biztosítandó</t>
  </si>
  <si>
    <t>Társasházi tetőfelújítások</t>
  </si>
  <si>
    <t>3021 Polgármesteri Hivatal Igazgatási kiadásai</t>
  </si>
  <si>
    <t>Vállalkozói tevékenység maradvány kimutatása</t>
  </si>
  <si>
    <t>Vállalkozói tevékenység költségvetési bevételei</t>
  </si>
  <si>
    <t>Vállalkozói tevékenység költségvetési kiadásai</t>
  </si>
  <si>
    <t>Vállalkozói tevékenység költségvetési egyenlege</t>
  </si>
  <si>
    <t>Vállalkozói tevékenység maradványa</t>
  </si>
  <si>
    <t>Vállalkozási tevékenység felhasználható maradványa</t>
  </si>
  <si>
    <t>Vállalkozói tevékenység maradványának felosztása</t>
  </si>
  <si>
    <t>Vállalkozói tevékenység összesen</t>
  </si>
  <si>
    <t>2025. évi alap - és vállalkozói tevékenység maradvány kimutatása</t>
  </si>
  <si>
    <t>Kötelezettségválallással terhelt maradvány</t>
  </si>
  <si>
    <t>Költségvetési szerveknek biztosítandó maradvány alulfinanszírozás miatt</t>
  </si>
  <si>
    <t>Polgármesteri Hivatalnak biztosítandó maradvány alulfinanszírozás miatt</t>
  </si>
  <si>
    <t>Támogatási bevételekből kötött felhasználású maradvány</t>
  </si>
  <si>
    <t>Önkormányzat felhasználható szabad maradványa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</si>
</sst>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F_t_-;\-* #,##0.00\ _F_t_-;_-* &quot;-&quot;??\ _F_t_-;_-@_-"/>
    <numFmt numFmtId="165" formatCode="0.0%"/>
    <numFmt numFmtId="166" formatCode="#,##0.0"/>
  </numFmts>
  <fonts count="12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i/>
      <sz val="9"/>
      <name val="Arial CE"/>
      <family val="2"/>
      <charset val="238"/>
    </font>
    <font>
      <b/>
      <i/>
      <sz val="9"/>
      <name val="Arial CE"/>
      <family val="2"/>
      <charset val="238"/>
    </font>
    <font>
      <b/>
      <sz val="10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CE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9"/>
      <name val="Arial CE"/>
      <charset val="238"/>
    </font>
    <font>
      <sz val="9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name val="Arial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11"/>
      <name val="Arial CE"/>
      <family val="2"/>
      <charset val="238"/>
    </font>
    <font>
      <b/>
      <i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1"/>
      <name val="Arial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b/>
      <i/>
      <sz val="10"/>
      <name val="Arial CE"/>
      <charset val="238"/>
    </font>
    <font>
      <i/>
      <sz val="10"/>
      <name val="Times New Roman"/>
      <family val="1"/>
      <charset val="238"/>
    </font>
    <font>
      <sz val="10"/>
      <color rgb="FF000000"/>
      <name val="Arial CE"/>
    </font>
    <font>
      <b/>
      <sz val="12"/>
      <name val="Arial"/>
      <family val="2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2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6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i/>
      <sz val="12"/>
      <name val="Times New Roman"/>
      <family val="1"/>
      <charset val="238"/>
    </font>
    <font>
      <b/>
      <sz val="10"/>
      <color rgb="FFFF0000"/>
      <name val="Arial CE"/>
      <charset val="238"/>
    </font>
    <font>
      <sz val="9"/>
      <color rgb="FFFF0000"/>
      <name val="Arial CE"/>
      <family val="2"/>
      <charset val="238"/>
    </font>
    <font>
      <sz val="9"/>
      <color theme="1"/>
      <name val="Arial CE"/>
      <charset val="238"/>
    </font>
    <font>
      <b/>
      <sz val="9"/>
      <color rgb="FF7030A0"/>
      <name val="Arial CE"/>
      <charset val="238"/>
    </font>
    <font>
      <b/>
      <sz val="10"/>
      <color rgb="FF7030A0"/>
      <name val="Arial CE"/>
      <family val="2"/>
      <charset val="238"/>
    </font>
    <font>
      <b/>
      <sz val="10"/>
      <color theme="1"/>
      <name val="Arial CE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theme="1"/>
      <name val="Arial CE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 CE"/>
      <charset val="238"/>
    </font>
    <font>
      <b/>
      <sz val="10"/>
      <color theme="1"/>
      <name val="Arial CE"/>
      <family val="2"/>
      <charset val="238"/>
    </font>
    <font>
      <b/>
      <i/>
      <sz val="9"/>
      <color theme="1"/>
      <name val="Arial CE"/>
      <family val="2"/>
      <charset val="238"/>
    </font>
    <font>
      <b/>
      <sz val="9"/>
      <color theme="1"/>
      <name val="Arial CE"/>
      <charset val="238"/>
    </font>
    <font>
      <b/>
      <i/>
      <sz val="9"/>
      <color theme="1"/>
      <name val="Arial CE"/>
      <charset val="238"/>
    </font>
    <font>
      <sz val="10"/>
      <color theme="1"/>
      <name val="Arial CE"/>
      <charset val="238"/>
    </font>
    <font>
      <i/>
      <sz val="9"/>
      <color theme="1"/>
      <name val="Arial CE"/>
      <family val="2"/>
      <charset val="238"/>
    </font>
    <font>
      <b/>
      <sz val="11"/>
      <color theme="1"/>
      <name val="Arial CE"/>
      <charset val="238"/>
    </font>
    <font>
      <b/>
      <sz val="11"/>
      <color theme="1"/>
      <name val="Arial CE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rgb="FFFF0000"/>
      <name val="Arial CE"/>
      <family val="2"/>
      <charset val="238"/>
    </font>
    <font>
      <i/>
      <sz val="8"/>
      <name val="Arial CE"/>
      <charset val="238"/>
    </font>
    <font>
      <sz val="8"/>
      <name val="Arial CE"/>
      <charset val="238"/>
    </font>
    <font>
      <i/>
      <sz val="8"/>
      <color theme="1"/>
      <name val="Arial CE"/>
      <charset val="238"/>
    </font>
    <font>
      <i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 CE"/>
      <family val="2"/>
      <charset val="238"/>
    </font>
    <font>
      <sz val="11"/>
      <name val="Calibri"/>
      <family val="2"/>
      <charset val="238"/>
      <scheme val="minor"/>
    </font>
    <font>
      <sz val="10"/>
      <name val="Palatino Linotype"/>
      <family val="1"/>
      <charset val="238"/>
    </font>
    <font>
      <b/>
      <sz val="10"/>
      <name val="Palatino Linotype"/>
      <family val="1"/>
      <charset val="238"/>
    </font>
    <font>
      <i/>
      <sz val="10"/>
      <name val="Palatino Linotype"/>
      <family val="1"/>
      <charset val="238"/>
    </font>
    <font>
      <sz val="1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name val="Ariel"/>
      <charset val="238"/>
    </font>
    <font>
      <b/>
      <sz val="14"/>
      <name val="Calibri"/>
      <family val="2"/>
      <charset val="238"/>
      <scheme val="minor"/>
    </font>
    <font>
      <b/>
      <sz val="10"/>
      <name val="Ariel"/>
      <charset val="238"/>
    </font>
    <font>
      <b/>
      <sz val="14"/>
      <color theme="1"/>
      <name val="Calibri"/>
      <family val="2"/>
      <charset val="238"/>
      <scheme val="minor"/>
    </font>
    <font>
      <b/>
      <sz val="8"/>
      <name val="Palatino Linotype"/>
      <family val="1"/>
      <charset val="238"/>
    </font>
    <font>
      <sz val="10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3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9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9" borderId="0" applyNumberFormat="0" applyBorder="0" applyAlignment="0" applyProtection="0"/>
    <xf numFmtId="0" fontId="24" fillId="3" borderId="0" applyNumberFormat="0" applyBorder="0" applyAlignment="0" applyProtection="0"/>
    <xf numFmtId="0" fontId="25" fillId="7" borderId="1" applyNumberFormat="0" applyAlignment="0" applyProtection="0"/>
    <xf numFmtId="0" fontId="26" fillId="0" borderId="0" applyNumberFormat="0" applyFill="0" applyBorder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9" fillId="0" borderId="4" applyNumberFormat="0" applyFill="0" applyAlignment="0" applyProtection="0"/>
    <xf numFmtId="0" fontId="29" fillId="0" borderId="0" applyNumberFormat="0" applyFill="0" applyBorder="0" applyAlignment="0" applyProtection="0"/>
    <xf numFmtId="0" fontId="30" fillId="10" borderId="5" applyNumberFormat="0" applyAlignment="0" applyProtection="0"/>
    <xf numFmtId="164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6" applyNumberFormat="0" applyFill="0" applyAlignment="0" applyProtection="0"/>
    <xf numFmtId="0" fontId="3" fillId="4" borderId="7" applyNumberFormat="0" applyFont="0" applyAlignment="0" applyProtection="0"/>
    <xf numFmtId="0" fontId="33" fillId="11" borderId="0" applyNumberFormat="0" applyBorder="0" applyAlignment="0" applyProtection="0"/>
    <xf numFmtId="0" fontId="34" fillId="12" borderId="8" applyNumberFormat="0" applyAlignment="0" applyProtection="0"/>
    <xf numFmtId="0" fontId="35" fillId="0" borderId="0" applyNumberFormat="0" applyFill="0" applyBorder="0" applyAlignment="0" applyProtection="0"/>
    <xf numFmtId="0" fontId="36" fillId="0" borderId="0"/>
    <xf numFmtId="0" fontId="16" fillId="0" borderId="0"/>
    <xf numFmtId="0" fontId="16" fillId="0" borderId="0"/>
    <xf numFmtId="0" fontId="3" fillId="0" borderId="0"/>
    <xf numFmtId="0" fontId="58" fillId="0" borderId="0"/>
    <xf numFmtId="0" fontId="3" fillId="0" borderId="0"/>
    <xf numFmtId="0" fontId="3" fillId="0" borderId="0"/>
    <xf numFmtId="0" fontId="3" fillId="0" borderId="0"/>
    <xf numFmtId="0" fontId="37" fillId="0" borderId="9" applyNumberFormat="0" applyFill="0" applyAlignment="0" applyProtection="0"/>
    <xf numFmtId="0" fontId="38" fillId="13" borderId="0" applyNumberFormat="0" applyBorder="0" applyAlignment="0" applyProtection="0"/>
    <xf numFmtId="0" fontId="39" fillId="7" borderId="0" applyNumberFormat="0" applyBorder="0" applyAlignment="0" applyProtection="0"/>
    <xf numFmtId="0" fontId="40" fillId="12" borderId="1" applyNumberFormat="0" applyAlignment="0" applyProtection="0"/>
    <xf numFmtId="9" fontId="3" fillId="0" borderId="0" applyFont="0" applyFill="0" applyBorder="0" applyAlignment="0" applyProtection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75" fillId="0" borderId="0"/>
    <xf numFmtId="0" fontId="23" fillId="16" borderId="0" applyNumberFormat="0" applyBorder="0" applyAlignment="0" applyProtection="0"/>
    <xf numFmtId="0" fontId="23" fillId="13" borderId="0" applyNumberFormat="0" applyBorder="0" applyAlignment="0" applyProtection="0"/>
    <xf numFmtId="0" fontId="23" fillId="11" borderId="0" applyNumberFormat="0" applyBorder="0" applyAlignment="0" applyProtection="0"/>
    <xf numFmtId="0" fontId="23" fillId="17" borderId="0" applyNumberFormat="0" applyBorder="0" applyAlignment="0" applyProtection="0"/>
    <xf numFmtId="0" fontId="23" fillId="2" borderId="0" applyNumberFormat="0" applyBorder="0" applyAlignment="0" applyProtection="0"/>
    <xf numFmtId="0" fontId="23" fillId="8" borderId="0" applyNumberFormat="0" applyBorder="0" applyAlignment="0" applyProtection="0"/>
    <xf numFmtId="0" fontId="23" fillId="19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19" borderId="0" applyNumberFormat="0" applyBorder="0" applyAlignment="0" applyProtection="0"/>
    <xf numFmtId="0" fontId="24" fillId="18" borderId="0" applyNumberFormat="0" applyBorder="0" applyAlignment="0" applyProtection="0"/>
    <xf numFmtId="0" fontId="24" fillId="22" borderId="0" applyNumberFormat="0" applyBorder="0" applyAlignment="0" applyProtection="0"/>
    <xf numFmtId="0" fontId="25" fillId="2" borderId="1" applyNumberFormat="0" applyAlignment="0" applyProtection="0"/>
    <xf numFmtId="0" fontId="76" fillId="0" borderId="0" applyNumberFormat="0" applyFill="0" applyBorder="0" applyAlignment="0" applyProtection="0"/>
    <xf numFmtId="0" fontId="77" fillId="0" borderId="55" applyNumberFormat="0" applyFill="0" applyAlignment="0" applyProtection="0"/>
    <xf numFmtId="0" fontId="78" fillId="0" borderId="3" applyNumberFormat="0" applyFill="0" applyAlignment="0" applyProtection="0"/>
    <xf numFmtId="0" fontId="79" fillId="0" borderId="56" applyNumberFormat="0" applyFill="0" applyAlignment="0" applyProtection="0"/>
    <xf numFmtId="0" fontId="79" fillId="0" borderId="0" applyNumberFormat="0" applyFill="0" applyBorder="0" applyAlignment="0" applyProtection="0"/>
    <xf numFmtId="0" fontId="75" fillId="4" borderId="7" applyNumberFormat="0" applyFont="0" applyAlignment="0" applyProtection="0"/>
    <xf numFmtId="0" fontId="34" fillId="6" borderId="8" applyNumberFormat="0" applyAlignment="0" applyProtection="0"/>
    <xf numFmtId="0" fontId="16" fillId="0" borderId="0"/>
    <xf numFmtId="0" fontId="37" fillId="0" borderId="57" applyNumberFormat="0" applyFill="0" applyAlignment="0" applyProtection="0"/>
    <xf numFmtId="0" fontId="40" fillId="6" borderId="1" applyNumberFormat="0" applyAlignment="0" applyProtection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</cellStyleXfs>
  <cellXfs count="2115">
    <xf numFmtId="0" fontId="0" fillId="0" borderId="0" xfId="0"/>
    <xf numFmtId="3" fontId="4" fillId="0" borderId="11" xfId="0" applyNumberFormat="1" applyFont="1" applyBorder="1" applyAlignment="1">
      <alignment horizontal="center"/>
    </xf>
    <xf numFmtId="3" fontId="4" fillId="0" borderId="12" xfId="0" applyNumberFormat="1" applyFont="1" applyBorder="1"/>
    <xf numFmtId="3" fontId="5" fillId="0" borderId="12" xfId="0" applyNumberFormat="1" applyFont="1" applyBorder="1"/>
    <xf numFmtId="3" fontId="5" fillId="0" borderId="11" xfId="0" applyNumberFormat="1" applyFont="1" applyBorder="1"/>
    <xf numFmtId="3" fontId="4" fillId="0" borderId="11" xfId="0" applyNumberFormat="1" applyFont="1" applyBorder="1"/>
    <xf numFmtId="0" fontId="7" fillId="0" borderId="0" xfId="0" applyFont="1"/>
    <xf numFmtId="3" fontId="7" fillId="0" borderId="0" xfId="0" applyNumberFormat="1" applyFont="1"/>
    <xf numFmtId="3" fontId="6" fillId="0" borderId="12" xfId="0" applyNumberFormat="1" applyFont="1" applyBorder="1" applyAlignment="1">
      <alignment horizontal="center"/>
    </xf>
    <xf numFmtId="0" fontId="6" fillId="0" borderId="0" xfId="0" applyFont="1"/>
    <xf numFmtId="3" fontId="6" fillId="0" borderId="12" xfId="0" applyNumberFormat="1" applyFont="1" applyBorder="1"/>
    <xf numFmtId="0" fontId="4" fillId="0" borderId="0" xfId="0" applyFont="1"/>
    <xf numFmtId="3" fontId="5" fillId="0" borderId="0" xfId="0" applyNumberFormat="1" applyFont="1"/>
    <xf numFmtId="3" fontId="4" fillId="0" borderId="13" xfId="0" applyNumberFormat="1" applyFont="1" applyBorder="1"/>
    <xf numFmtId="3" fontId="4" fillId="0" borderId="14" xfId="0" applyNumberFormat="1" applyFont="1" applyBorder="1" applyAlignment="1">
      <alignment horizontal="center"/>
    </xf>
    <xf numFmtId="3" fontId="4" fillId="0" borderId="0" xfId="0" applyNumberFormat="1" applyFont="1"/>
    <xf numFmtId="3" fontId="5" fillId="0" borderId="10" xfId="0" applyNumberFormat="1" applyFont="1" applyBorder="1"/>
    <xf numFmtId="3" fontId="9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9" fillId="0" borderId="14" xfId="0" applyNumberFormat="1" applyFont="1" applyBorder="1"/>
    <xf numFmtId="0" fontId="5" fillId="0" borderId="0" xfId="0" applyFont="1"/>
    <xf numFmtId="0" fontId="5" fillId="0" borderId="10" xfId="0" applyFont="1" applyBorder="1"/>
    <xf numFmtId="0" fontId="4" fillId="0" borderId="15" xfId="0" applyFont="1" applyBorder="1"/>
    <xf numFmtId="0" fontId="4" fillId="0" borderId="10" xfId="0" applyFont="1" applyBorder="1"/>
    <xf numFmtId="0" fontId="5" fillId="0" borderId="0" xfId="0" applyFont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7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3" fontId="0" fillId="0" borderId="0" xfId="0" applyNumberFormat="1"/>
    <xf numFmtId="0" fontId="4" fillId="0" borderId="15" xfId="0" applyFont="1" applyBorder="1" applyAlignment="1">
      <alignment horizontal="center"/>
    </xf>
    <xf numFmtId="0" fontId="14" fillId="0" borderId="0" xfId="0" applyFont="1"/>
    <xf numFmtId="3" fontId="6" fillId="0" borderId="11" xfId="0" applyNumberFormat="1" applyFont="1" applyBorder="1" applyAlignment="1">
      <alignment horizontal="center"/>
    </xf>
    <xf numFmtId="3" fontId="11" fillId="0" borderId="11" xfId="0" applyNumberFormat="1" applyFont="1" applyBorder="1"/>
    <xf numFmtId="3" fontId="14" fillId="0" borderId="12" xfId="0" applyNumberFormat="1" applyFont="1" applyBorder="1"/>
    <xf numFmtId="3" fontId="14" fillId="0" borderId="11" xfId="0" applyNumberFormat="1" applyFont="1" applyBorder="1"/>
    <xf numFmtId="3" fontId="11" fillId="0" borderId="12" xfId="0" applyNumberFormat="1" applyFont="1" applyBorder="1"/>
    <xf numFmtId="0" fontId="10" fillId="0" borderId="0" xfId="0" applyFont="1" applyAlignment="1">
      <alignment horizontal="right"/>
    </xf>
    <xf numFmtId="3" fontId="5" fillId="0" borderId="0" xfId="0" applyNumberFormat="1" applyFont="1" applyAlignment="1">
      <alignment horizontal="center"/>
    </xf>
    <xf numFmtId="3" fontId="9" fillId="0" borderId="11" xfId="0" applyNumberFormat="1" applyFont="1" applyBorder="1"/>
    <xf numFmtId="0" fontId="13" fillId="0" borderId="10" xfId="0" applyFont="1" applyBorder="1"/>
    <xf numFmtId="3" fontId="4" fillId="0" borderId="17" xfId="0" applyNumberFormat="1" applyFont="1" applyBorder="1" applyAlignment="1">
      <alignment horizontal="center"/>
    </xf>
    <xf numFmtId="3" fontId="4" fillId="0" borderId="20" xfId="0" applyNumberFormat="1" applyFont="1" applyBorder="1" applyAlignment="1">
      <alignment horizontal="left"/>
    </xf>
    <xf numFmtId="0" fontId="11" fillId="0" borderId="10" xfId="0" applyFont="1" applyBorder="1"/>
    <xf numFmtId="0" fontId="6" fillId="0" borderId="16" xfId="0" applyFont="1" applyBorder="1" applyAlignment="1">
      <alignment horizontal="centerContinuous" vertical="top"/>
    </xf>
    <xf numFmtId="3" fontId="13" fillId="0" borderId="10" xfId="0" applyNumberFormat="1" applyFont="1" applyBorder="1"/>
    <xf numFmtId="3" fontId="4" fillId="0" borderId="0" xfId="0" applyNumberFormat="1" applyFont="1" applyAlignment="1">
      <alignment horizontal="center"/>
    </xf>
    <xf numFmtId="3" fontId="14" fillId="0" borderId="15" xfId="0" applyNumberFormat="1" applyFont="1" applyBorder="1"/>
    <xf numFmtId="3" fontId="21" fillId="0" borderId="12" xfId="0" applyNumberFormat="1" applyFont="1" applyBorder="1"/>
    <xf numFmtId="0" fontId="16" fillId="0" borderId="0" xfId="35"/>
    <xf numFmtId="0" fontId="4" fillId="0" borderId="0" xfId="36" applyFont="1" applyAlignment="1">
      <alignment horizontal="center"/>
    </xf>
    <xf numFmtId="0" fontId="3" fillId="0" borderId="0" xfId="36"/>
    <xf numFmtId="0" fontId="5" fillId="0" borderId="0" xfId="36" applyFont="1"/>
    <xf numFmtId="0" fontId="10" fillId="0" borderId="0" xfId="36" applyFont="1" applyAlignment="1">
      <alignment horizontal="right"/>
    </xf>
    <xf numFmtId="0" fontId="4" fillId="0" borderId="0" xfId="36" applyFont="1"/>
    <xf numFmtId="0" fontId="6" fillId="0" borderId="12" xfId="36" applyFont="1" applyBorder="1"/>
    <xf numFmtId="0" fontId="7" fillId="0" borderId="0" xfId="36" applyFont="1"/>
    <xf numFmtId="3" fontId="5" fillId="0" borderId="12" xfId="36" applyNumberFormat="1" applyFont="1" applyBorder="1"/>
    <xf numFmtId="0" fontId="5" fillId="0" borderId="12" xfId="36" applyFont="1" applyBorder="1"/>
    <xf numFmtId="3" fontId="4" fillId="0" borderId="12" xfId="36" applyNumberFormat="1" applyFont="1" applyBorder="1"/>
    <xf numFmtId="0" fontId="4" fillId="0" borderId="12" xfId="36" applyFont="1" applyBorder="1"/>
    <xf numFmtId="3" fontId="14" fillId="0" borderId="12" xfId="36" applyNumberFormat="1" applyFont="1" applyBorder="1"/>
    <xf numFmtId="0" fontId="14" fillId="0" borderId="11" xfId="36" applyFont="1" applyBorder="1"/>
    <xf numFmtId="3" fontId="14" fillId="0" borderId="11" xfId="36" applyNumberFormat="1" applyFont="1" applyBorder="1"/>
    <xf numFmtId="0" fontId="4" fillId="0" borderId="11" xfId="36" applyFont="1" applyBorder="1"/>
    <xf numFmtId="0" fontId="5" fillId="0" borderId="11" xfId="36" applyFont="1" applyBorder="1"/>
    <xf numFmtId="0" fontId="11" fillId="0" borderId="12" xfId="36" applyFont="1" applyBorder="1"/>
    <xf numFmtId="0" fontId="4" fillId="0" borderId="15" xfId="36" applyFont="1" applyBorder="1"/>
    <xf numFmtId="3" fontId="11" fillId="0" borderId="12" xfId="36" applyNumberFormat="1" applyFont="1" applyBorder="1"/>
    <xf numFmtId="3" fontId="11" fillId="0" borderId="11" xfId="36" applyNumberFormat="1" applyFont="1" applyBorder="1"/>
    <xf numFmtId="0" fontId="11" fillId="0" borderId="11" xfId="36" applyFont="1" applyBorder="1"/>
    <xf numFmtId="0" fontId="14" fillId="0" borderId="12" xfId="36" applyFont="1" applyBorder="1"/>
    <xf numFmtId="0" fontId="11" fillId="0" borderId="10" xfId="36" applyFont="1" applyBorder="1"/>
    <xf numFmtId="3" fontId="11" fillId="0" borderId="21" xfId="36" applyNumberFormat="1" applyFont="1" applyBorder="1"/>
    <xf numFmtId="0" fontId="11" fillId="0" borderId="21" xfId="36" applyFont="1" applyBorder="1"/>
    <xf numFmtId="0" fontId="14" fillId="0" borderId="15" xfId="36" applyFont="1" applyBorder="1"/>
    <xf numFmtId="3" fontId="14" fillId="0" borderId="15" xfId="36" applyNumberFormat="1" applyFont="1" applyBorder="1"/>
    <xf numFmtId="0" fontId="4" fillId="0" borderId="13" xfId="36" applyFont="1" applyBorder="1"/>
    <xf numFmtId="0" fontId="11" fillId="0" borderId="13" xfId="36" applyFont="1" applyBorder="1"/>
    <xf numFmtId="0" fontId="10" fillId="0" borderId="15" xfId="36" applyFont="1" applyBorder="1"/>
    <xf numFmtId="0" fontId="11" fillId="0" borderId="18" xfId="36" applyFont="1" applyBorder="1"/>
    <xf numFmtId="3" fontId="11" fillId="0" borderId="14" xfId="36" applyNumberFormat="1" applyFont="1" applyBorder="1"/>
    <xf numFmtId="3" fontId="14" fillId="0" borderId="14" xfId="36" applyNumberFormat="1" applyFont="1" applyBorder="1"/>
    <xf numFmtId="3" fontId="11" fillId="0" borderId="15" xfId="36" applyNumberFormat="1" applyFont="1" applyBorder="1"/>
    <xf numFmtId="0" fontId="6" fillId="0" borderId="0" xfId="36" applyFont="1"/>
    <xf numFmtId="0" fontId="11" fillId="0" borderId="14" xfId="36" applyFont="1" applyBorder="1"/>
    <xf numFmtId="3" fontId="5" fillId="0" borderId="0" xfId="36" applyNumberFormat="1" applyFont="1"/>
    <xf numFmtId="0" fontId="14" fillId="0" borderId="10" xfId="36" applyFont="1" applyBorder="1"/>
    <xf numFmtId="0" fontId="22" fillId="0" borderId="0" xfId="35" applyFont="1"/>
    <xf numFmtId="0" fontId="6" fillId="0" borderId="10" xfId="36" applyFont="1" applyBorder="1"/>
    <xf numFmtId="3" fontId="5" fillId="0" borderId="23" xfId="0" applyNumberFormat="1" applyFont="1" applyBorder="1"/>
    <xf numFmtId="0" fontId="10" fillId="0" borderId="15" xfId="36" applyFont="1" applyBorder="1" applyAlignment="1">
      <alignment vertical="center"/>
    </xf>
    <xf numFmtId="0" fontId="43" fillId="0" borderId="15" xfId="36" applyFont="1" applyBorder="1"/>
    <xf numFmtId="3" fontId="49" fillId="0" borderId="14" xfId="0" applyNumberFormat="1" applyFont="1" applyBorder="1" applyAlignment="1">
      <alignment vertical="center"/>
    </xf>
    <xf numFmtId="0" fontId="14" fillId="0" borderId="18" xfId="36" applyFont="1" applyBorder="1"/>
    <xf numFmtId="0" fontId="12" fillId="0" borderId="10" xfId="0" applyFont="1" applyBorder="1"/>
    <xf numFmtId="0" fontId="13" fillId="0" borderId="12" xfId="36" applyFont="1" applyBorder="1"/>
    <xf numFmtId="0" fontId="4" fillId="0" borderId="18" xfId="36" applyFont="1" applyBorder="1"/>
    <xf numFmtId="0" fontId="15" fillId="0" borderId="15" xfId="0" applyFont="1" applyBorder="1"/>
    <xf numFmtId="0" fontId="15" fillId="0" borderId="31" xfId="0" applyFont="1" applyBorder="1"/>
    <xf numFmtId="0" fontId="13" fillId="0" borderId="11" xfId="36" applyFont="1" applyBorder="1"/>
    <xf numFmtId="0" fontId="43" fillId="0" borderId="10" xfId="36" applyFont="1" applyBorder="1"/>
    <xf numFmtId="3" fontId="11" fillId="0" borderId="13" xfId="36" applyNumberFormat="1" applyFont="1" applyBorder="1"/>
    <xf numFmtId="0" fontId="3" fillId="0" borderId="0" xfId="38"/>
    <xf numFmtId="0" fontId="4" fillId="0" borderId="0" xfId="38" applyFont="1" applyAlignment="1">
      <alignment horizontal="centerContinuous"/>
    </xf>
    <xf numFmtId="0" fontId="43" fillId="0" borderId="14" xfId="36" applyFont="1" applyBorder="1"/>
    <xf numFmtId="0" fontId="15" fillId="0" borderId="12" xfId="36" applyFont="1" applyBorder="1"/>
    <xf numFmtId="0" fontId="43" fillId="0" borderId="18" xfId="36" applyFont="1" applyBorder="1"/>
    <xf numFmtId="0" fontId="55" fillId="0" borderId="15" xfId="36" applyFont="1" applyBorder="1"/>
    <xf numFmtId="0" fontId="55" fillId="0" borderId="10" xfId="36" applyFont="1" applyBorder="1"/>
    <xf numFmtId="0" fontId="54" fillId="0" borderId="15" xfId="36" applyFont="1" applyBorder="1" applyAlignment="1">
      <alignment vertical="center"/>
    </xf>
    <xf numFmtId="0" fontId="55" fillId="0" borderId="15" xfId="36" applyFont="1" applyBorder="1" applyAlignment="1">
      <alignment vertical="center"/>
    </xf>
    <xf numFmtId="0" fontId="6" fillId="0" borderId="13" xfId="36" applyFont="1" applyBorder="1"/>
    <xf numFmtId="0" fontId="17" fillId="0" borderId="12" xfId="36" applyFont="1" applyBorder="1" applyAlignment="1">
      <alignment vertical="center"/>
    </xf>
    <xf numFmtId="0" fontId="43" fillId="0" borderId="15" xfId="36" applyFont="1" applyBorder="1" applyAlignment="1">
      <alignment vertical="center"/>
    </xf>
    <xf numFmtId="0" fontId="54" fillId="0" borderId="12" xfId="36" applyFont="1" applyBorder="1" applyAlignment="1">
      <alignment vertical="center"/>
    </xf>
    <xf numFmtId="0" fontId="19" fillId="0" borderId="15" xfId="36" applyFont="1" applyBorder="1"/>
    <xf numFmtId="0" fontId="10" fillId="0" borderId="25" xfId="36" applyFont="1" applyBorder="1"/>
    <xf numFmtId="0" fontId="55" fillId="0" borderId="28" xfId="36" applyFont="1" applyBorder="1"/>
    <xf numFmtId="0" fontId="10" fillId="0" borderId="33" xfId="36" applyFont="1" applyBorder="1"/>
    <xf numFmtId="0" fontId="55" fillId="0" borderId="28" xfId="36" applyFont="1" applyBorder="1" applyAlignment="1">
      <alignment vertical="center"/>
    </xf>
    <xf numFmtId="0" fontId="11" fillId="0" borderId="15" xfId="36" applyFont="1" applyBorder="1"/>
    <xf numFmtId="0" fontId="42" fillId="0" borderId="15" xfId="35" applyFont="1" applyBorder="1" applyAlignment="1">
      <alignment vertical="center"/>
    </xf>
    <xf numFmtId="0" fontId="13" fillId="0" borderId="14" xfId="36" applyFont="1" applyBorder="1"/>
    <xf numFmtId="0" fontId="15" fillId="0" borderId="10" xfId="36" applyFont="1" applyBorder="1"/>
    <xf numFmtId="3" fontId="11" fillId="0" borderId="10" xfId="0" applyNumberFormat="1" applyFont="1" applyBorder="1"/>
    <xf numFmtId="3" fontId="5" fillId="0" borderId="11" xfId="0" applyNumberFormat="1" applyFont="1" applyBorder="1" applyAlignment="1">
      <alignment horizontal="right"/>
    </xf>
    <xf numFmtId="0" fontId="4" fillId="0" borderId="16" xfId="0" applyFont="1" applyBorder="1" applyAlignment="1">
      <alignment horizontal="center" vertical="top"/>
    </xf>
    <xf numFmtId="0" fontId="4" fillId="0" borderId="14" xfId="0" applyFont="1" applyBorder="1" applyAlignment="1">
      <alignment horizontal="center" vertical="top"/>
    </xf>
    <xf numFmtId="3" fontId="4" fillId="0" borderId="11" xfId="0" applyNumberFormat="1" applyFont="1" applyBorder="1" applyAlignment="1">
      <alignment horizontal="right"/>
    </xf>
    <xf numFmtId="0" fontId="4" fillId="0" borderId="11" xfId="0" applyFont="1" applyBorder="1"/>
    <xf numFmtId="0" fontId="5" fillId="0" borderId="27" xfId="0" applyFont="1" applyBorder="1"/>
    <xf numFmtId="0" fontId="4" fillId="0" borderId="39" xfId="0" applyFont="1" applyBorder="1"/>
    <xf numFmtId="0" fontId="4" fillId="0" borderId="14" xfId="0" applyFont="1" applyBorder="1" applyAlignment="1">
      <alignment horizontal="center"/>
    </xf>
    <xf numFmtId="0" fontId="4" fillId="0" borderId="27" xfId="0" applyFont="1" applyBorder="1"/>
    <xf numFmtId="0" fontId="14" fillId="0" borderId="15" xfId="0" applyFont="1" applyBorder="1"/>
    <xf numFmtId="0" fontId="4" fillId="0" borderId="12" xfId="0" applyFont="1" applyBorder="1"/>
    <xf numFmtId="0" fontId="4" fillId="0" borderId="10" xfId="0" applyFont="1" applyBorder="1" applyAlignment="1">
      <alignment horizontal="centerContinuous" vertical="top"/>
    </xf>
    <xf numFmtId="0" fontId="4" fillId="0" borderId="10" xfId="0" applyFont="1" applyBorder="1" applyAlignment="1">
      <alignment horizontal="left" vertical="top"/>
    </xf>
    <xf numFmtId="0" fontId="4" fillId="0" borderId="20" xfId="0" applyFont="1" applyBorder="1"/>
    <xf numFmtId="0" fontId="11" fillId="0" borderId="20" xfId="0" applyFont="1" applyBorder="1"/>
    <xf numFmtId="3" fontId="14" fillId="0" borderId="10" xfId="0" applyNumberFormat="1" applyFont="1" applyBorder="1"/>
    <xf numFmtId="3" fontId="4" fillId="0" borderId="0" xfId="0" applyNumberFormat="1" applyFont="1" applyAlignment="1">
      <alignment horizontal="centerContinuous"/>
    </xf>
    <xf numFmtId="3" fontId="15" fillId="0" borderId="0" xfId="0" applyNumberFormat="1" applyFont="1" applyAlignment="1">
      <alignment horizontal="centerContinuous"/>
    </xf>
    <xf numFmtId="9" fontId="13" fillId="0" borderId="10" xfId="0" applyNumberFormat="1" applyFont="1" applyBorder="1"/>
    <xf numFmtId="3" fontId="10" fillId="0" borderId="0" xfId="0" applyNumberFormat="1" applyFont="1"/>
    <xf numFmtId="0" fontId="10" fillId="0" borderId="14" xfId="36" applyFont="1" applyBorder="1"/>
    <xf numFmtId="9" fontId="14" fillId="0" borderId="0" xfId="0" applyNumberFormat="1" applyFont="1"/>
    <xf numFmtId="0" fontId="10" fillId="0" borderId="12" xfId="36" applyFont="1" applyBorder="1"/>
    <xf numFmtId="0" fontId="20" fillId="0" borderId="14" xfId="36" applyFont="1" applyBorder="1"/>
    <xf numFmtId="0" fontId="20" fillId="0" borderId="15" xfId="36" applyFont="1" applyBorder="1" applyAlignment="1">
      <alignment vertical="center"/>
    </xf>
    <xf numFmtId="0" fontId="14" fillId="0" borderId="14" xfId="36" applyFont="1" applyBorder="1"/>
    <xf numFmtId="3" fontId="6" fillId="0" borderId="10" xfId="0" applyNumberFormat="1" applyFont="1" applyBorder="1" applyAlignment="1">
      <alignment horizontal="center"/>
    </xf>
    <xf numFmtId="0" fontId="43" fillId="0" borderId="11" xfId="36" applyFont="1" applyBorder="1"/>
    <xf numFmtId="0" fontId="5" fillId="0" borderId="21" xfId="36" applyFont="1" applyBorder="1"/>
    <xf numFmtId="3" fontId="11" fillId="0" borderId="10" xfId="36" applyNumberFormat="1" applyFont="1" applyBorder="1"/>
    <xf numFmtId="3" fontId="42" fillId="0" borderId="28" xfId="35" applyNumberFormat="1" applyFont="1" applyBorder="1" applyAlignment="1">
      <alignment vertical="center"/>
    </xf>
    <xf numFmtId="3" fontId="11" fillId="15" borderId="10" xfId="0" applyNumberFormat="1" applyFont="1" applyFill="1" applyBorder="1"/>
    <xf numFmtId="3" fontId="5" fillId="15" borderId="12" xfId="36" applyNumberFormat="1" applyFont="1" applyFill="1" applyBorder="1"/>
    <xf numFmtId="3" fontId="14" fillId="15" borderId="12" xfId="36" applyNumberFormat="1" applyFont="1" applyFill="1" applyBorder="1"/>
    <xf numFmtId="3" fontId="14" fillId="15" borderId="14" xfId="36" applyNumberFormat="1" applyFont="1" applyFill="1" applyBorder="1"/>
    <xf numFmtId="3" fontId="4" fillId="15" borderId="15" xfId="0" applyNumberFormat="1" applyFont="1" applyFill="1" applyBorder="1" applyAlignment="1">
      <alignment horizontal="right"/>
    </xf>
    <xf numFmtId="3" fontId="11" fillId="15" borderId="11" xfId="0" applyNumberFormat="1" applyFont="1" applyFill="1" applyBorder="1"/>
    <xf numFmtId="3" fontId="5" fillId="15" borderId="11" xfId="0" applyNumberFormat="1" applyFont="1" applyFill="1" applyBorder="1" applyAlignment="1">
      <alignment horizontal="right"/>
    </xf>
    <xf numFmtId="3" fontId="11" fillId="15" borderId="12" xfId="0" applyNumberFormat="1" applyFont="1" applyFill="1" applyBorder="1" applyAlignment="1">
      <alignment horizontal="right"/>
    </xf>
    <xf numFmtId="3" fontId="14" fillId="15" borderId="11" xfId="0" applyNumberFormat="1" applyFont="1" applyFill="1" applyBorder="1" applyAlignment="1">
      <alignment horizontal="right"/>
    </xf>
    <xf numFmtId="3" fontId="14" fillId="15" borderId="12" xfId="0" applyNumberFormat="1" applyFont="1" applyFill="1" applyBorder="1"/>
    <xf numFmtId="3" fontId="14" fillId="15" borderId="11" xfId="0" applyNumberFormat="1" applyFont="1" applyFill="1" applyBorder="1"/>
    <xf numFmtId="3" fontId="4" fillId="15" borderId="12" xfId="0" applyNumberFormat="1" applyFont="1" applyFill="1" applyBorder="1"/>
    <xf numFmtId="3" fontId="5" fillId="15" borderId="13" xfId="36" applyNumberFormat="1" applyFont="1" applyFill="1" applyBorder="1"/>
    <xf numFmtId="3" fontId="11" fillId="15" borderId="14" xfId="36" applyNumberFormat="1" applyFont="1" applyFill="1" applyBorder="1"/>
    <xf numFmtId="3" fontId="11" fillId="15" borderId="12" xfId="36" applyNumberFormat="1" applyFont="1" applyFill="1" applyBorder="1"/>
    <xf numFmtId="3" fontId="5" fillId="15" borderId="11" xfId="0" applyNumberFormat="1" applyFont="1" applyFill="1" applyBorder="1"/>
    <xf numFmtId="3" fontId="11" fillId="15" borderId="12" xfId="0" applyNumberFormat="1" applyFont="1" applyFill="1" applyBorder="1"/>
    <xf numFmtId="3" fontId="12" fillId="15" borderId="12" xfId="0" applyNumberFormat="1" applyFont="1" applyFill="1" applyBorder="1"/>
    <xf numFmtId="3" fontId="9" fillId="15" borderId="12" xfId="0" applyNumberFormat="1" applyFont="1" applyFill="1" applyBorder="1"/>
    <xf numFmtId="3" fontId="5" fillId="15" borderId="13" xfId="0" applyNumberFormat="1" applyFont="1" applyFill="1" applyBorder="1"/>
    <xf numFmtId="3" fontId="5" fillId="15" borderId="12" xfId="0" applyNumberFormat="1" applyFont="1" applyFill="1" applyBorder="1"/>
    <xf numFmtId="3" fontId="12" fillId="15" borderId="21" xfId="0" applyNumberFormat="1" applyFont="1" applyFill="1" applyBorder="1"/>
    <xf numFmtId="3" fontId="10" fillId="15" borderId="15" xfId="0" applyNumberFormat="1" applyFont="1" applyFill="1" applyBorder="1" applyAlignment="1">
      <alignment vertical="center"/>
    </xf>
    <xf numFmtId="3" fontId="14" fillId="15" borderId="15" xfId="0" applyNumberFormat="1" applyFont="1" applyFill="1" applyBorder="1" applyAlignment="1">
      <alignment vertical="center"/>
    </xf>
    <xf numFmtId="3" fontId="11" fillId="15" borderId="21" xfId="0" applyNumberFormat="1" applyFont="1" applyFill="1" applyBorder="1"/>
    <xf numFmtId="3" fontId="10" fillId="15" borderId="14" xfId="0" applyNumberFormat="1" applyFont="1" applyFill="1" applyBorder="1" applyAlignment="1">
      <alignment vertical="center"/>
    </xf>
    <xf numFmtId="3" fontId="11" fillId="15" borderId="21" xfId="0" applyNumberFormat="1" applyFont="1" applyFill="1" applyBorder="1" applyAlignment="1">
      <alignment horizontal="right"/>
    </xf>
    <xf numFmtId="3" fontId="14" fillId="15" borderId="15" xfId="0" applyNumberFormat="1" applyFont="1" applyFill="1" applyBorder="1"/>
    <xf numFmtId="3" fontId="4" fillId="15" borderId="11" xfId="0" applyNumberFormat="1" applyFont="1" applyFill="1" applyBorder="1"/>
    <xf numFmtId="3" fontId="14" fillId="15" borderId="10" xfId="0" applyNumberFormat="1" applyFont="1" applyFill="1" applyBorder="1" applyAlignment="1">
      <alignment horizontal="right"/>
    </xf>
    <xf numFmtId="3" fontId="6" fillId="15" borderId="12" xfId="0" applyNumberFormat="1" applyFont="1" applyFill="1" applyBorder="1"/>
    <xf numFmtId="3" fontId="6" fillId="15" borderId="11" xfId="0" applyNumberFormat="1" applyFont="1" applyFill="1" applyBorder="1"/>
    <xf numFmtId="3" fontId="9" fillId="15" borderId="14" xfId="0" applyNumberFormat="1" applyFont="1" applyFill="1" applyBorder="1"/>
    <xf numFmtId="3" fontId="9" fillId="15" borderId="10" xfId="0" applyNumberFormat="1" applyFont="1" applyFill="1" applyBorder="1"/>
    <xf numFmtId="3" fontId="11" fillId="15" borderId="14" xfId="0" applyNumberFormat="1" applyFont="1" applyFill="1" applyBorder="1"/>
    <xf numFmtId="3" fontId="16" fillId="0" borderId="0" xfId="35" applyNumberFormat="1"/>
    <xf numFmtId="0" fontId="41" fillId="0" borderId="28" xfId="35" applyFont="1" applyBorder="1" applyAlignment="1">
      <alignment vertical="center"/>
    </xf>
    <xf numFmtId="3" fontId="42" fillId="0" borderId="0" xfId="35" applyNumberFormat="1" applyFont="1" applyAlignment="1">
      <alignment vertical="center"/>
    </xf>
    <xf numFmtId="3" fontId="46" fillId="0" borderId="11" xfId="35" applyNumberFormat="1" applyFont="1" applyBorder="1"/>
    <xf numFmtId="3" fontId="0" fillId="15" borderId="10" xfId="0" applyNumberFormat="1" applyFill="1" applyBorder="1" applyAlignment="1">
      <alignment vertical="center"/>
    </xf>
    <xf numFmtId="3" fontId="12" fillId="0" borderId="10" xfId="0" applyNumberFormat="1" applyFont="1" applyBorder="1"/>
    <xf numFmtId="3" fontId="5" fillId="15" borderId="10" xfId="36" applyNumberFormat="1" applyFont="1" applyFill="1" applyBorder="1"/>
    <xf numFmtId="3" fontId="5" fillId="15" borderId="21" xfId="36" applyNumberFormat="1" applyFont="1" applyFill="1" applyBorder="1"/>
    <xf numFmtId="3" fontId="4" fillId="15" borderId="15" xfId="0" applyNumberFormat="1" applyFont="1" applyFill="1" applyBorder="1"/>
    <xf numFmtId="3" fontId="15" fillId="15" borderId="15" xfId="0" applyNumberFormat="1" applyFont="1" applyFill="1" applyBorder="1"/>
    <xf numFmtId="3" fontId="4" fillId="0" borderId="20" xfId="0" applyNumberFormat="1" applyFont="1" applyBorder="1" applyAlignment="1">
      <alignment horizontal="center"/>
    </xf>
    <xf numFmtId="3" fontId="6" fillId="0" borderId="11" xfId="36" applyNumberFormat="1" applyFont="1" applyBorder="1"/>
    <xf numFmtId="0" fontId="16" fillId="0" borderId="0" xfId="46"/>
    <xf numFmtId="0" fontId="16" fillId="0" borderId="0" xfId="46" applyAlignment="1">
      <alignment horizontal="center"/>
    </xf>
    <xf numFmtId="0" fontId="62" fillId="0" borderId="0" xfId="46" applyFont="1" applyAlignment="1">
      <alignment horizontal="center" vertical="center"/>
    </xf>
    <xf numFmtId="3" fontId="48" fillId="0" borderId="12" xfId="46" applyNumberFormat="1" applyFont="1" applyBorder="1"/>
    <xf numFmtId="0" fontId="16" fillId="0" borderId="0" xfId="52"/>
    <xf numFmtId="0" fontId="42" fillId="0" borderId="0" xfId="52" applyFont="1" applyAlignment="1">
      <alignment horizontal="center"/>
    </xf>
    <xf numFmtId="0" fontId="14" fillId="0" borderId="0" xfId="49" applyFont="1" applyAlignment="1">
      <alignment horizontal="right"/>
    </xf>
    <xf numFmtId="0" fontId="63" fillId="0" borderId="0" xfId="52" applyFont="1"/>
    <xf numFmtId="0" fontId="16" fillId="0" borderId="0" xfId="52" applyAlignment="1">
      <alignment horizontal="center" vertical="center"/>
    </xf>
    <xf numFmtId="0" fontId="66" fillId="0" borderId="0" xfId="52" applyFont="1" applyAlignment="1">
      <alignment horizontal="center" vertical="center" wrapText="1"/>
    </xf>
    <xf numFmtId="0" fontId="63" fillId="0" borderId="0" xfId="52" applyFont="1" applyAlignment="1">
      <alignment horizontal="center" vertical="center"/>
    </xf>
    <xf numFmtId="0" fontId="16" fillId="0" borderId="0" xfId="50"/>
    <xf numFmtId="0" fontId="10" fillId="0" borderId="0" xfId="48" applyFont="1" applyAlignment="1">
      <alignment horizontal="center"/>
    </xf>
    <xf numFmtId="0" fontId="16" fillId="0" borderId="0" xfId="50" applyAlignment="1">
      <alignment horizontal="right" vertical="center"/>
    </xf>
    <xf numFmtId="0" fontId="16" fillId="0" borderId="0" xfId="54"/>
    <xf numFmtId="0" fontId="67" fillId="0" borderId="10" xfId="54" applyFont="1" applyBorder="1"/>
    <xf numFmtId="3" fontId="67" fillId="0" borderId="10" xfId="54" applyNumberFormat="1" applyFont="1" applyBorder="1"/>
    <xf numFmtId="0" fontId="56" fillId="0" borderId="10" xfId="54" applyFont="1" applyBorder="1"/>
    <xf numFmtId="0" fontId="16" fillId="0" borderId="0" xfId="53"/>
    <xf numFmtId="3" fontId="73" fillId="0" borderId="12" xfId="53" applyNumberFormat="1" applyFont="1" applyBorder="1" applyAlignment="1">
      <alignment horizontal="right" vertical="center" wrapText="1"/>
    </xf>
    <xf numFmtId="0" fontId="16" fillId="0" borderId="12" xfId="53" applyBorder="1" applyAlignment="1">
      <alignment vertical="center"/>
    </xf>
    <xf numFmtId="0" fontId="0" fillId="0" borderId="12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16" fillId="0" borderId="12" xfId="53" applyBorder="1" applyAlignment="1">
      <alignment vertical="center" wrapText="1"/>
    </xf>
    <xf numFmtId="0" fontId="69" fillId="0" borderId="0" xfId="0" applyFont="1" applyAlignment="1">
      <alignment horizontal="center"/>
    </xf>
    <xf numFmtId="0" fontId="70" fillId="0" borderId="11" xfId="53" applyFont="1" applyBorder="1" applyAlignment="1">
      <alignment vertical="center" wrapText="1"/>
    </xf>
    <xf numFmtId="3" fontId="0" fillId="0" borderId="12" xfId="0" applyNumberFormat="1" applyBorder="1" applyAlignment="1">
      <alignment vertical="center"/>
    </xf>
    <xf numFmtId="0" fontId="0" fillId="0" borderId="12" xfId="0" applyBorder="1"/>
    <xf numFmtId="0" fontId="16" fillId="0" borderId="0" xfId="51"/>
    <xf numFmtId="0" fontId="16" fillId="0" borderId="0" xfId="51" applyAlignment="1">
      <alignment vertical="center"/>
    </xf>
    <xf numFmtId="9" fontId="16" fillId="0" borderId="0" xfId="51" applyNumberFormat="1"/>
    <xf numFmtId="3" fontId="11" fillId="15" borderId="21" xfId="36" applyNumberFormat="1" applyFont="1" applyFill="1" applyBorder="1"/>
    <xf numFmtId="3" fontId="11" fillId="15" borderId="13" xfId="36" applyNumberFormat="1" applyFont="1" applyFill="1" applyBorder="1"/>
    <xf numFmtId="3" fontId="14" fillId="15" borderId="14" xfId="0" applyNumberFormat="1" applyFont="1" applyFill="1" applyBorder="1"/>
    <xf numFmtId="3" fontId="11" fillId="15" borderId="13" xfId="0" applyNumberFormat="1" applyFont="1" applyFill="1" applyBorder="1"/>
    <xf numFmtId="3" fontId="5" fillId="15" borderId="21" xfId="0" applyNumberFormat="1" applyFont="1" applyFill="1" applyBorder="1"/>
    <xf numFmtId="0" fontId="0" fillId="0" borderId="11" xfId="36" applyFont="1" applyBorder="1"/>
    <xf numFmtId="0" fontId="46" fillId="0" borderId="12" xfId="36" applyFont="1" applyBorder="1"/>
    <xf numFmtId="3" fontId="46" fillId="0" borderId="11" xfId="35" applyNumberFormat="1" applyFont="1" applyBorder="1" applyAlignment="1">
      <alignment vertical="center"/>
    </xf>
    <xf numFmtId="3" fontId="5" fillId="15" borderId="11" xfId="36" applyNumberFormat="1" applyFont="1" applyFill="1" applyBorder="1"/>
    <xf numFmtId="3" fontId="43" fillId="15" borderId="15" xfId="36" applyNumberFormat="1" applyFont="1" applyFill="1" applyBorder="1" applyAlignment="1">
      <alignment vertical="center"/>
    </xf>
    <xf numFmtId="3" fontId="5" fillId="15" borderId="15" xfId="36" applyNumberFormat="1" applyFont="1" applyFill="1" applyBorder="1"/>
    <xf numFmtId="3" fontId="14" fillId="15" borderId="21" xfId="36" applyNumberFormat="1" applyFont="1" applyFill="1" applyBorder="1"/>
    <xf numFmtId="3" fontId="14" fillId="15" borderId="15" xfId="36" applyNumberFormat="1" applyFont="1" applyFill="1" applyBorder="1"/>
    <xf numFmtId="3" fontId="14" fillId="15" borderId="11" xfId="36" applyNumberFormat="1" applyFont="1" applyFill="1" applyBorder="1"/>
    <xf numFmtId="3" fontId="14" fillId="15" borderId="13" xfId="36" applyNumberFormat="1" applyFont="1" applyFill="1" applyBorder="1"/>
    <xf numFmtId="3" fontId="14" fillId="15" borderId="15" xfId="36" applyNumberFormat="1" applyFont="1" applyFill="1" applyBorder="1" applyAlignment="1">
      <alignment vertical="center"/>
    </xf>
    <xf numFmtId="0" fontId="5" fillId="15" borderId="11" xfId="36" applyFont="1" applyFill="1" applyBorder="1"/>
    <xf numFmtId="0" fontId="5" fillId="15" borderId="12" xfId="36" applyFont="1" applyFill="1" applyBorder="1"/>
    <xf numFmtId="0" fontId="5" fillId="15" borderId="10" xfId="36" applyFont="1" applyFill="1" applyBorder="1"/>
    <xf numFmtId="3" fontId="10" fillId="15" borderId="14" xfId="36" applyNumberFormat="1" applyFont="1" applyFill="1" applyBorder="1"/>
    <xf numFmtId="3" fontId="14" fillId="15" borderId="14" xfId="36" applyNumberFormat="1" applyFont="1" applyFill="1" applyBorder="1" applyAlignment="1">
      <alignment vertical="center"/>
    </xf>
    <xf numFmtId="0" fontId="5" fillId="15" borderId="13" xfId="36" applyFont="1" applyFill="1" applyBorder="1"/>
    <xf numFmtId="0" fontId="5" fillId="15" borderId="15" xfId="36" applyFont="1" applyFill="1" applyBorder="1"/>
    <xf numFmtId="3" fontId="10" fillId="15" borderId="39" xfId="36" applyNumberFormat="1" applyFont="1" applyFill="1" applyBorder="1"/>
    <xf numFmtId="3" fontId="14" fillId="15" borderId="39" xfId="36" applyNumberFormat="1" applyFont="1" applyFill="1" applyBorder="1"/>
    <xf numFmtId="3" fontId="5" fillId="15" borderId="31" xfId="36" applyNumberFormat="1" applyFont="1" applyFill="1" applyBorder="1"/>
    <xf numFmtId="3" fontId="10" fillId="15" borderId="15" xfId="36" applyNumberFormat="1" applyFont="1" applyFill="1" applyBorder="1"/>
    <xf numFmtId="3" fontId="6" fillId="15" borderId="10" xfId="36" applyNumberFormat="1" applyFont="1" applyFill="1" applyBorder="1"/>
    <xf numFmtId="3" fontId="4" fillId="15" borderId="12" xfId="36" applyNumberFormat="1" applyFont="1" applyFill="1" applyBorder="1"/>
    <xf numFmtId="3" fontId="46" fillId="0" borderId="23" xfId="35" applyNumberFormat="1" applyFont="1" applyBorder="1"/>
    <xf numFmtId="3" fontId="14" fillId="0" borderId="21" xfId="36" applyNumberFormat="1" applyFont="1" applyBorder="1"/>
    <xf numFmtId="0" fontId="4" fillId="0" borderId="21" xfId="36" applyFont="1" applyBorder="1"/>
    <xf numFmtId="3" fontId="43" fillId="14" borderId="14" xfId="36" applyNumberFormat="1" applyFont="1" applyFill="1" applyBorder="1"/>
    <xf numFmtId="0" fontId="54" fillId="0" borderId="10" xfId="36" applyFont="1" applyBorder="1" applyAlignment="1">
      <alignment vertical="center"/>
    </xf>
    <xf numFmtId="3" fontId="14" fillId="15" borderId="10" xfId="36" applyNumberFormat="1" applyFont="1" applyFill="1" applyBorder="1" applyAlignment="1">
      <alignment vertical="center"/>
    </xf>
    <xf numFmtId="3" fontId="46" fillId="0" borderId="37" xfId="35" applyNumberFormat="1" applyFont="1" applyBorder="1" applyAlignment="1">
      <alignment vertical="center"/>
    </xf>
    <xf numFmtId="3" fontId="47" fillId="0" borderId="12" xfId="35" applyNumberFormat="1" applyFont="1" applyBorder="1"/>
    <xf numFmtId="3" fontId="16" fillId="0" borderId="12" xfId="53" applyNumberFormat="1" applyBorder="1" applyAlignment="1">
      <alignment vertical="center"/>
    </xf>
    <xf numFmtId="3" fontId="6" fillId="0" borderId="0" xfId="0" applyNumberFormat="1" applyFont="1" applyAlignment="1">
      <alignment horizontal="right"/>
    </xf>
    <xf numFmtId="0" fontId="72" fillId="0" borderId="0" xfId="53" applyFont="1" applyAlignment="1">
      <alignment vertical="center"/>
    </xf>
    <xf numFmtId="0" fontId="73" fillId="0" borderId="12" xfId="53" applyFont="1" applyBorder="1" applyAlignment="1">
      <alignment horizontal="left" vertical="center" wrapText="1"/>
    </xf>
    <xf numFmtId="0" fontId="16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3" fontId="16" fillId="0" borderId="11" xfId="53" applyNumberFormat="1" applyBorder="1" applyAlignment="1">
      <alignment vertical="center"/>
    </xf>
    <xf numFmtId="0" fontId="16" fillId="0" borderId="19" xfId="46" applyBorder="1"/>
    <xf numFmtId="3" fontId="48" fillId="0" borderId="12" xfId="46" applyNumberFormat="1" applyFont="1" applyBorder="1" applyAlignment="1">
      <alignment horizontal="right"/>
    </xf>
    <xf numFmtId="3" fontId="0" fillId="0" borderId="12" xfId="0" applyNumberFormat="1" applyBorder="1"/>
    <xf numFmtId="0" fontId="4" fillId="0" borderId="0" xfId="0" applyFont="1" applyAlignment="1">
      <alignment horizontal="centerContinuous"/>
    </xf>
    <xf numFmtId="9" fontId="5" fillId="0" borderId="10" xfId="0" applyNumberFormat="1" applyFont="1" applyBorder="1"/>
    <xf numFmtId="3" fontId="13" fillId="0" borderId="10" xfId="45" applyNumberFormat="1" applyFont="1" applyFill="1" applyBorder="1" applyAlignment="1">
      <alignment horizontal="right"/>
    </xf>
    <xf numFmtId="3" fontId="13" fillId="0" borderId="0" xfId="0" applyNumberFormat="1" applyFont="1"/>
    <xf numFmtId="0" fontId="19" fillId="0" borderId="19" xfId="35" applyFont="1" applyBorder="1" applyAlignment="1">
      <alignment horizontal="center" vertical="center"/>
    </xf>
    <xf numFmtId="0" fontId="19" fillId="0" borderId="0" xfId="35" applyFont="1" applyAlignment="1">
      <alignment horizontal="right"/>
    </xf>
    <xf numFmtId="0" fontId="45" fillId="0" borderId="11" xfId="35" applyFont="1" applyBorder="1"/>
    <xf numFmtId="3" fontId="45" fillId="0" borderId="27" xfId="35" applyNumberFormat="1" applyFont="1" applyBorder="1"/>
    <xf numFmtId="0" fontId="45" fillId="0" borderId="27" xfId="35" applyFont="1" applyBorder="1"/>
    <xf numFmtId="3" fontId="45" fillId="0" borderId="23" xfId="0" applyNumberFormat="1" applyFont="1" applyBorder="1"/>
    <xf numFmtId="0" fontId="45" fillId="0" borderId="23" xfId="35" applyFont="1" applyBorder="1"/>
    <xf numFmtId="3" fontId="46" fillId="0" borderId="12" xfId="35" applyNumberFormat="1" applyFont="1" applyBorder="1"/>
    <xf numFmtId="0" fontId="47" fillId="0" borderId="23" xfId="35" applyFont="1" applyBorder="1"/>
    <xf numFmtId="3" fontId="46" fillId="0" borderId="21" xfId="35" applyNumberFormat="1" applyFont="1" applyBorder="1"/>
    <xf numFmtId="0" fontId="45" fillId="0" borderId="15" xfId="36" applyFont="1" applyBorder="1"/>
    <xf numFmtId="3" fontId="45" fillId="0" borderId="14" xfId="35" applyNumberFormat="1" applyFont="1" applyBorder="1"/>
    <xf numFmtId="0" fontId="46" fillId="0" borderId="11" xfId="36" applyFont="1" applyBorder="1"/>
    <xf numFmtId="3" fontId="46" fillId="0" borderId="27" xfId="35" applyNumberFormat="1" applyFont="1" applyBorder="1"/>
    <xf numFmtId="3" fontId="60" fillId="0" borderId="12" xfId="0" applyNumberFormat="1" applyFont="1" applyBorder="1"/>
    <xf numFmtId="0" fontId="46" fillId="0" borderId="21" xfId="36" applyFont="1" applyBorder="1"/>
    <xf numFmtId="0" fontId="41" fillId="0" borderId="15" xfId="36" applyFont="1" applyBorder="1"/>
    <xf numFmtId="3" fontId="45" fillId="0" borderId="15" xfId="35" applyNumberFormat="1" applyFont="1" applyBorder="1"/>
    <xf numFmtId="0" fontId="46" fillId="0" borderId="18" xfId="36" applyFont="1" applyBorder="1"/>
    <xf numFmtId="0" fontId="45" fillId="0" borderId="16" xfId="35" applyFont="1" applyBorder="1"/>
    <xf numFmtId="0" fontId="46" fillId="0" borderId="16" xfId="35" applyFont="1" applyBorder="1"/>
    <xf numFmtId="0" fontId="46" fillId="0" borderId="13" xfId="37" applyFont="1" applyBorder="1"/>
    <xf numFmtId="0" fontId="46" fillId="0" borderId="15" xfId="36" applyFont="1" applyBorder="1"/>
    <xf numFmtId="3" fontId="46" fillId="0" borderId="15" xfId="35" applyNumberFormat="1" applyFont="1" applyBorder="1"/>
    <xf numFmtId="0" fontId="41" fillId="0" borderId="33" xfId="36" applyFont="1" applyBorder="1"/>
    <xf numFmtId="3" fontId="45" fillId="0" borderId="33" xfId="35" applyNumberFormat="1" applyFont="1" applyBorder="1"/>
    <xf numFmtId="0" fontId="46" fillId="0" borderId="22" xfId="35" applyFont="1" applyBorder="1"/>
    <xf numFmtId="0" fontId="51" fillId="0" borderId="28" xfId="36" applyFont="1" applyBorder="1"/>
    <xf numFmtId="3" fontId="45" fillId="0" borderId="22" xfId="35" applyNumberFormat="1" applyFont="1" applyBorder="1"/>
    <xf numFmtId="0" fontId="42" fillId="0" borderId="22" xfId="35" applyFont="1" applyBorder="1" applyAlignment="1">
      <alignment vertical="center"/>
    </xf>
    <xf numFmtId="3" fontId="45" fillId="0" borderId="25" xfId="35" applyNumberFormat="1" applyFont="1" applyBorder="1"/>
    <xf numFmtId="3" fontId="46" fillId="0" borderId="37" xfId="35" applyNumberFormat="1" applyFont="1" applyBorder="1"/>
    <xf numFmtId="0" fontId="46" fillId="0" borderId="53" xfId="35" applyFont="1" applyBorder="1"/>
    <xf numFmtId="0" fontId="46" fillId="0" borderId="36" xfId="35" applyFont="1" applyBorder="1"/>
    <xf numFmtId="3" fontId="46" fillId="0" borderId="16" xfId="35" applyNumberFormat="1" applyFont="1" applyBorder="1"/>
    <xf numFmtId="0" fontId="46" fillId="0" borderId="41" xfId="35" applyFont="1" applyBorder="1"/>
    <xf numFmtId="0" fontId="46" fillId="0" borderId="23" xfId="35" applyFont="1" applyBorder="1"/>
    <xf numFmtId="0" fontId="46" fillId="0" borderId="27" xfId="35" applyFont="1" applyBorder="1"/>
    <xf numFmtId="0" fontId="46" fillId="0" borderId="12" xfId="35" applyFont="1" applyBorder="1"/>
    <xf numFmtId="3" fontId="46" fillId="0" borderId="18" xfId="35" applyNumberFormat="1" applyFont="1" applyBorder="1"/>
    <xf numFmtId="0" fontId="46" fillId="0" borderId="10" xfId="36" applyFont="1" applyBorder="1"/>
    <xf numFmtId="3" fontId="46" fillId="0" borderId="10" xfId="35" applyNumberFormat="1" applyFont="1" applyBorder="1"/>
    <xf numFmtId="0" fontId="0" fillId="0" borderId="16" xfId="0" applyBorder="1"/>
    <xf numFmtId="0" fontId="46" fillId="0" borderId="14" xfId="36" applyFont="1" applyBorder="1"/>
    <xf numFmtId="0" fontId="0" fillId="0" borderId="22" xfId="0" applyBorder="1"/>
    <xf numFmtId="0" fontId="51" fillId="0" borderId="25" xfId="36" applyFont="1" applyBorder="1" applyAlignment="1">
      <alignment vertical="center"/>
    </xf>
    <xf numFmtId="3" fontId="42" fillId="0" borderId="22" xfId="35" applyNumberFormat="1" applyFont="1" applyBorder="1" applyAlignment="1">
      <alignment vertical="center"/>
    </xf>
    <xf numFmtId="0" fontId="42" fillId="0" borderId="29" xfId="35" applyFont="1" applyBorder="1" applyAlignment="1">
      <alignment vertical="center"/>
    </xf>
    <xf numFmtId="3" fontId="42" fillId="0" borderId="25" xfId="35" applyNumberFormat="1" applyFont="1" applyBorder="1" applyAlignment="1">
      <alignment vertical="center"/>
    </xf>
    <xf numFmtId="0" fontId="46" fillId="0" borderId="0" xfId="35" applyFont="1"/>
    <xf numFmtId="0" fontId="46" fillId="0" borderId="13" xfId="36" applyFont="1" applyBorder="1"/>
    <xf numFmtId="0" fontId="46" fillId="0" borderId="17" xfId="35" applyFont="1" applyBorder="1"/>
    <xf numFmtId="0" fontId="46" fillId="0" borderId="34" xfId="36" applyFont="1" applyBorder="1"/>
    <xf numFmtId="3" fontId="46" fillId="0" borderId="25" xfId="35" applyNumberFormat="1" applyFont="1" applyBorder="1"/>
    <xf numFmtId="0" fontId="42" fillId="0" borderId="25" xfId="35" applyFont="1" applyBorder="1" applyAlignment="1">
      <alignment vertical="center"/>
    </xf>
    <xf numFmtId="3" fontId="45" fillId="0" borderId="28" xfId="35" applyNumberFormat="1" applyFont="1" applyBorder="1"/>
    <xf numFmtId="0" fontId="46" fillId="0" borderId="47" xfId="36" applyFont="1" applyBorder="1"/>
    <xf numFmtId="3" fontId="46" fillId="0" borderId="48" xfId="35" applyNumberFormat="1" applyFont="1" applyBorder="1"/>
    <xf numFmtId="0" fontId="46" fillId="0" borderId="48" xfId="35" applyFont="1" applyBorder="1"/>
    <xf numFmtId="3" fontId="46" fillId="0" borderId="47" xfId="35" applyNumberFormat="1" applyFont="1" applyBorder="1"/>
    <xf numFmtId="0" fontId="42" fillId="0" borderId="25" xfId="36" applyFont="1" applyBorder="1" applyAlignment="1">
      <alignment vertical="center"/>
    </xf>
    <xf numFmtId="3" fontId="45" fillId="0" borderId="24" xfId="35" applyNumberFormat="1" applyFont="1" applyBorder="1"/>
    <xf numFmtId="0" fontId="41" fillId="0" borderId="34" xfId="36" applyFont="1" applyBorder="1"/>
    <xf numFmtId="3" fontId="46" fillId="0" borderId="22" xfId="0" applyNumberFormat="1" applyFont="1" applyBorder="1"/>
    <xf numFmtId="3" fontId="46" fillId="0" borderId="34" xfId="35" applyNumberFormat="1" applyFont="1" applyBorder="1"/>
    <xf numFmtId="0" fontId="44" fillId="0" borderId="0" xfId="35" applyFont="1"/>
    <xf numFmtId="3" fontId="16" fillId="15" borderId="12" xfId="53" applyNumberFormat="1" applyFill="1" applyBorder="1" applyAlignment="1">
      <alignment vertical="center"/>
    </xf>
    <xf numFmtId="3" fontId="5" fillId="0" borderId="13" xfId="0" applyNumberFormat="1" applyFont="1" applyBorder="1"/>
    <xf numFmtId="3" fontId="43" fillId="0" borderId="15" xfId="36" applyNumberFormat="1" applyFont="1" applyBorder="1" applyAlignment="1">
      <alignment vertical="center"/>
    </xf>
    <xf numFmtId="3" fontId="46" fillId="0" borderId="12" xfId="35" applyNumberFormat="1" applyFont="1" applyBorder="1" applyAlignment="1">
      <alignment vertical="center"/>
    </xf>
    <xf numFmtId="0" fontId="74" fillId="0" borderId="0" xfId="53" applyFont="1"/>
    <xf numFmtId="3" fontId="74" fillId="0" borderId="0" xfId="53" applyNumberFormat="1" applyFont="1"/>
    <xf numFmtId="3" fontId="11" fillId="15" borderId="10" xfId="36" applyNumberFormat="1" applyFont="1" applyFill="1" applyBorder="1"/>
    <xf numFmtId="3" fontId="59" fillId="0" borderId="12" xfId="0" applyNumberFormat="1" applyFont="1" applyBorder="1"/>
    <xf numFmtId="0" fontId="43" fillId="0" borderId="14" xfId="36" applyFont="1" applyBorder="1" applyAlignment="1">
      <alignment vertical="center"/>
    </xf>
    <xf numFmtId="3" fontId="5" fillId="0" borderId="15" xfId="36" applyNumberFormat="1" applyFont="1" applyBorder="1"/>
    <xf numFmtId="3" fontId="14" fillId="0" borderId="15" xfId="36" applyNumberFormat="1" applyFont="1" applyBorder="1" applyAlignment="1">
      <alignment vertical="center"/>
    </xf>
    <xf numFmtId="0" fontId="17" fillId="0" borderId="12" xfId="36" applyFont="1" applyBorder="1"/>
    <xf numFmtId="3" fontId="4" fillId="0" borderId="15" xfId="36" applyNumberFormat="1" applyFont="1" applyBorder="1"/>
    <xf numFmtId="3" fontId="4" fillId="0" borderId="14" xfId="36" applyNumberFormat="1" applyFont="1" applyBorder="1"/>
    <xf numFmtId="3" fontId="4" fillId="0" borderId="25" xfId="36" applyNumberFormat="1" applyFont="1" applyBorder="1"/>
    <xf numFmtId="3" fontId="4" fillId="0" borderId="28" xfId="36" applyNumberFormat="1" applyFont="1" applyBorder="1"/>
    <xf numFmtId="3" fontId="11" fillId="0" borderId="27" xfId="36" applyNumberFormat="1" applyFont="1" applyBorder="1"/>
    <xf numFmtId="3" fontId="11" fillId="0" borderId="16" xfId="36" applyNumberFormat="1" applyFont="1" applyBorder="1"/>
    <xf numFmtId="3" fontId="4" fillId="0" borderId="15" xfId="36" applyNumberFormat="1" applyFont="1" applyBorder="1" applyAlignment="1">
      <alignment vertical="center"/>
    </xf>
    <xf numFmtId="3" fontId="10" fillId="0" borderId="0" xfId="55" applyNumberFormat="1" applyFont="1"/>
    <xf numFmtId="3" fontId="3" fillId="0" borderId="0" xfId="55" applyNumberFormat="1"/>
    <xf numFmtId="0" fontId="46" fillId="0" borderId="51" xfId="36" applyFont="1" applyBorder="1"/>
    <xf numFmtId="3" fontId="14" fillId="15" borderId="14" xfId="0" applyNumberFormat="1" applyFont="1" applyFill="1" applyBorder="1" applyAlignment="1">
      <alignment vertical="center"/>
    </xf>
    <xf numFmtId="3" fontId="4" fillId="0" borderId="23" xfId="26" applyNumberFormat="1" applyFont="1" applyFill="1" applyBorder="1" applyAlignment="1">
      <alignment horizontal="right"/>
    </xf>
    <xf numFmtId="3" fontId="0" fillId="15" borderId="12" xfId="0" applyNumberFormat="1" applyFill="1" applyBorder="1"/>
    <xf numFmtId="3" fontId="16" fillId="0" borderId="0" xfId="53" applyNumberFormat="1"/>
    <xf numFmtId="3" fontId="63" fillId="0" borderId="31" xfId="52" applyNumberFormat="1" applyFont="1" applyBorder="1"/>
    <xf numFmtId="3" fontId="64" fillId="0" borderId="14" xfId="52" applyNumberFormat="1" applyFont="1" applyBorder="1"/>
    <xf numFmtId="3" fontId="51" fillId="0" borderId="14" xfId="52" applyNumberFormat="1" applyFont="1" applyBorder="1" applyAlignment="1">
      <alignment vertical="center"/>
    </xf>
    <xf numFmtId="3" fontId="51" fillId="0" borderId="10" xfId="52" applyNumberFormat="1" applyFont="1" applyBorder="1" applyAlignment="1">
      <alignment vertical="center"/>
    </xf>
    <xf numFmtId="9" fontId="11" fillId="0" borderId="12" xfId="36" applyNumberFormat="1" applyFont="1" applyBorder="1"/>
    <xf numFmtId="3" fontId="15" fillId="0" borderId="15" xfId="0" applyNumberFormat="1" applyFont="1" applyBorder="1"/>
    <xf numFmtId="9" fontId="15" fillId="0" borderId="12" xfId="0" applyNumberFormat="1" applyFont="1" applyBorder="1"/>
    <xf numFmtId="3" fontId="46" fillId="0" borderId="0" xfId="35" applyNumberFormat="1" applyFont="1"/>
    <xf numFmtId="0" fontId="46" fillId="0" borderId="58" xfId="35" applyFont="1" applyBorder="1"/>
    <xf numFmtId="0" fontId="46" fillId="0" borderId="35" xfId="35" applyFont="1" applyBorder="1"/>
    <xf numFmtId="3" fontId="45" fillId="0" borderId="0" xfId="35" applyNumberFormat="1" applyFont="1"/>
    <xf numFmtId="3" fontId="46" fillId="0" borderId="58" xfId="35" applyNumberFormat="1" applyFont="1" applyBorder="1"/>
    <xf numFmtId="3" fontId="14" fillId="0" borderId="14" xfId="36" applyNumberFormat="1" applyFont="1" applyBorder="1" applyAlignment="1">
      <alignment vertical="center"/>
    </xf>
    <xf numFmtId="3" fontId="64" fillId="0" borderId="10" xfId="52" applyNumberFormat="1" applyFont="1" applyBorder="1"/>
    <xf numFmtId="3" fontId="51" fillId="0" borderId="10" xfId="52" applyNumberFormat="1" applyFont="1" applyBorder="1"/>
    <xf numFmtId="0" fontId="16" fillId="0" borderId="0" xfId="50" applyAlignment="1">
      <alignment vertical="center"/>
    </xf>
    <xf numFmtId="0" fontId="19" fillId="0" borderId="0" xfId="50" applyFont="1" applyAlignment="1">
      <alignment vertical="center"/>
    </xf>
    <xf numFmtId="3" fontId="16" fillId="0" borderId="12" xfId="53" applyNumberFormat="1" applyBorder="1" applyAlignment="1">
      <alignment vertical="center" wrapText="1"/>
    </xf>
    <xf numFmtId="0" fontId="5" fillId="15" borderId="0" xfId="0" applyFont="1" applyFill="1"/>
    <xf numFmtId="0" fontId="19" fillId="0" borderId="19" xfId="35" applyFont="1" applyBorder="1" applyAlignment="1">
      <alignment horizontal="left" vertical="center"/>
    </xf>
    <xf numFmtId="165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3" fontId="13" fillId="0" borderId="11" xfId="0" applyNumberFormat="1" applyFont="1" applyBorder="1" applyAlignment="1">
      <alignment horizontal="right"/>
    </xf>
    <xf numFmtId="9" fontId="4" fillId="0" borderId="11" xfId="0" applyNumberFormat="1" applyFont="1" applyBorder="1" applyAlignment="1">
      <alignment horizontal="right"/>
    </xf>
    <xf numFmtId="3" fontId="15" fillId="0" borderId="11" xfId="0" applyNumberFormat="1" applyFont="1" applyBorder="1" applyAlignment="1">
      <alignment horizontal="right"/>
    </xf>
    <xf numFmtId="3" fontId="15" fillId="0" borderId="21" xfId="0" applyNumberFormat="1" applyFont="1" applyBorder="1" applyAlignment="1">
      <alignment horizontal="right"/>
    </xf>
    <xf numFmtId="9" fontId="4" fillId="0" borderId="21" xfId="0" applyNumberFormat="1" applyFont="1" applyBorder="1" applyAlignment="1">
      <alignment horizontal="right"/>
    </xf>
    <xf numFmtId="3" fontId="15" fillId="0" borderId="15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right"/>
    </xf>
    <xf numFmtId="0" fontId="4" fillId="0" borderId="54" xfId="0" applyFont="1" applyBorder="1" applyAlignment="1">
      <alignment horizontal="center"/>
    </xf>
    <xf numFmtId="3" fontId="15" fillId="0" borderId="11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3" fontId="11" fillId="0" borderId="10" xfId="0" applyNumberFormat="1" applyFont="1" applyBorder="1" applyAlignment="1">
      <alignment horizontal="right"/>
    </xf>
    <xf numFmtId="3" fontId="4" fillId="0" borderId="10" xfId="0" applyNumberFormat="1" applyFont="1" applyBorder="1" applyAlignment="1">
      <alignment horizontal="right"/>
    </xf>
    <xf numFmtId="3" fontId="4" fillId="0" borderId="39" xfId="0" applyNumberFormat="1" applyFont="1" applyBorder="1" applyAlignment="1">
      <alignment horizontal="right"/>
    </xf>
    <xf numFmtId="0" fontId="13" fillId="0" borderId="12" xfId="0" applyFont="1" applyBorder="1"/>
    <xf numFmtId="0" fontId="13" fillId="0" borderId="11" xfId="0" applyFont="1" applyBorder="1"/>
    <xf numFmtId="0" fontId="0" fillId="0" borderId="0" xfId="0" applyAlignment="1">
      <alignment horizontal="center" vertical="center"/>
    </xf>
    <xf numFmtId="0" fontId="15" fillId="0" borderId="27" xfId="0" applyFont="1" applyBorder="1" applyAlignment="1">
      <alignment horizontal="left" vertical="center"/>
    </xf>
    <xf numFmtId="3" fontId="13" fillId="0" borderId="12" xfId="0" applyNumberFormat="1" applyFont="1" applyBorder="1"/>
    <xf numFmtId="0" fontId="13" fillId="0" borderId="27" xfId="0" applyFont="1" applyBorder="1"/>
    <xf numFmtId="3" fontId="13" fillId="0" borderId="11" xfId="0" applyNumberFormat="1" applyFont="1" applyBorder="1"/>
    <xf numFmtId="165" fontId="5" fillId="0" borderId="0" xfId="0" applyNumberFormat="1" applyFont="1" applyAlignment="1">
      <alignment horizontal="right"/>
    </xf>
    <xf numFmtId="3" fontId="74" fillId="0" borderId="0" xfId="35" applyNumberFormat="1" applyFont="1"/>
    <xf numFmtId="9" fontId="11" fillId="0" borderId="10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11" fillId="0" borderId="10" xfId="0" applyFont="1" applyBorder="1" applyAlignment="1">
      <alignment horizontal="left" vertical="top"/>
    </xf>
    <xf numFmtId="3" fontId="11" fillId="0" borderId="16" xfId="0" applyNumberFormat="1" applyFont="1" applyBorder="1" applyAlignment="1">
      <alignment horizontal="right"/>
    </xf>
    <xf numFmtId="3" fontId="11" fillId="0" borderId="16" xfId="0" applyNumberFormat="1" applyFont="1" applyBorder="1"/>
    <xf numFmtId="3" fontId="1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16" fillId="0" borderId="20" xfId="0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top"/>
    </xf>
    <xf numFmtId="0" fontId="71" fillId="0" borderId="12" xfId="53" applyFont="1" applyBorder="1" applyAlignment="1">
      <alignment vertical="center"/>
    </xf>
    <xf numFmtId="0" fontId="69" fillId="0" borderId="0" xfId="53" applyFont="1" applyAlignment="1">
      <alignment horizontal="center" vertical="center"/>
    </xf>
    <xf numFmtId="0" fontId="70" fillId="0" borderId="11" xfId="53" applyFont="1" applyBorder="1" applyAlignment="1">
      <alignment vertical="center"/>
    </xf>
    <xf numFmtId="0" fontId="71" fillId="0" borderId="11" xfId="53" applyFont="1" applyBorder="1" applyAlignment="1">
      <alignment vertical="center"/>
    </xf>
    <xf numFmtId="0" fontId="71" fillId="0" borderId="11" xfId="53" applyFont="1" applyBorder="1" applyAlignment="1">
      <alignment vertical="center" wrapText="1"/>
    </xf>
    <xf numFmtId="0" fontId="70" fillId="0" borderId="12" xfId="53" applyFont="1" applyBorder="1" applyAlignment="1">
      <alignment vertical="center"/>
    </xf>
    <xf numFmtId="0" fontId="71" fillId="0" borderId="12" xfId="53" applyFont="1" applyBorder="1" applyAlignment="1">
      <alignment vertical="center" wrapText="1"/>
    </xf>
    <xf numFmtId="0" fontId="44" fillId="0" borderId="51" xfId="0" applyFont="1" applyBorder="1" applyAlignment="1">
      <alignment vertical="center"/>
    </xf>
    <xf numFmtId="0" fontId="71" fillId="0" borderId="12" xfId="53" applyFont="1" applyBorder="1" applyAlignment="1">
      <alignment horizontal="left" vertical="center"/>
    </xf>
    <xf numFmtId="0" fontId="70" fillId="0" borderId="12" xfId="53" applyFont="1" applyBorder="1" applyAlignment="1">
      <alignment vertical="center" wrapText="1"/>
    </xf>
    <xf numFmtId="0" fontId="16" fillId="0" borderId="0" xfId="53" applyAlignment="1">
      <alignment horizontal="center"/>
    </xf>
    <xf numFmtId="0" fontId="67" fillId="0" borderId="0" xfId="53" applyFont="1"/>
    <xf numFmtId="0" fontId="19" fillId="0" borderId="0" xfId="35" applyFont="1" applyAlignment="1">
      <alignment horizontal="center" vertical="center" wrapText="1"/>
    </xf>
    <xf numFmtId="0" fontId="4" fillId="0" borderId="10" xfId="0" applyFont="1" applyBorder="1" applyAlignment="1">
      <alignment horizontal="center" vertical="top"/>
    </xf>
    <xf numFmtId="0" fontId="5" fillId="0" borderId="10" xfId="36" applyFont="1" applyBorder="1"/>
    <xf numFmtId="3" fontId="46" fillId="0" borderId="13" xfId="35" applyNumberFormat="1" applyFont="1" applyBorder="1"/>
    <xf numFmtId="0" fontId="4" fillId="0" borderId="61" xfId="0" applyFont="1" applyBorder="1" applyAlignment="1">
      <alignment horizontal="center"/>
    </xf>
    <xf numFmtId="3" fontId="63" fillId="0" borderId="12" xfId="52" applyNumberFormat="1" applyFont="1" applyBorder="1"/>
    <xf numFmtId="3" fontId="64" fillId="0" borderId="21" xfId="52" applyNumberFormat="1" applyFont="1" applyBorder="1"/>
    <xf numFmtId="3" fontId="63" fillId="0" borderId="18" xfId="52" applyNumberFormat="1" applyFont="1" applyBorder="1"/>
    <xf numFmtId="0" fontId="63" fillId="0" borderId="12" xfId="52" applyFont="1" applyBorder="1"/>
    <xf numFmtId="0" fontId="64" fillId="0" borderId="12" xfId="52" applyFont="1" applyBorder="1"/>
    <xf numFmtId="0" fontId="64" fillId="0" borderId="21" xfId="52" applyFont="1" applyBorder="1"/>
    <xf numFmtId="0" fontId="63" fillId="0" borderId="21" xfId="52" applyFont="1" applyBorder="1"/>
    <xf numFmtId="0" fontId="64" fillId="0" borderId="13" xfId="52" applyFont="1" applyBorder="1"/>
    <xf numFmtId="0" fontId="63" fillId="0" borderId="13" xfId="52" applyFont="1" applyBorder="1"/>
    <xf numFmtId="3" fontId="64" fillId="0" borderId="13" xfId="52" applyNumberFormat="1" applyFont="1" applyBorder="1"/>
    <xf numFmtId="3" fontId="51" fillId="0" borderId="31" xfId="52" applyNumberFormat="1" applyFont="1" applyBorder="1"/>
    <xf numFmtId="3" fontId="80" fillId="0" borderId="10" xfId="52" applyNumberFormat="1" applyFont="1" applyBorder="1" applyAlignment="1">
      <alignment vertical="center"/>
    </xf>
    <xf numFmtId="3" fontId="80" fillId="0" borderId="14" xfId="52" applyNumberFormat="1" applyFont="1" applyBorder="1"/>
    <xf numFmtId="3" fontId="81" fillId="0" borderId="10" xfId="0" applyNumberFormat="1" applyFont="1" applyBorder="1" applyAlignment="1">
      <alignment horizontal="center"/>
    </xf>
    <xf numFmtId="3" fontId="14" fillId="0" borderId="16" xfId="0" applyNumberFormat="1" applyFont="1" applyBorder="1"/>
    <xf numFmtId="9" fontId="15" fillId="0" borderId="10" xfId="0" applyNumberFormat="1" applyFont="1" applyBorder="1"/>
    <xf numFmtId="9" fontId="15" fillId="0" borderId="15" xfId="0" applyNumberFormat="1" applyFont="1" applyBorder="1"/>
    <xf numFmtId="0" fontId="5" fillId="0" borderId="60" xfId="0" applyFont="1" applyBorder="1"/>
    <xf numFmtId="0" fontId="15" fillId="0" borderId="64" xfId="0" applyFont="1" applyBorder="1"/>
    <xf numFmtId="3" fontId="50" fillId="0" borderId="60" xfId="0" applyNumberFormat="1" applyFont="1" applyBorder="1" applyAlignment="1">
      <alignment horizontal="center"/>
    </xf>
    <xf numFmtId="9" fontId="15" fillId="0" borderId="63" xfId="0" applyNumberFormat="1" applyFont="1" applyBorder="1"/>
    <xf numFmtId="9" fontId="13" fillId="0" borderId="12" xfId="0" applyNumberFormat="1" applyFont="1" applyBorder="1"/>
    <xf numFmtId="3" fontId="15" fillId="0" borderId="66" xfId="0" applyNumberFormat="1" applyFont="1" applyBorder="1" applyAlignment="1">
      <alignment horizontal="center"/>
    </xf>
    <xf numFmtId="3" fontId="4" fillId="0" borderId="54" xfId="0" applyNumberFormat="1" applyFont="1" applyBorder="1" applyAlignment="1">
      <alignment horizontal="center"/>
    </xf>
    <xf numFmtId="0" fontId="4" fillId="0" borderId="15" xfId="38" applyFont="1" applyBorder="1" applyAlignment="1">
      <alignment horizontal="center"/>
    </xf>
    <xf numFmtId="3" fontId="53" fillId="0" borderId="66" xfId="0" applyNumberFormat="1" applyFont="1" applyBorder="1" applyAlignment="1">
      <alignment horizontal="center"/>
    </xf>
    <xf numFmtId="3" fontId="53" fillId="0" borderId="67" xfId="0" applyNumberFormat="1" applyFont="1" applyBorder="1" applyAlignment="1">
      <alignment horizontal="center"/>
    </xf>
    <xf numFmtId="0" fontId="4" fillId="0" borderId="64" xfId="0" applyFont="1" applyBorder="1" applyAlignment="1">
      <alignment horizontal="left" vertical="center"/>
    </xf>
    <xf numFmtId="0" fontId="4" fillId="0" borderId="60" xfId="0" applyFont="1" applyBorder="1" applyAlignment="1">
      <alignment horizontal="center"/>
    </xf>
    <xf numFmtId="3" fontId="4" fillId="0" borderId="61" xfId="0" applyNumberFormat="1" applyFont="1" applyBorder="1" applyAlignment="1">
      <alignment horizontal="center"/>
    </xf>
    <xf numFmtId="0" fontId="4" fillId="0" borderId="31" xfId="38" applyFont="1" applyBorder="1" applyAlignment="1">
      <alignment horizontal="center"/>
    </xf>
    <xf numFmtId="0" fontId="82" fillId="0" borderId="0" xfId="0" applyFont="1"/>
    <xf numFmtId="3" fontId="14" fillId="0" borderId="13" xfId="36" applyNumberFormat="1" applyFont="1" applyBorder="1"/>
    <xf numFmtId="3" fontId="5" fillId="0" borderId="11" xfId="36" applyNumberFormat="1" applyFont="1" applyBorder="1"/>
    <xf numFmtId="3" fontId="5" fillId="0" borderId="13" xfId="36" applyNumberFormat="1" applyFont="1" applyBorder="1"/>
    <xf numFmtId="3" fontId="43" fillId="0" borderId="14" xfId="36" applyNumberFormat="1" applyFont="1" applyBorder="1"/>
    <xf numFmtId="3" fontId="5" fillId="0" borderId="10" xfId="36" applyNumberFormat="1" applyFont="1" applyBorder="1"/>
    <xf numFmtId="3" fontId="5" fillId="0" borderId="21" xfId="36" applyNumberFormat="1" applyFont="1" applyBorder="1"/>
    <xf numFmtId="3" fontId="10" fillId="0" borderId="14" xfId="36" applyNumberFormat="1" applyFont="1" applyBorder="1"/>
    <xf numFmtId="0" fontId="5" fillId="0" borderId="13" xfId="36" applyFont="1" applyBorder="1"/>
    <xf numFmtId="0" fontId="5" fillId="0" borderId="15" xfId="36" applyFont="1" applyBorder="1"/>
    <xf numFmtId="3" fontId="10" fillId="0" borderId="39" xfId="36" applyNumberFormat="1" applyFont="1" applyBorder="1"/>
    <xf numFmtId="3" fontId="14" fillId="0" borderId="39" xfId="36" applyNumberFormat="1" applyFont="1" applyBorder="1"/>
    <xf numFmtId="3" fontId="5" fillId="0" borderId="31" xfId="36" applyNumberFormat="1" applyFont="1" applyBorder="1"/>
    <xf numFmtId="3" fontId="14" fillId="0" borderId="10" xfId="36" applyNumberFormat="1" applyFont="1" applyBorder="1" applyAlignment="1">
      <alignment vertical="center"/>
    </xf>
    <xf numFmtId="3" fontId="10" fillId="0" borderId="15" xfId="36" applyNumberFormat="1" applyFont="1" applyBorder="1"/>
    <xf numFmtId="3" fontId="6" fillId="0" borderId="10" xfId="36" applyNumberFormat="1" applyFont="1" applyBorder="1"/>
    <xf numFmtId="3" fontId="84" fillId="0" borderId="0" xfId="0" applyNumberFormat="1" applyFont="1"/>
    <xf numFmtId="3" fontId="85" fillId="0" borderId="0" xfId="0" applyNumberFormat="1" applyFont="1"/>
    <xf numFmtId="16" fontId="5" fillId="0" borderId="0" xfId="0" applyNumberFormat="1" applyFont="1"/>
    <xf numFmtId="3" fontId="14" fillId="0" borderId="10" xfId="0" applyNumberFormat="1" applyFont="1" applyBorder="1" applyAlignment="1">
      <alignment vertical="center"/>
    </xf>
    <xf numFmtId="0" fontId="48" fillId="0" borderId="23" xfId="46" applyFont="1" applyBorder="1"/>
    <xf numFmtId="3" fontId="86" fillId="0" borderId="0" xfId="0" applyNumberFormat="1" applyFont="1" applyAlignment="1">
      <alignment horizontal="right"/>
    </xf>
    <xf numFmtId="0" fontId="83" fillId="0" borderId="20" xfId="0" applyFont="1" applyBorder="1" applyAlignment="1">
      <alignment horizontal="left" vertical="top"/>
    </xf>
    <xf numFmtId="3" fontId="87" fillId="0" borderId="10" xfId="0" applyNumberFormat="1" applyFont="1" applyBorder="1"/>
    <xf numFmtId="9" fontId="88" fillId="0" borderId="10" xfId="0" applyNumberFormat="1" applyFont="1" applyBorder="1"/>
    <xf numFmtId="0" fontId="88" fillId="0" borderId="20" xfId="0" applyFont="1" applyBorder="1" applyAlignment="1">
      <alignment horizontal="left"/>
    </xf>
    <xf numFmtId="3" fontId="88" fillId="0" borderId="10" xfId="45" applyNumberFormat="1" applyFont="1" applyFill="1" applyBorder="1" applyAlignment="1">
      <alignment horizontal="right"/>
    </xf>
    <xf numFmtId="3" fontId="89" fillId="0" borderId="10" xfId="45" applyNumberFormat="1" applyFont="1" applyFill="1" applyBorder="1" applyAlignment="1">
      <alignment horizontal="right"/>
    </xf>
    <xf numFmtId="0" fontId="90" fillId="0" borderId="42" xfId="0" applyFont="1" applyBorder="1" applyAlignment="1">
      <alignment horizontal="left"/>
    </xf>
    <xf numFmtId="3" fontId="90" fillId="0" borderId="12" xfId="0" applyNumberFormat="1" applyFont="1" applyBorder="1"/>
    <xf numFmtId="9" fontId="91" fillId="0" borderId="12" xfId="0" applyNumberFormat="1" applyFont="1" applyBorder="1"/>
    <xf numFmtId="0" fontId="90" fillId="0" borderId="13" xfId="0" applyFont="1" applyBorder="1"/>
    <xf numFmtId="3" fontId="87" fillId="0" borderId="10" xfId="45" applyNumberFormat="1" applyFont="1" applyFill="1" applyBorder="1" applyAlignment="1">
      <alignment horizontal="right"/>
    </xf>
    <xf numFmtId="0" fontId="87" fillId="0" borderId="10" xfId="0" applyFont="1" applyBorder="1"/>
    <xf numFmtId="0" fontId="88" fillId="0" borderId="10" xfId="0" applyFont="1" applyBorder="1" applyAlignment="1">
      <alignment horizontal="left"/>
    </xf>
    <xf numFmtId="0" fontId="90" fillId="0" borderId="12" xfId="0" applyFont="1" applyBorder="1" applyAlignment="1">
      <alignment horizontal="left"/>
    </xf>
    <xf numFmtId="0" fontId="90" fillId="0" borderId="10" xfId="0" applyFont="1" applyBorder="1" applyAlignment="1">
      <alignment horizontal="left"/>
    </xf>
    <xf numFmtId="0" fontId="89" fillId="0" borderId="10" xfId="0" applyFont="1" applyBorder="1" applyAlignment="1">
      <alignment horizontal="left"/>
    </xf>
    <xf numFmtId="0" fontId="92" fillId="0" borderId="10" xfId="0" applyFont="1" applyBorder="1"/>
    <xf numFmtId="0" fontId="90" fillId="0" borderId="13" xfId="0" applyFont="1" applyBorder="1" applyAlignment="1">
      <alignment horizontal="left"/>
    </xf>
    <xf numFmtId="3" fontId="90" fillId="0" borderId="10" xfId="0" applyNumberFormat="1" applyFont="1" applyBorder="1"/>
    <xf numFmtId="0" fontId="83" fillId="0" borderId="10" xfId="0" applyFont="1" applyBorder="1" applyAlignment="1">
      <alignment horizontal="left"/>
    </xf>
    <xf numFmtId="3" fontId="83" fillId="0" borderId="10" xfId="0" applyNumberFormat="1" applyFont="1" applyBorder="1"/>
    <xf numFmtId="3" fontId="92" fillId="0" borderId="10" xfId="0" applyNumberFormat="1" applyFont="1" applyBorder="1"/>
    <xf numFmtId="9" fontId="88" fillId="0" borderId="11" xfId="0" applyNumberFormat="1" applyFont="1" applyBorder="1"/>
    <xf numFmtId="0" fontId="93" fillId="0" borderId="11" xfId="0" applyFont="1" applyBorder="1" applyAlignment="1">
      <alignment horizontal="left"/>
    </xf>
    <xf numFmtId="3" fontId="90" fillId="0" borderId="11" xfId="0" applyNumberFormat="1" applyFont="1" applyBorder="1"/>
    <xf numFmtId="3" fontId="94" fillId="0" borderId="10" xfId="0" applyNumberFormat="1" applyFont="1" applyBorder="1"/>
    <xf numFmtId="3" fontId="87" fillId="0" borderId="10" xfId="0" applyNumberFormat="1" applyFont="1" applyBorder="1" applyAlignment="1">
      <alignment horizontal="right"/>
    </xf>
    <xf numFmtId="3" fontId="95" fillId="0" borderId="10" xfId="0" applyNumberFormat="1" applyFont="1" applyBorder="1"/>
    <xf numFmtId="3" fontId="95" fillId="0" borderId="10" xfId="0" applyNumberFormat="1" applyFont="1" applyBorder="1" applyAlignment="1">
      <alignment horizontal="right"/>
    </xf>
    <xf numFmtId="3" fontId="96" fillId="0" borderId="10" xfId="0" applyNumberFormat="1" applyFont="1" applyBorder="1"/>
    <xf numFmtId="0" fontId="83" fillId="0" borderId="10" xfId="0" applyFont="1" applyBorder="1"/>
    <xf numFmtId="0" fontId="83" fillId="0" borderId="20" xfId="0" applyFont="1" applyBorder="1"/>
    <xf numFmtId="0" fontId="87" fillId="0" borderId="20" xfId="0" applyFont="1" applyBorder="1"/>
    <xf numFmtId="3" fontId="92" fillId="0" borderId="10" xfId="0" applyNumberFormat="1" applyFont="1" applyBorder="1" applyAlignment="1">
      <alignment horizontal="right"/>
    </xf>
    <xf numFmtId="3" fontId="83" fillId="0" borderId="10" xfId="0" applyNumberFormat="1" applyFont="1" applyBorder="1" applyAlignment="1">
      <alignment horizontal="right"/>
    </xf>
    <xf numFmtId="3" fontId="83" fillId="0" borderId="10" xfId="55" applyNumberFormat="1" applyFont="1" applyBorder="1"/>
    <xf numFmtId="0" fontId="87" fillId="0" borderId="13" xfId="0" applyFont="1" applyBorder="1"/>
    <xf numFmtId="0" fontId="90" fillId="0" borderId="12" xfId="0" applyFont="1" applyBorder="1"/>
    <xf numFmtId="0" fontId="95" fillId="0" borderId="12" xfId="0" applyFont="1" applyBorder="1"/>
    <xf numFmtId="3" fontId="90" fillId="0" borderId="11" xfId="0" applyNumberFormat="1" applyFont="1" applyBorder="1" applyAlignment="1">
      <alignment horizontal="right"/>
    </xf>
    <xf numFmtId="9" fontId="83" fillId="0" borderId="12" xfId="0" applyNumberFormat="1" applyFont="1" applyBorder="1" applyAlignment="1">
      <alignment horizontal="right"/>
    </xf>
    <xf numFmtId="0" fontId="90" fillId="0" borderId="10" xfId="0" applyFont="1" applyBorder="1"/>
    <xf numFmtId="0" fontId="92" fillId="0" borderId="16" xfId="0" applyFont="1" applyBorder="1"/>
    <xf numFmtId="9" fontId="83" fillId="0" borderId="11" xfId="0" applyNumberFormat="1" applyFont="1" applyBorder="1" applyAlignment="1">
      <alignment horizontal="right"/>
    </xf>
    <xf numFmtId="0" fontId="86" fillId="0" borderId="12" xfId="0" applyFont="1" applyBorder="1" applyAlignment="1">
      <alignment horizontal="left" vertical="center"/>
    </xf>
    <xf numFmtId="3" fontId="90" fillId="0" borderId="10" xfId="0" applyNumberFormat="1" applyFont="1" applyBorder="1" applyAlignment="1">
      <alignment horizontal="right"/>
    </xf>
    <xf numFmtId="3" fontId="90" fillId="0" borderId="16" xfId="0" applyNumberFormat="1" applyFont="1" applyBorder="1" applyAlignment="1">
      <alignment horizontal="right"/>
    </xf>
    <xf numFmtId="0" fontId="90" fillId="0" borderId="15" xfId="0" applyFont="1" applyBorder="1"/>
    <xf numFmtId="9" fontId="91" fillId="0" borderId="15" xfId="0" applyNumberFormat="1" applyFont="1" applyBorder="1"/>
    <xf numFmtId="9" fontId="87" fillId="15" borderId="10" xfId="45" applyFont="1" applyFill="1" applyBorder="1"/>
    <xf numFmtId="0" fontId="91" fillId="0" borderId="10" xfId="0" applyFont="1" applyBorder="1"/>
    <xf numFmtId="0" fontId="88" fillId="0" borderId="10" xfId="0" applyFont="1" applyBorder="1"/>
    <xf numFmtId="0" fontId="89" fillId="0" borderId="10" xfId="0" applyFont="1" applyBorder="1"/>
    <xf numFmtId="3" fontId="88" fillId="0" borderId="12" xfId="0" applyNumberFormat="1" applyFont="1" applyBorder="1"/>
    <xf numFmtId="3" fontId="88" fillId="0" borderId="11" xfId="0" applyNumberFormat="1" applyFont="1" applyBorder="1" applyAlignment="1">
      <alignment horizontal="right"/>
    </xf>
    <xf numFmtId="9" fontId="90" fillId="0" borderId="11" xfId="0" applyNumberFormat="1" applyFont="1" applyBorder="1" applyAlignment="1">
      <alignment horizontal="right"/>
    </xf>
    <xf numFmtId="0" fontId="88" fillId="0" borderId="27" xfId="0" applyFont="1" applyBorder="1"/>
    <xf numFmtId="9" fontId="88" fillId="0" borderId="12" xfId="0" applyNumberFormat="1" applyFont="1" applyBorder="1"/>
    <xf numFmtId="3" fontId="88" fillId="0" borderId="11" xfId="0" applyNumberFormat="1" applyFont="1" applyBorder="1"/>
    <xf numFmtId="3" fontId="91" fillId="0" borderId="11" xfId="0" applyNumberFormat="1" applyFont="1" applyBorder="1" applyAlignment="1">
      <alignment horizontal="right"/>
    </xf>
    <xf numFmtId="3" fontId="91" fillId="0" borderId="10" xfId="0" applyNumberFormat="1" applyFont="1" applyBorder="1" applyAlignment="1">
      <alignment horizontal="right"/>
    </xf>
    <xf numFmtId="0" fontId="88" fillId="0" borderId="12" xfId="0" applyFont="1" applyBorder="1"/>
    <xf numFmtId="3" fontId="88" fillId="0" borderId="12" xfId="0" applyNumberFormat="1" applyFont="1" applyBorder="1" applyAlignment="1">
      <alignment horizontal="right"/>
    </xf>
    <xf numFmtId="0" fontId="88" fillId="0" borderId="16" xfId="0" applyFont="1" applyBorder="1"/>
    <xf numFmtId="3" fontId="88" fillId="0" borderId="10" xfId="0" applyNumberFormat="1" applyFont="1" applyBorder="1" applyAlignment="1">
      <alignment horizontal="right"/>
    </xf>
    <xf numFmtId="0" fontId="91" fillId="0" borderId="64" xfId="0" applyFont="1" applyBorder="1"/>
    <xf numFmtId="3" fontId="91" fillId="0" borderId="15" xfId="0" applyNumberFormat="1" applyFont="1" applyBorder="1" applyAlignment="1">
      <alignment horizontal="right"/>
    </xf>
    <xf numFmtId="0" fontId="91" fillId="0" borderId="27" xfId="0" applyFont="1" applyBorder="1" applyAlignment="1">
      <alignment horizontal="left" vertical="center"/>
    </xf>
    <xf numFmtId="0" fontId="88" fillId="0" borderId="11" xfId="0" applyFont="1" applyBorder="1"/>
    <xf numFmtId="3" fontId="88" fillId="0" borderId="21" xfId="0" applyNumberFormat="1" applyFont="1" applyBorder="1" applyAlignment="1">
      <alignment horizontal="right"/>
    </xf>
    <xf numFmtId="9" fontId="90" fillId="0" borderId="21" xfId="0" applyNumberFormat="1" applyFont="1" applyBorder="1" applyAlignment="1">
      <alignment horizontal="right"/>
    </xf>
    <xf numFmtId="0" fontId="91" fillId="0" borderId="39" xfId="0" applyFont="1" applyBorder="1"/>
    <xf numFmtId="3" fontId="88" fillId="0" borderId="14" xfId="0" applyNumberFormat="1" applyFont="1" applyBorder="1" applyAlignment="1">
      <alignment horizontal="right"/>
    </xf>
    <xf numFmtId="9" fontId="83" fillId="0" borderId="14" xfId="0" applyNumberFormat="1" applyFont="1" applyBorder="1" applyAlignment="1">
      <alignment horizontal="right"/>
    </xf>
    <xf numFmtId="0" fontId="91" fillId="0" borderId="27" xfId="0" applyFont="1" applyBorder="1"/>
    <xf numFmtId="9" fontId="91" fillId="0" borderId="11" xfId="45" applyFont="1" applyBorder="1" applyAlignment="1">
      <alignment horizontal="right"/>
    </xf>
    <xf numFmtId="0" fontId="91" fillId="0" borderId="23" xfId="0" applyFont="1" applyBorder="1" applyAlignment="1">
      <alignment horizontal="left" vertical="top"/>
    </xf>
    <xf numFmtId="0" fontId="91" fillId="0" borderId="27" xfId="0" applyFont="1" applyBorder="1" applyAlignment="1">
      <alignment horizontal="left" vertical="top"/>
    </xf>
    <xf numFmtId="0" fontId="91" fillId="0" borderId="11" xfId="0" applyFont="1" applyBorder="1"/>
    <xf numFmtId="3" fontId="91" fillId="0" borderId="27" xfId="0" applyNumberFormat="1" applyFont="1" applyBorder="1" applyAlignment="1">
      <alignment horizontal="right"/>
    </xf>
    <xf numFmtId="9" fontId="90" fillId="0" borderId="10" xfId="0" applyNumberFormat="1" applyFont="1" applyBorder="1" applyAlignment="1">
      <alignment horizontal="right"/>
    </xf>
    <xf numFmtId="3" fontId="91" fillId="0" borderId="39" xfId="0" applyNumberFormat="1" applyFont="1" applyBorder="1" applyAlignment="1">
      <alignment horizontal="right"/>
    </xf>
    <xf numFmtId="0" fontId="91" fillId="0" borderId="18" xfId="0" applyFont="1" applyBorder="1"/>
    <xf numFmtId="0" fontId="91" fillId="0" borderId="32" xfId="0" applyFont="1" applyBorder="1" applyAlignment="1">
      <alignment horizontal="left" vertical="top"/>
    </xf>
    <xf numFmtId="0" fontId="90" fillId="0" borderId="27" xfId="0" applyFont="1" applyBorder="1" applyAlignment="1">
      <alignment horizontal="left" vertical="top"/>
    </xf>
    <xf numFmtId="0" fontId="87" fillId="0" borderId="11" xfId="0" applyFont="1" applyBorder="1"/>
    <xf numFmtId="3" fontId="87" fillId="0" borderId="11" xfId="0" applyNumberFormat="1" applyFont="1" applyBorder="1" applyAlignment="1">
      <alignment horizontal="right"/>
    </xf>
    <xf numFmtId="3" fontId="87" fillId="0" borderId="12" xfId="0" applyNumberFormat="1" applyFont="1" applyBorder="1"/>
    <xf numFmtId="0" fontId="87" fillId="0" borderId="27" xfId="0" applyFont="1" applyBorder="1"/>
    <xf numFmtId="3" fontId="87" fillId="0" borderId="11" xfId="0" applyNumberFormat="1" applyFont="1" applyBorder="1"/>
    <xf numFmtId="0" fontId="88" fillId="0" borderId="23" xfId="0" applyFont="1" applyBorder="1"/>
    <xf numFmtId="3" fontId="90" fillId="0" borderId="15" xfId="0" applyNumberFormat="1" applyFont="1" applyBorder="1" applyAlignment="1">
      <alignment horizontal="right"/>
    </xf>
    <xf numFmtId="0" fontId="83" fillId="0" borderId="27" xfId="0" applyFont="1" applyBorder="1"/>
    <xf numFmtId="3" fontId="83" fillId="0" borderId="11" xfId="0" applyNumberFormat="1" applyFont="1" applyBorder="1" applyAlignment="1">
      <alignment horizontal="right"/>
    </xf>
    <xf numFmtId="0" fontId="87" fillId="0" borderId="23" xfId="0" applyFont="1" applyBorder="1"/>
    <xf numFmtId="0" fontId="95" fillId="0" borderId="18" xfId="0" applyFont="1" applyBorder="1"/>
    <xf numFmtId="3" fontId="90" fillId="0" borderId="14" xfId="0" applyNumberFormat="1" applyFont="1" applyBorder="1" applyAlignment="1">
      <alignment horizontal="right"/>
    </xf>
    <xf numFmtId="3" fontId="87" fillId="0" borderId="14" xfId="0" applyNumberFormat="1" applyFont="1" applyBorder="1" applyAlignment="1">
      <alignment horizontal="right"/>
    </xf>
    <xf numFmtId="0" fontId="90" fillId="0" borderId="32" xfId="0" applyFont="1" applyBorder="1" applyAlignment="1">
      <alignment horizontal="left" vertical="top"/>
    </xf>
    <xf numFmtId="0" fontId="90" fillId="0" borderId="18" xfId="0" applyFont="1" applyBorder="1"/>
    <xf numFmtId="3" fontId="83" fillId="0" borderId="14" xfId="0" applyNumberFormat="1" applyFont="1" applyBorder="1" applyAlignment="1">
      <alignment horizontal="right"/>
    </xf>
    <xf numFmtId="0" fontId="88" fillId="0" borderId="13" xfId="0" applyFont="1" applyBorder="1"/>
    <xf numFmtId="3" fontId="91" fillId="0" borderId="39" xfId="0" applyNumberFormat="1" applyFont="1" applyBorder="1" applyAlignment="1">
      <alignment horizontal="left"/>
    </xf>
    <xf numFmtId="3" fontId="91" fillId="0" borderId="65" xfId="0" applyNumberFormat="1" applyFont="1" applyBorder="1" applyAlignment="1">
      <alignment horizontal="right"/>
    </xf>
    <xf numFmtId="3" fontId="91" fillId="0" borderId="31" xfId="0" applyNumberFormat="1" applyFont="1" applyBorder="1" applyAlignment="1">
      <alignment horizontal="right"/>
    </xf>
    <xf numFmtId="0" fontId="90" fillId="0" borderId="39" xfId="0" applyFont="1" applyBorder="1"/>
    <xf numFmtId="3" fontId="90" fillId="0" borderId="61" xfId="0" applyNumberFormat="1" applyFont="1" applyBorder="1" applyAlignment="1">
      <alignment horizontal="right"/>
    </xf>
    <xf numFmtId="0" fontId="90" fillId="0" borderId="23" xfId="0" applyFont="1" applyBorder="1" applyAlignment="1">
      <alignment horizontal="left"/>
    </xf>
    <xf numFmtId="0" fontId="89" fillId="0" borderId="27" xfId="0" applyFont="1" applyBorder="1"/>
    <xf numFmtId="3" fontId="92" fillId="0" borderId="11" xfId="0" applyNumberFormat="1" applyFont="1" applyBorder="1" applyAlignment="1">
      <alignment horizontal="right"/>
    </xf>
    <xf numFmtId="9" fontId="92" fillId="0" borderId="11" xfId="0" applyNumberFormat="1" applyFont="1" applyBorder="1" applyAlignment="1">
      <alignment horizontal="right"/>
    </xf>
    <xf numFmtId="0" fontId="89" fillId="0" borderId="23" xfId="0" applyFont="1" applyBorder="1"/>
    <xf numFmtId="0" fontId="89" fillId="0" borderId="17" xfId="0" applyFont="1" applyBorder="1"/>
    <xf numFmtId="3" fontId="92" fillId="0" borderId="21" xfId="0" applyNumberFormat="1" applyFont="1" applyBorder="1" applyAlignment="1">
      <alignment horizontal="right"/>
    </xf>
    <xf numFmtId="9" fontId="92" fillId="0" borderId="21" xfId="0" applyNumberFormat="1" applyFont="1" applyBorder="1" applyAlignment="1">
      <alignment horizontal="right"/>
    </xf>
    <xf numFmtId="3" fontId="87" fillId="0" borderId="27" xfId="0" applyNumberFormat="1" applyFont="1" applyBorder="1"/>
    <xf numFmtId="0" fontId="83" fillId="0" borderId="11" xfId="0" applyFont="1" applyBorder="1"/>
    <xf numFmtId="3" fontId="83" fillId="0" borderId="12" xfId="0" applyNumberFormat="1" applyFont="1" applyBorder="1"/>
    <xf numFmtId="3" fontId="83" fillId="0" borderId="11" xfId="0" applyNumberFormat="1" applyFont="1" applyBorder="1"/>
    <xf numFmtId="0" fontId="90" fillId="0" borderId="32" xfId="0" applyFont="1" applyBorder="1"/>
    <xf numFmtId="3" fontId="83" fillId="0" borderId="27" xfId="0" applyNumberFormat="1" applyFont="1" applyBorder="1"/>
    <xf numFmtId="9" fontId="90" fillId="0" borderId="15" xfId="0" applyNumberFormat="1" applyFont="1" applyBorder="1" applyAlignment="1">
      <alignment horizontal="right"/>
    </xf>
    <xf numFmtId="9" fontId="91" fillId="0" borderId="31" xfId="0" applyNumberFormat="1" applyFont="1" applyBorder="1"/>
    <xf numFmtId="9" fontId="90" fillId="0" borderId="12" xfId="0" applyNumberFormat="1" applyFont="1" applyBorder="1" applyAlignment="1">
      <alignment horizontal="right"/>
    </xf>
    <xf numFmtId="0" fontId="92" fillId="0" borderId="27" xfId="0" applyFont="1" applyBorder="1"/>
    <xf numFmtId="0" fontId="92" fillId="0" borderId="32" xfId="0" applyFont="1" applyBorder="1"/>
    <xf numFmtId="0" fontId="92" fillId="0" borderId="38" xfId="0" applyFont="1" applyBorder="1"/>
    <xf numFmtId="9" fontId="90" fillId="0" borderId="14" xfId="0" applyNumberFormat="1" applyFont="1" applyBorder="1" applyAlignment="1">
      <alignment horizontal="right"/>
    </xf>
    <xf numFmtId="0" fontId="89" fillId="0" borderId="64" xfId="0" applyFont="1" applyBorder="1"/>
    <xf numFmtId="3" fontId="92" fillId="0" borderId="15" xfId="0" applyNumberFormat="1" applyFont="1" applyBorder="1" applyAlignment="1">
      <alignment horizontal="right"/>
    </xf>
    <xf numFmtId="9" fontId="88" fillId="0" borderId="15" xfId="0" applyNumberFormat="1" applyFont="1" applyBorder="1"/>
    <xf numFmtId="0" fontId="90" fillId="0" borderId="27" xfId="0" applyFont="1" applyBorder="1"/>
    <xf numFmtId="3" fontId="88" fillId="0" borderId="27" xfId="0" applyNumberFormat="1" applyFont="1" applyBorder="1"/>
    <xf numFmtId="3" fontId="91" fillId="0" borderId="14" xfId="0" applyNumberFormat="1" applyFont="1" applyBorder="1" applyAlignment="1">
      <alignment horizontal="right"/>
    </xf>
    <xf numFmtId="0" fontId="89" fillId="0" borderId="68" xfId="0" applyFont="1" applyBorder="1"/>
    <xf numFmtId="3" fontId="89" fillId="0" borderId="18" xfId="0" applyNumberFormat="1" applyFont="1" applyBorder="1" applyAlignment="1">
      <alignment horizontal="right"/>
    </xf>
    <xf numFmtId="9" fontId="88" fillId="0" borderId="18" xfId="0" applyNumberFormat="1" applyFont="1" applyBorder="1"/>
    <xf numFmtId="0" fontId="89" fillId="0" borderId="69" xfId="0" applyFont="1" applyBorder="1"/>
    <xf numFmtId="3" fontId="89" fillId="0" borderId="21" xfId="0" applyNumberFormat="1" applyFont="1" applyBorder="1" applyAlignment="1">
      <alignment horizontal="right"/>
    </xf>
    <xf numFmtId="3" fontId="89" fillId="0" borderId="14" xfId="0" applyNumberFormat="1" applyFont="1" applyBorder="1" applyAlignment="1">
      <alignment horizontal="right"/>
    </xf>
    <xf numFmtId="9" fontId="88" fillId="0" borderId="21" xfId="0" applyNumberFormat="1" applyFont="1" applyBorder="1"/>
    <xf numFmtId="0" fontId="89" fillId="0" borderId="32" xfId="0" applyFont="1" applyBorder="1"/>
    <xf numFmtId="3" fontId="89" fillId="0" borderId="11" xfId="0" applyNumberFormat="1" applyFont="1" applyBorder="1" applyAlignment="1">
      <alignment horizontal="right"/>
    </xf>
    <xf numFmtId="3" fontId="89" fillId="0" borderId="12" xfId="0" applyNumberFormat="1" applyFont="1" applyBorder="1" applyAlignment="1">
      <alignment horizontal="right"/>
    </xf>
    <xf numFmtId="3" fontId="89" fillId="0" borderId="10" xfId="0" applyNumberFormat="1" applyFont="1" applyBorder="1" applyAlignment="1">
      <alignment horizontal="right"/>
    </xf>
    <xf numFmtId="9" fontId="83" fillId="0" borderId="21" xfId="0" applyNumberFormat="1" applyFont="1" applyBorder="1" applyAlignment="1">
      <alignment horizontal="right"/>
    </xf>
    <xf numFmtId="3" fontId="90" fillId="0" borderId="18" xfId="0" applyNumberFormat="1" applyFont="1" applyBorder="1" applyAlignment="1">
      <alignment horizontal="right"/>
    </xf>
    <xf numFmtId="9" fontId="90" fillId="0" borderId="18" xfId="0" applyNumberFormat="1" applyFont="1" applyBorder="1" applyAlignment="1">
      <alignment horizontal="right"/>
    </xf>
    <xf numFmtId="3" fontId="98" fillId="0" borderId="11" xfId="0" applyNumberFormat="1" applyFont="1" applyBorder="1" applyAlignment="1">
      <alignment horizontal="right"/>
    </xf>
    <xf numFmtId="0" fontId="89" fillId="0" borderId="38" xfId="0" applyFont="1" applyBorder="1"/>
    <xf numFmtId="3" fontId="98" fillId="0" borderId="14" xfId="0" applyNumberFormat="1" applyFont="1" applyBorder="1" applyAlignment="1">
      <alignment horizontal="right"/>
    </xf>
    <xf numFmtId="3" fontId="98" fillId="0" borderId="18" xfId="0" applyNumberFormat="1" applyFont="1" applyBorder="1" applyAlignment="1">
      <alignment horizontal="right"/>
    </xf>
    <xf numFmtId="0" fontId="90" fillId="0" borderId="18" xfId="0" applyFont="1" applyBorder="1" applyAlignment="1">
      <alignment horizontal="left" vertical="top"/>
    </xf>
    <xf numFmtId="3" fontId="90" fillId="0" borderId="39" xfId="0" applyNumberFormat="1" applyFont="1" applyBorder="1" applyAlignment="1">
      <alignment horizontal="right"/>
    </xf>
    <xf numFmtId="0" fontId="90" fillId="0" borderId="11" xfId="0" applyFont="1" applyBorder="1"/>
    <xf numFmtId="0" fontId="87" fillId="0" borderId="12" xfId="0" applyFont="1" applyBorder="1"/>
    <xf numFmtId="0" fontId="91" fillId="0" borderId="40" xfId="0" applyFont="1" applyBorder="1"/>
    <xf numFmtId="0" fontId="91" fillId="0" borderId="12" xfId="0" applyFont="1" applyBorder="1"/>
    <xf numFmtId="3" fontId="90" fillId="0" borderId="31" xfId="0" applyNumberFormat="1" applyFont="1" applyBorder="1" applyAlignment="1">
      <alignment horizontal="right"/>
    </xf>
    <xf numFmtId="3" fontId="87" fillId="0" borderId="12" xfId="0" applyNumberFormat="1" applyFont="1" applyBorder="1" applyAlignment="1">
      <alignment horizontal="right"/>
    </xf>
    <xf numFmtId="0" fontId="91" fillId="0" borderId="32" xfId="0" applyFont="1" applyBorder="1"/>
    <xf numFmtId="3" fontId="91" fillId="0" borderId="18" xfId="0" applyNumberFormat="1" applyFont="1" applyBorder="1" applyAlignment="1">
      <alignment horizontal="right"/>
    </xf>
    <xf numFmtId="0" fontId="91" fillId="0" borderId="16" xfId="0" applyFont="1" applyBorder="1"/>
    <xf numFmtId="3" fontId="94" fillId="0" borderId="11" xfId="0" applyNumberFormat="1" applyFont="1" applyBorder="1"/>
    <xf numFmtId="3" fontId="87" fillId="0" borderId="21" xfId="0" applyNumberFormat="1" applyFont="1" applyBorder="1"/>
    <xf numFmtId="3" fontId="95" fillId="0" borderId="14" xfId="0" applyNumberFormat="1" applyFont="1" applyBorder="1"/>
    <xf numFmtId="3" fontId="95" fillId="0" borderId="15" xfId="0" applyNumberFormat="1" applyFont="1" applyBorder="1" applyAlignment="1">
      <alignment horizontal="right"/>
    </xf>
    <xf numFmtId="3" fontId="96" fillId="0" borderId="11" xfId="0" applyNumberFormat="1" applyFont="1" applyBorder="1"/>
    <xf numFmtId="3" fontId="90" fillId="0" borderId="15" xfId="0" applyNumberFormat="1" applyFont="1" applyBorder="1" applyAlignment="1">
      <alignment horizontal="right" vertical="center"/>
    </xf>
    <xf numFmtId="3" fontId="90" fillId="0" borderId="14" xfId="0" applyNumberFormat="1" applyFont="1" applyBorder="1" applyAlignment="1">
      <alignment horizontal="right" vertical="center"/>
    </xf>
    <xf numFmtId="3" fontId="87" fillId="15" borderId="12" xfId="0" applyNumberFormat="1" applyFont="1" applyFill="1" applyBorder="1" applyAlignment="1">
      <alignment horizontal="right"/>
    </xf>
    <xf numFmtId="3" fontId="87" fillId="15" borderId="11" xfId="0" applyNumberFormat="1" applyFont="1" applyFill="1" applyBorder="1" applyAlignment="1">
      <alignment horizontal="right"/>
    </xf>
    <xf numFmtId="3" fontId="87" fillId="15" borderId="10" xfId="0" applyNumberFormat="1" applyFont="1" applyFill="1" applyBorder="1" applyAlignment="1">
      <alignment horizontal="right"/>
    </xf>
    <xf numFmtId="3" fontId="90" fillId="15" borderId="15" xfId="0" applyNumberFormat="1" applyFont="1" applyFill="1" applyBorder="1" applyAlignment="1">
      <alignment horizontal="right"/>
    </xf>
    <xf numFmtId="3" fontId="90" fillId="15" borderId="39" xfId="0" applyNumberFormat="1" applyFont="1" applyFill="1" applyBorder="1" applyAlignment="1">
      <alignment horizontal="right"/>
    </xf>
    <xf numFmtId="3" fontId="90" fillId="15" borderId="61" xfId="0" applyNumberFormat="1" applyFont="1" applyFill="1" applyBorder="1" applyAlignment="1">
      <alignment horizontal="right"/>
    </xf>
    <xf numFmtId="9" fontId="91" fillId="0" borderId="54" xfId="0" applyNumberFormat="1" applyFont="1" applyBorder="1"/>
    <xf numFmtId="3" fontId="90" fillId="15" borderId="11" xfId="0" applyNumberFormat="1" applyFont="1" applyFill="1" applyBorder="1" applyAlignment="1">
      <alignment horizontal="right"/>
    </xf>
    <xf numFmtId="0" fontId="90" fillId="0" borderId="27" xfId="0" applyFont="1" applyBorder="1" applyAlignment="1">
      <alignment horizontal="left"/>
    </xf>
    <xf numFmtId="3" fontId="90" fillId="15" borderId="12" xfId="0" applyNumberFormat="1" applyFont="1" applyFill="1" applyBorder="1" applyAlignment="1">
      <alignment horizontal="right"/>
    </xf>
    <xf numFmtId="0" fontId="92" fillId="0" borderId="16" xfId="38" applyFont="1" applyBorder="1"/>
    <xf numFmtId="0" fontId="87" fillId="0" borderId="16" xfId="38" applyFont="1" applyBorder="1"/>
    <xf numFmtId="0" fontId="87" fillId="0" borderId="10" xfId="38" applyFont="1" applyBorder="1"/>
    <xf numFmtId="0" fontId="87" fillId="0" borderId="14" xfId="38" applyFont="1" applyBorder="1"/>
    <xf numFmtId="0" fontId="95" fillId="0" borderId="15" xfId="38" applyFont="1" applyBorder="1"/>
    <xf numFmtId="0" fontId="95" fillId="0" borderId="38" xfId="38" applyFont="1" applyBorder="1"/>
    <xf numFmtId="0" fontId="93" fillId="0" borderId="38" xfId="38" applyFont="1" applyBorder="1" applyAlignment="1">
      <alignment vertical="center"/>
    </xf>
    <xf numFmtId="0" fontId="4" fillId="0" borderId="61" xfId="38" applyFont="1" applyBorder="1" applyAlignment="1">
      <alignment horizontal="center"/>
    </xf>
    <xf numFmtId="0" fontId="4" fillId="0" borderId="39" xfId="38" applyFont="1" applyBorder="1" applyAlignment="1">
      <alignment horizontal="center"/>
    </xf>
    <xf numFmtId="0" fontId="17" fillId="0" borderId="16" xfId="38" applyFont="1" applyBorder="1"/>
    <xf numFmtId="0" fontId="4" fillId="0" borderId="10" xfId="38" applyFont="1" applyBorder="1" applyAlignment="1">
      <alignment horizontal="center"/>
    </xf>
    <xf numFmtId="0" fontId="83" fillId="0" borderId="16" xfId="38" applyFont="1" applyBorder="1"/>
    <xf numFmtId="0" fontId="83" fillId="0" borderId="14" xfId="38" applyFont="1" applyBorder="1"/>
    <xf numFmtId="0" fontId="90" fillId="0" borderId="15" xfId="38" applyFont="1" applyBorder="1"/>
    <xf numFmtId="0" fontId="83" fillId="0" borderId="38" xfId="38" applyFont="1" applyBorder="1" applyAlignment="1">
      <alignment vertical="center"/>
    </xf>
    <xf numFmtId="0" fontId="95" fillId="0" borderId="39" xfId="38" applyFont="1" applyBorder="1" applyAlignment="1">
      <alignment vertical="center"/>
    </xf>
    <xf numFmtId="0" fontId="83" fillId="0" borderId="31" xfId="36" applyFont="1" applyBorder="1"/>
    <xf numFmtId="0" fontId="83" fillId="0" borderId="14" xfId="36" applyFont="1" applyBorder="1"/>
    <xf numFmtId="0" fontId="86" fillId="0" borderId="38" xfId="34" applyFont="1" applyBorder="1" applyAlignment="1">
      <alignment vertical="center"/>
    </xf>
    <xf numFmtId="0" fontId="83" fillId="0" borderId="15" xfId="36" applyFont="1" applyBorder="1"/>
    <xf numFmtId="0" fontId="99" fillId="0" borderId="39" xfId="34" applyFont="1" applyBorder="1"/>
    <xf numFmtId="0" fontId="83" fillId="0" borderId="16" xfId="34" applyFont="1" applyBorder="1" applyAlignment="1">
      <alignment horizontal="left"/>
    </xf>
    <xf numFmtId="0" fontId="83" fillId="0" borderId="10" xfId="34" applyFont="1" applyBorder="1" applyAlignment="1">
      <alignment horizontal="left"/>
    </xf>
    <xf numFmtId="0" fontId="83" fillId="0" borderId="14" xfId="34" applyFont="1" applyBorder="1" applyAlignment="1">
      <alignment horizontal="left"/>
    </xf>
    <xf numFmtId="0" fontId="95" fillId="0" borderId="14" xfId="34" applyFont="1" applyBorder="1" applyAlignment="1">
      <alignment horizontal="left"/>
    </xf>
    <xf numFmtId="0" fontId="95" fillId="0" borderId="39" xfId="34" applyFont="1" applyBorder="1" applyAlignment="1">
      <alignment horizontal="left"/>
    </xf>
    <xf numFmtId="0" fontId="100" fillId="0" borderId="39" xfId="34" applyFont="1" applyBorder="1" applyAlignment="1">
      <alignment horizontal="left"/>
    </xf>
    <xf numFmtId="0" fontId="100" fillId="0" borderId="31" xfId="38" applyFont="1" applyBorder="1"/>
    <xf numFmtId="0" fontId="100" fillId="0" borderId="31" xfId="38" applyFont="1" applyBorder="1" applyProtection="1">
      <protection locked="0"/>
    </xf>
    <xf numFmtId="0" fontId="100" fillId="0" borderId="16" xfId="38" applyFont="1" applyBorder="1" applyProtection="1">
      <protection locked="0"/>
    </xf>
    <xf numFmtId="0" fontId="87" fillId="0" borderId="38" xfId="38" applyFont="1" applyBorder="1" applyAlignment="1">
      <alignment vertical="center"/>
    </xf>
    <xf numFmtId="0" fontId="90" fillId="0" borderId="39" xfId="38" applyFont="1" applyBorder="1" applyAlignment="1">
      <alignment vertical="center"/>
    </xf>
    <xf numFmtId="0" fontId="97" fillId="0" borderId="38" xfId="34" applyFont="1" applyBorder="1" applyAlignment="1">
      <alignment vertical="center"/>
    </xf>
    <xf numFmtId="3" fontId="100" fillId="0" borderId="31" xfId="38" applyNumberFormat="1" applyFont="1" applyBorder="1" applyAlignment="1" applyProtection="1">
      <alignment horizontal="left"/>
      <protection locked="0"/>
    </xf>
    <xf numFmtId="0" fontId="99" fillId="0" borderId="39" xfId="34" applyFont="1" applyBorder="1" applyAlignment="1">
      <alignment vertical="center"/>
    </xf>
    <xf numFmtId="0" fontId="101" fillId="0" borderId="31" xfId="38" applyFont="1" applyBorder="1" applyProtection="1">
      <protection locked="0"/>
    </xf>
    <xf numFmtId="0" fontId="83" fillId="0" borderId="10" xfId="36" applyFont="1" applyBorder="1"/>
    <xf numFmtId="0" fontId="95" fillId="0" borderId="16" xfId="34" applyFont="1" applyBorder="1" applyAlignment="1">
      <alignment horizontal="left"/>
    </xf>
    <xf numFmtId="0" fontId="83" fillId="0" borderId="40" xfId="38" applyFont="1" applyBorder="1" applyAlignment="1">
      <alignment vertical="center"/>
    </xf>
    <xf numFmtId="0" fontId="95" fillId="0" borderId="14" xfId="36" applyFont="1" applyBorder="1"/>
    <xf numFmtId="0" fontId="83" fillId="0" borderId="21" xfId="36" applyFont="1" applyBorder="1"/>
    <xf numFmtId="0" fontId="83" fillId="0" borderId="38" xfId="34" applyFont="1" applyBorder="1" applyAlignment="1">
      <alignment horizontal="left"/>
    </xf>
    <xf numFmtId="0" fontId="92" fillId="0" borderId="27" xfId="34" applyFont="1" applyBorder="1" applyAlignment="1">
      <alignment horizontal="left"/>
    </xf>
    <xf numFmtId="0" fontId="83" fillId="0" borderId="38" xfId="36" applyFont="1" applyBorder="1"/>
    <xf numFmtId="0" fontId="83" fillId="0" borderId="16" xfId="38" applyFont="1" applyBorder="1" applyAlignment="1">
      <alignment vertical="center"/>
    </xf>
    <xf numFmtId="3" fontId="10" fillId="0" borderId="12" xfId="0" applyNumberFormat="1" applyFont="1" applyBorder="1"/>
    <xf numFmtId="3" fontId="14" fillId="0" borderId="61" xfId="36" applyNumberFormat="1" applyFont="1" applyBorder="1"/>
    <xf numFmtId="9" fontId="14" fillId="0" borderId="54" xfId="36" applyNumberFormat="1" applyFont="1" applyBorder="1"/>
    <xf numFmtId="0" fontId="43" fillId="0" borderId="61" xfId="36" applyFont="1" applyBorder="1" applyAlignment="1">
      <alignment vertical="center"/>
    </xf>
    <xf numFmtId="3" fontId="5" fillId="0" borderId="20" xfId="0" applyNumberFormat="1" applyFont="1" applyBorder="1"/>
    <xf numFmtId="3" fontId="87" fillId="0" borderId="20" xfId="0" applyNumberFormat="1" applyFont="1" applyBorder="1"/>
    <xf numFmtId="3" fontId="92" fillId="0" borderId="20" xfId="0" applyNumberFormat="1" applyFont="1" applyBorder="1"/>
    <xf numFmtId="3" fontId="90" fillId="0" borderId="14" xfId="0" applyNumberFormat="1" applyFont="1" applyBorder="1"/>
    <xf numFmtId="3" fontId="90" fillId="0" borderId="20" xfId="0" applyNumberFormat="1" applyFont="1" applyBorder="1"/>
    <xf numFmtId="3" fontId="83" fillId="0" borderId="20" xfId="0" applyNumberFormat="1" applyFont="1" applyBorder="1"/>
    <xf numFmtId="3" fontId="83" fillId="0" borderId="14" xfId="0" applyNumberFormat="1" applyFont="1" applyBorder="1"/>
    <xf numFmtId="3" fontId="90" fillId="0" borderId="15" xfId="0" applyNumberFormat="1" applyFont="1" applyBorder="1"/>
    <xf numFmtId="3" fontId="91" fillId="0" borderId="20" xfId="0" applyNumberFormat="1" applyFont="1" applyBorder="1"/>
    <xf numFmtId="3" fontId="88" fillId="0" borderId="20" xfId="0" applyNumberFormat="1" applyFont="1" applyBorder="1"/>
    <xf numFmtId="3" fontId="89" fillId="0" borderId="20" xfId="0" applyNumberFormat="1" applyFont="1" applyBorder="1"/>
    <xf numFmtId="3" fontId="52" fillId="0" borderId="20" xfId="0" applyNumberFormat="1" applyFont="1" applyBorder="1"/>
    <xf numFmtId="3" fontId="13" fillId="0" borderId="20" xfId="0" applyNumberFormat="1" applyFont="1" applyBorder="1"/>
    <xf numFmtId="3" fontId="4" fillId="0" borderId="15" xfId="0" applyNumberFormat="1" applyFont="1" applyBorder="1"/>
    <xf numFmtId="3" fontId="4" fillId="0" borderId="14" xfId="0" applyNumberFormat="1" applyFont="1" applyBorder="1"/>
    <xf numFmtId="3" fontId="82" fillId="0" borderId="0" xfId="36" applyNumberFormat="1" applyFont="1"/>
    <xf numFmtId="3" fontId="82" fillId="0" borderId="12" xfId="36" applyNumberFormat="1" applyFont="1" applyBorder="1"/>
    <xf numFmtId="3" fontId="82" fillId="0" borderId="0" xfId="0" applyNumberFormat="1" applyFont="1"/>
    <xf numFmtId="0" fontId="102" fillId="0" borderId="0" xfId="0" applyFont="1"/>
    <xf numFmtId="164" fontId="5" fillId="0" borderId="0" xfId="26" applyFont="1" applyAlignment="1">
      <alignment horizontal="right"/>
    </xf>
    <xf numFmtId="3" fontId="11" fillId="0" borderId="16" xfId="38" applyNumberFormat="1" applyFont="1" applyBorder="1" applyAlignment="1">
      <alignment horizontal="right"/>
    </xf>
    <xf numFmtId="3" fontId="11" fillId="0" borderId="38" xfId="38" applyNumberFormat="1" applyFont="1" applyBorder="1"/>
    <xf numFmtId="3" fontId="14" fillId="0" borderId="14" xfId="38" applyNumberFormat="1" applyFont="1" applyBorder="1"/>
    <xf numFmtId="3" fontId="12" fillId="0" borderId="16" xfId="38" applyNumberFormat="1" applyFont="1" applyBorder="1" applyAlignment="1">
      <alignment horizontal="right"/>
    </xf>
    <xf numFmtId="0" fontId="11" fillId="0" borderId="10" xfId="38" applyFont="1" applyBorder="1" applyAlignment="1">
      <alignment horizontal="right"/>
    </xf>
    <xf numFmtId="0" fontId="14" fillId="0" borderId="15" xfId="38" applyFont="1" applyBorder="1" applyAlignment="1">
      <alignment horizontal="right"/>
    </xf>
    <xf numFmtId="3" fontId="5" fillId="0" borderId="10" xfId="38" applyNumberFormat="1" applyFont="1" applyBorder="1" applyAlignment="1">
      <alignment horizontal="right"/>
    </xf>
    <xf numFmtId="3" fontId="4" fillId="0" borderId="15" xfId="38" applyNumberFormat="1" applyFont="1" applyBorder="1" applyAlignment="1">
      <alignment horizontal="right"/>
    </xf>
    <xf numFmtId="3" fontId="4" fillId="0" borderId="14" xfId="38" applyNumberFormat="1" applyFont="1" applyBorder="1" applyAlignment="1">
      <alignment horizontal="right" vertical="center"/>
    </xf>
    <xf numFmtId="3" fontId="4" fillId="0" borderId="39" xfId="38" applyNumberFormat="1" applyFont="1" applyBorder="1" applyAlignment="1">
      <alignment horizontal="right"/>
    </xf>
    <xf numFmtId="0" fontId="11" fillId="0" borderId="38" xfId="38" applyFont="1" applyBorder="1"/>
    <xf numFmtId="0" fontId="14" fillId="0" borderId="38" xfId="38" applyFont="1" applyBorder="1"/>
    <xf numFmtId="3" fontId="11" fillId="0" borderId="38" xfId="38" applyNumberFormat="1" applyFont="1" applyBorder="1" applyAlignment="1">
      <alignment horizontal="right"/>
    </xf>
    <xf numFmtId="3" fontId="14" fillId="0" borderId="38" xfId="38" applyNumberFormat="1" applyFont="1" applyBorder="1" applyAlignment="1">
      <alignment horizontal="right"/>
    </xf>
    <xf numFmtId="3" fontId="11" fillId="0" borderId="38" xfId="38" applyNumberFormat="1" applyFont="1" applyBorder="1" applyAlignment="1">
      <alignment horizontal="right" vertical="center"/>
    </xf>
    <xf numFmtId="3" fontId="14" fillId="0" borderId="38" xfId="38" applyNumberFormat="1" applyFont="1" applyBorder="1" applyAlignment="1">
      <alignment horizontal="right" vertical="center"/>
    </xf>
    <xf numFmtId="3" fontId="4" fillId="0" borderId="38" xfId="38" applyNumberFormat="1" applyFont="1" applyBorder="1" applyAlignment="1">
      <alignment horizontal="right" vertical="center"/>
    </xf>
    <xf numFmtId="3" fontId="14" fillId="0" borderId="39" xfId="38" applyNumberFormat="1" applyFont="1" applyBorder="1" applyAlignment="1">
      <alignment horizontal="right"/>
    </xf>
    <xf numFmtId="3" fontId="12" fillId="0" borderId="10" xfId="38" applyNumberFormat="1" applyFont="1" applyBorder="1" applyAlignment="1">
      <alignment horizontal="right" vertical="center"/>
    </xf>
    <xf numFmtId="3" fontId="14" fillId="0" borderId="38" xfId="38" applyNumberFormat="1" applyFont="1" applyBorder="1"/>
    <xf numFmtId="3" fontId="11" fillId="0" borderId="16" xfId="38" applyNumberFormat="1" applyFont="1" applyBorder="1"/>
    <xf numFmtId="3" fontId="5" fillId="15" borderId="12" xfId="0" applyNumberFormat="1" applyFont="1" applyFill="1" applyBorder="1" applyAlignment="1">
      <alignment horizontal="right"/>
    </xf>
    <xf numFmtId="0" fontId="4" fillId="0" borderId="27" xfId="0" applyFont="1" applyBorder="1" applyAlignment="1">
      <alignment horizontal="left"/>
    </xf>
    <xf numFmtId="3" fontId="15" fillId="0" borderId="10" xfId="0" applyNumberFormat="1" applyFont="1" applyBorder="1" applyAlignment="1">
      <alignment horizontal="right"/>
    </xf>
    <xf numFmtId="3" fontId="13" fillId="0" borderId="12" xfId="0" applyNumberFormat="1" applyFont="1" applyBorder="1" applyAlignment="1">
      <alignment horizontal="right"/>
    </xf>
    <xf numFmtId="3" fontId="13" fillId="0" borderId="14" xfId="0" applyNumberFormat="1" applyFont="1" applyBorder="1" applyAlignment="1">
      <alignment horizontal="right"/>
    </xf>
    <xf numFmtId="3" fontId="11" fillId="0" borderId="11" xfId="0" applyNumberFormat="1" applyFont="1" applyBorder="1" applyAlignment="1">
      <alignment horizontal="right"/>
    </xf>
    <xf numFmtId="3" fontId="5" fillId="0" borderId="10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/>
    </xf>
    <xf numFmtId="0" fontId="4" fillId="0" borderId="32" xfId="0" applyFont="1" applyBorder="1"/>
    <xf numFmtId="0" fontId="15" fillId="0" borderId="39" xfId="0" applyFont="1" applyBorder="1"/>
    <xf numFmtId="0" fontId="62" fillId="0" borderId="0" xfId="53" applyFont="1" applyAlignment="1">
      <alignment vertical="center"/>
    </xf>
    <xf numFmtId="3" fontId="63" fillId="0" borderId="74" xfId="52" applyNumberFormat="1" applyFont="1" applyBorder="1"/>
    <xf numFmtId="3" fontId="63" fillId="0" borderId="72" xfId="52" applyNumberFormat="1" applyFont="1" applyBorder="1"/>
    <xf numFmtId="3" fontId="64" fillId="0" borderId="67" xfId="52" applyNumberFormat="1" applyFont="1" applyBorder="1"/>
    <xf numFmtId="3" fontId="63" fillId="0" borderId="66" xfId="52" applyNumberFormat="1" applyFont="1" applyBorder="1"/>
    <xf numFmtId="3" fontId="64" fillId="0" borderId="78" xfId="52" applyNumberFormat="1" applyFont="1" applyBorder="1"/>
    <xf numFmtId="3" fontId="51" fillId="0" borderId="74" xfId="52" applyNumberFormat="1" applyFont="1" applyBorder="1"/>
    <xf numFmtId="3" fontId="51" fillId="0" borderId="76" xfId="52" applyNumberFormat="1" applyFont="1" applyBorder="1"/>
    <xf numFmtId="3" fontId="51" fillId="0" borderId="76" xfId="52" applyNumberFormat="1" applyFont="1" applyBorder="1" applyAlignment="1">
      <alignment vertical="center"/>
    </xf>
    <xf numFmtId="3" fontId="51" fillId="0" borderId="89" xfId="52" applyNumberFormat="1" applyFont="1" applyBorder="1" applyAlignment="1">
      <alignment vertical="center"/>
    </xf>
    <xf numFmtId="3" fontId="80" fillId="0" borderId="76" xfId="52" applyNumberFormat="1" applyFont="1" applyBorder="1" applyAlignment="1">
      <alignment vertical="center"/>
    </xf>
    <xf numFmtId="3" fontId="80" fillId="0" borderId="89" xfId="52" applyNumberFormat="1" applyFont="1" applyBorder="1"/>
    <xf numFmtId="3" fontId="6" fillId="0" borderId="84" xfId="0" applyNumberFormat="1" applyFont="1" applyBorder="1" applyAlignment="1">
      <alignment horizontal="center"/>
    </xf>
    <xf numFmtId="3" fontId="6" fillId="0" borderId="77" xfId="0" applyNumberFormat="1" applyFont="1" applyBorder="1" applyAlignment="1">
      <alignment horizontal="center"/>
    </xf>
    <xf numFmtId="3" fontId="6" fillId="0" borderId="75" xfId="0" applyNumberFormat="1" applyFont="1" applyBorder="1" applyAlignment="1">
      <alignment horizontal="center"/>
    </xf>
    <xf numFmtId="3" fontId="81" fillId="0" borderId="76" xfId="0" applyNumberFormat="1" applyFont="1" applyBorder="1" applyAlignment="1">
      <alignment horizontal="center"/>
    </xf>
    <xf numFmtId="3" fontId="6" fillId="0" borderId="75" xfId="0" applyNumberFormat="1" applyFont="1" applyBorder="1"/>
    <xf numFmtId="3" fontId="10" fillId="0" borderId="72" xfId="0" applyNumberFormat="1" applyFont="1" applyBorder="1"/>
    <xf numFmtId="3" fontId="0" fillId="0" borderId="75" xfId="0" applyNumberFormat="1" applyBorder="1"/>
    <xf numFmtId="3" fontId="0" fillId="0" borderId="72" xfId="0" applyNumberFormat="1" applyBorder="1"/>
    <xf numFmtId="3" fontId="6" fillId="0" borderId="72" xfId="0" applyNumberFormat="1" applyFont="1" applyBorder="1"/>
    <xf numFmtId="3" fontId="59" fillId="0" borderId="72" xfId="0" applyNumberFormat="1" applyFont="1" applyBorder="1"/>
    <xf numFmtId="3" fontId="3" fillId="0" borderId="75" xfId="0" applyNumberFormat="1" applyFont="1" applyBorder="1"/>
    <xf numFmtId="3" fontId="0" fillId="0" borderId="80" xfId="0" applyNumberFormat="1" applyBorder="1"/>
    <xf numFmtId="3" fontId="0" fillId="15" borderId="13" xfId="0" applyNumberFormat="1" applyFill="1" applyBorder="1"/>
    <xf numFmtId="3" fontId="0" fillId="0" borderId="13" xfId="0" applyNumberFormat="1" applyBorder="1"/>
    <xf numFmtId="3" fontId="0" fillId="0" borderId="78" xfId="0" applyNumberFormat="1" applyBorder="1"/>
    <xf numFmtId="3" fontId="6" fillId="0" borderId="61" xfId="0" applyNumberFormat="1" applyFont="1" applyBorder="1"/>
    <xf numFmtId="3" fontId="6" fillId="0" borderId="15" xfId="0" applyNumberFormat="1" applyFont="1" applyBorder="1"/>
    <xf numFmtId="3" fontId="6" fillId="0" borderId="54" xfId="0" applyNumberFormat="1" applyFont="1" applyBorder="1"/>
    <xf numFmtId="0" fontId="10" fillId="0" borderId="11" xfId="0" applyFont="1" applyBorder="1" applyAlignment="1">
      <alignment horizontal="left" vertical="center"/>
    </xf>
    <xf numFmtId="0" fontId="4" fillId="0" borderId="88" xfId="0" applyFont="1" applyBorder="1" applyAlignment="1">
      <alignment horizontal="center"/>
    </xf>
    <xf numFmtId="0" fontId="4" fillId="0" borderId="31" xfId="0" applyFont="1" applyBorder="1"/>
    <xf numFmtId="3" fontId="4" fillId="0" borderId="74" xfId="0" applyNumberFormat="1" applyFont="1" applyBorder="1" applyAlignment="1">
      <alignment horizontal="center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14" fillId="0" borderId="73" xfId="0" applyFont="1" applyBorder="1" applyAlignment="1">
      <alignment horizontal="center"/>
    </xf>
    <xf numFmtId="0" fontId="4" fillId="0" borderId="89" xfId="0" applyFont="1" applyBorder="1" applyAlignment="1">
      <alignment horizontal="center"/>
    </xf>
    <xf numFmtId="0" fontId="4" fillId="0" borderId="64" xfId="0" applyFont="1" applyBorder="1" applyAlignment="1">
      <alignment horizontal="center"/>
    </xf>
    <xf numFmtId="0" fontId="4" fillId="0" borderId="15" xfId="0" applyFont="1" applyBorder="1" applyAlignment="1">
      <alignment horizontal="center" vertical="top"/>
    </xf>
    <xf numFmtId="3" fontId="4" fillId="0" borderId="39" xfId="0" applyNumberFormat="1" applyFont="1" applyBorder="1" applyAlignment="1">
      <alignment horizontal="center"/>
    </xf>
    <xf numFmtId="3" fontId="4" fillId="0" borderId="89" xfId="0" applyNumberFormat="1" applyFont="1" applyBorder="1" applyAlignment="1">
      <alignment horizontal="center"/>
    </xf>
    <xf numFmtId="0" fontId="4" fillId="0" borderId="84" xfId="0" applyFont="1" applyBorder="1" applyAlignment="1">
      <alignment horizontal="center"/>
    </xf>
    <xf numFmtId="0" fontId="14" fillId="0" borderId="77" xfId="0" applyFont="1" applyBorder="1" applyAlignment="1">
      <alignment horizontal="center"/>
    </xf>
    <xf numFmtId="0" fontId="5" fillId="0" borderId="76" xfId="0" applyFont="1" applyBorder="1"/>
    <xf numFmtId="0" fontId="11" fillId="0" borderId="71" xfId="0" applyFont="1" applyBorder="1" applyAlignment="1">
      <alignment horizontal="center"/>
    </xf>
    <xf numFmtId="0" fontId="5" fillId="0" borderId="76" xfId="0" applyFont="1" applyBorder="1" applyAlignment="1">
      <alignment horizontal="center"/>
    </xf>
    <xf numFmtId="0" fontId="11" fillId="0" borderId="83" xfId="0" applyFont="1" applyBorder="1" applyAlignment="1">
      <alignment horizontal="center"/>
    </xf>
    <xf numFmtId="3" fontId="11" fillId="0" borderId="76" xfId="0" applyNumberFormat="1" applyFont="1" applyBorder="1" applyAlignment="1">
      <alignment horizontal="center"/>
    </xf>
    <xf numFmtId="3" fontId="11" fillId="0" borderId="82" xfId="0" applyNumberFormat="1" applyFont="1" applyBorder="1" applyAlignment="1">
      <alignment horizontal="center"/>
    </xf>
    <xf numFmtId="3" fontId="14" fillId="0" borderId="82" xfId="0" applyNumberFormat="1" applyFont="1" applyBorder="1" applyAlignment="1">
      <alignment horizontal="center"/>
    </xf>
    <xf numFmtId="0" fontId="4" fillId="0" borderId="75" xfId="0" applyFont="1" applyBorder="1" applyAlignment="1">
      <alignment horizontal="center"/>
    </xf>
    <xf numFmtId="0" fontId="11" fillId="0" borderId="81" xfId="0" applyFont="1" applyBorder="1"/>
    <xf numFmtId="0" fontId="4" fillId="0" borderId="83" xfId="0" applyFont="1" applyBorder="1" applyAlignment="1">
      <alignment horizontal="center"/>
    </xf>
    <xf numFmtId="0" fontId="4" fillId="0" borderId="82" xfId="0" applyFont="1" applyBorder="1"/>
    <xf numFmtId="0" fontId="5" fillId="0" borderId="83" xfId="0" applyFont="1" applyBorder="1" applyAlignment="1">
      <alignment horizontal="center"/>
    </xf>
    <xf numFmtId="0" fontId="12" fillId="0" borderId="76" xfId="0" applyFont="1" applyBorder="1"/>
    <xf numFmtId="0" fontId="13" fillId="0" borderId="83" xfId="0" applyFont="1" applyBorder="1" applyAlignment="1">
      <alignment horizontal="center"/>
    </xf>
    <xf numFmtId="3" fontId="14" fillId="0" borderId="76" xfId="0" applyNumberFormat="1" applyFont="1" applyBorder="1" applyAlignment="1">
      <alignment horizontal="center"/>
    </xf>
    <xf numFmtId="0" fontId="13" fillId="0" borderId="7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77" xfId="0" applyFont="1" applyBorder="1"/>
    <xf numFmtId="0" fontId="5" fillId="0" borderId="71" xfId="0" applyFont="1" applyBorder="1" applyAlignment="1">
      <alignment horizontal="center"/>
    </xf>
    <xf numFmtId="0" fontId="4" fillId="0" borderId="79" xfId="0" applyFont="1" applyBorder="1" applyAlignment="1">
      <alignment horizontal="center"/>
    </xf>
    <xf numFmtId="0" fontId="14" fillId="0" borderId="72" xfId="0" applyFont="1" applyBorder="1"/>
    <xf numFmtId="0" fontId="4" fillId="0" borderId="76" xfId="0" applyFont="1" applyBorder="1"/>
    <xf numFmtId="0" fontId="11" fillId="0" borderId="82" xfId="0" applyFont="1" applyBorder="1"/>
    <xf numFmtId="3" fontId="11" fillId="0" borderId="82" xfId="0" applyNumberFormat="1" applyFont="1" applyBorder="1" applyAlignment="1">
      <alignment horizontal="left"/>
    </xf>
    <xf numFmtId="0" fontId="14" fillId="0" borderId="75" xfId="0" applyFont="1" applyBorder="1" applyAlignment="1">
      <alignment horizontal="center"/>
    </xf>
    <xf numFmtId="0" fontId="4" fillId="0" borderId="72" xfId="0" applyFont="1" applyBorder="1"/>
    <xf numFmtId="0" fontId="4" fillId="0" borderId="71" xfId="0" applyFont="1" applyBorder="1" applyAlignment="1">
      <alignment horizontal="left"/>
    </xf>
    <xf numFmtId="0" fontId="4" fillId="0" borderId="86" xfId="0" applyFont="1" applyBorder="1"/>
    <xf numFmtId="3" fontId="4" fillId="0" borderId="82" xfId="0" applyNumberFormat="1" applyFont="1" applyBorder="1"/>
    <xf numFmtId="0" fontId="5" fillId="0" borderId="73" xfId="0" applyFont="1" applyBorder="1" applyAlignment="1">
      <alignment horizontal="center"/>
    </xf>
    <xf numFmtId="0" fontId="14" fillId="0" borderId="14" xfId="0" applyFont="1" applyBorder="1"/>
    <xf numFmtId="3" fontId="14" fillId="0" borderId="14" xfId="0" applyNumberFormat="1" applyFont="1" applyBorder="1"/>
    <xf numFmtId="3" fontId="14" fillId="0" borderId="38" xfId="0" applyNumberFormat="1" applyFont="1" applyBorder="1"/>
    <xf numFmtId="9" fontId="15" fillId="0" borderId="14" xfId="0" applyNumberFormat="1" applyFont="1" applyBorder="1"/>
    <xf numFmtId="3" fontId="4" fillId="0" borderId="87" xfId="0" applyNumberFormat="1" applyFont="1" applyBorder="1"/>
    <xf numFmtId="0" fontId="5" fillId="0" borderId="61" xfId="0" applyFont="1" applyBorder="1" applyAlignment="1">
      <alignment horizontal="center"/>
    </xf>
    <xf numFmtId="3" fontId="14" fillId="15" borderId="15" xfId="0" applyNumberFormat="1" applyFont="1" applyFill="1" applyBorder="1" applyAlignment="1">
      <alignment horizontal="right"/>
    </xf>
    <xf numFmtId="0" fontId="5" fillId="0" borderId="54" xfId="0" applyFont="1" applyBorder="1"/>
    <xf numFmtId="0" fontId="6" fillId="0" borderId="11" xfId="0" applyFont="1" applyBorder="1" applyAlignment="1">
      <alignment horizontal="left"/>
    </xf>
    <xf numFmtId="0" fontId="4" fillId="0" borderId="77" xfId="0" applyFont="1" applyBorder="1"/>
    <xf numFmtId="0" fontId="5" fillId="0" borderId="76" xfId="0" applyFont="1" applyBorder="1" applyAlignment="1">
      <alignment horizontal="center" vertical="center"/>
    </xf>
    <xf numFmtId="0" fontId="5" fillId="0" borderId="72" xfId="0" applyFont="1" applyBorder="1"/>
    <xf numFmtId="0" fontId="83" fillId="0" borderId="0" xfId="0" applyFont="1" applyAlignment="1">
      <alignment horizontal="left" vertical="top"/>
    </xf>
    <xf numFmtId="0" fontId="47" fillId="0" borderId="76" xfId="0" applyFont="1" applyBorder="1"/>
    <xf numFmtId="0" fontId="4" fillId="0" borderId="80" xfId="0" applyFont="1" applyBorder="1" applyAlignment="1">
      <alignment horizontal="center"/>
    </xf>
    <xf numFmtId="0" fontId="14" fillId="0" borderId="78" xfId="0" applyFont="1" applyBorder="1"/>
    <xf numFmtId="0" fontId="11" fillId="0" borderId="76" xfId="0" applyFont="1" applyBorder="1"/>
    <xf numFmtId="0" fontId="14" fillId="0" borderId="76" xfId="0" applyFont="1" applyBorder="1"/>
    <xf numFmtId="0" fontId="14" fillId="0" borderId="77" xfId="0" applyFont="1" applyBorder="1"/>
    <xf numFmtId="0" fontId="5" fillId="0" borderId="82" xfId="0" applyFont="1" applyBorder="1"/>
    <xf numFmtId="9" fontId="91" fillId="0" borderId="10" xfId="0" applyNumberFormat="1" applyFont="1" applyBorder="1"/>
    <xf numFmtId="0" fontId="7" fillId="0" borderId="88" xfId="0" applyFont="1" applyBorder="1"/>
    <xf numFmtId="0" fontId="6" fillId="0" borderId="40" xfId="0" applyFont="1" applyBorder="1" applyAlignment="1">
      <alignment horizontal="centerContinuous" vertical="top"/>
    </xf>
    <xf numFmtId="0" fontId="6" fillId="0" borderId="83" xfId="0" applyFont="1" applyBorder="1"/>
    <xf numFmtId="0" fontId="6" fillId="0" borderId="91" xfId="0" applyFont="1" applyBorder="1"/>
    <xf numFmtId="0" fontId="6" fillId="0" borderId="14" xfId="0" applyFont="1" applyBorder="1" applyAlignment="1">
      <alignment horizontal="centerContinuous" vertical="top"/>
    </xf>
    <xf numFmtId="0" fontId="6" fillId="0" borderId="61" xfId="0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/>
    </xf>
    <xf numFmtId="0" fontId="90" fillId="0" borderId="61" xfId="0" applyFont="1" applyBorder="1" applyAlignment="1">
      <alignment horizontal="center"/>
    </xf>
    <xf numFmtId="0" fontId="14" fillId="0" borderId="60" xfId="0" applyFont="1" applyBorder="1"/>
    <xf numFmtId="3" fontId="4" fillId="0" borderId="20" xfId="0" applyNumberFormat="1" applyFont="1" applyBorder="1"/>
    <xf numFmtId="9" fontId="5" fillId="0" borderId="10" xfId="45" applyFont="1" applyFill="1" applyBorder="1"/>
    <xf numFmtId="9" fontId="87" fillId="0" borderId="10" xfId="45" applyFont="1" applyFill="1" applyBorder="1"/>
    <xf numFmtId="9" fontId="87" fillId="0" borderId="14" xfId="45" applyFont="1" applyFill="1" applyBorder="1"/>
    <xf numFmtId="3" fontId="90" fillId="0" borderId="20" xfId="0" applyNumberFormat="1" applyFont="1" applyBorder="1" applyAlignment="1">
      <alignment horizontal="center"/>
    </xf>
    <xf numFmtId="3" fontId="15" fillId="0" borderId="20" xfId="0" applyNumberFormat="1" applyFont="1" applyBorder="1"/>
    <xf numFmtId="165" fontId="4" fillId="0" borderId="0" xfId="0" applyNumberFormat="1" applyFont="1" applyAlignment="1">
      <alignment horizontal="right"/>
    </xf>
    <xf numFmtId="0" fontId="4" fillId="0" borderId="70" xfId="0" applyFont="1" applyBorder="1" applyAlignment="1">
      <alignment horizontal="center"/>
    </xf>
    <xf numFmtId="0" fontId="4" fillId="0" borderId="40" xfId="0" applyFont="1" applyBorder="1"/>
    <xf numFmtId="0" fontId="4" fillId="0" borderId="73" xfId="0" applyFont="1" applyBorder="1" applyAlignment="1">
      <alignment horizontal="center"/>
    </xf>
    <xf numFmtId="9" fontId="88" fillId="0" borderId="42" xfId="0" applyNumberFormat="1" applyFont="1" applyBorder="1"/>
    <xf numFmtId="3" fontId="91" fillId="0" borderId="12" xfId="0" applyNumberFormat="1" applyFont="1" applyBorder="1" applyAlignment="1">
      <alignment horizontal="right"/>
    </xf>
    <xf numFmtId="0" fontId="14" fillId="0" borderId="0" xfId="38" applyFont="1" applyAlignment="1">
      <alignment horizontal="right"/>
    </xf>
    <xf numFmtId="3" fontId="11" fillId="0" borderId="10" xfId="38" applyNumberFormat="1" applyFont="1" applyBorder="1" applyAlignment="1">
      <alignment horizontal="right"/>
    </xf>
    <xf numFmtId="0" fontId="11" fillId="0" borderId="14" xfId="38" applyFont="1" applyBorder="1"/>
    <xf numFmtId="0" fontId="14" fillId="0" borderId="14" xfId="38" applyFont="1" applyBorder="1"/>
    <xf numFmtId="3" fontId="12" fillId="0" borderId="10" xfId="38" applyNumberFormat="1" applyFont="1" applyBorder="1" applyAlignment="1">
      <alignment horizontal="right"/>
    </xf>
    <xf numFmtId="3" fontId="11" fillId="0" borderId="14" xfId="38" applyNumberFormat="1" applyFont="1" applyBorder="1" applyAlignment="1">
      <alignment horizontal="right"/>
    </xf>
    <xf numFmtId="3" fontId="14" fillId="0" borderId="14" xfId="38" applyNumberFormat="1" applyFont="1" applyBorder="1" applyAlignment="1">
      <alignment horizontal="right"/>
    </xf>
    <xf numFmtId="3" fontId="11" fillId="0" borderId="14" xfId="38" applyNumberFormat="1" applyFont="1" applyBorder="1" applyAlignment="1">
      <alignment horizontal="right" vertical="center"/>
    </xf>
    <xf numFmtId="3" fontId="14" fillId="0" borderId="14" xfId="38" applyNumberFormat="1" applyFont="1" applyBorder="1" applyAlignment="1">
      <alignment horizontal="right" vertical="center"/>
    </xf>
    <xf numFmtId="3" fontId="14" fillId="0" borderId="15" xfId="38" applyNumberFormat="1" applyFont="1" applyBorder="1" applyAlignment="1">
      <alignment horizontal="right"/>
    </xf>
    <xf numFmtId="3" fontId="11" fillId="0" borderId="14" xfId="38" applyNumberFormat="1" applyFont="1" applyBorder="1"/>
    <xf numFmtId="3" fontId="11" fillId="0" borderId="10" xfId="38" applyNumberFormat="1" applyFont="1" applyBorder="1"/>
    <xf numFmtId="0" fontId="5" fillId="0" borderId="0" xfId="38" applyFont="1" applyAlignment="1">
      <alignment horizontal="center"/>
    </xf>
    <xf numFmtId="0" fontId="5" fillId="0" borderId="0" xfId="38" applyFont="1"/>
    <xf numFmtId="3" fontId="17" fillId="0" borderId="83" xfId="38" applyNumberFormat="1" applyFont="1" applyBorder="1" applyAlignment="1">
      <alignment horizontal="center"/>
    </xf>
    <xf numFmtId="9" fontId="5" fillId="0" borderId="76" xfId="38" applyNumberFormat="1" applyFont="1" applyBorder="1" applyAlignment="1">
      <alignment horizontal="right" vertical="center"/>
    </xf>
    <xf numFmtId="3" fontId="5" fillId="0" borderId="83" xfId="38" applyNumberFormat="1" applyFont="1" applyBorder="1" applyAlignment="1">
      <alignment horizontal="center"/>
    </xf>
    <xf numFmtId="3" fontId="4" fillId="0" borderId="83" xfId="38" applyNumberFormat="1" applyFont="1" applyBorder="1" applyAlignment="1">
      <alignment horizontal="center"/>
    </xf>
    <xf numFmtId="3" fontId="8" fillId="0" borderId="83" xfId="38" applyNumberFormat="1" applyFont="1" applyBorder="1" applyAlignment="1">
      <alignment horizontal="center"/>
    </xf>
    <xf numFmtId="0" fontId="4" fillId="0" borderId="83" xfId="38" applyFont="1" applyBorder="1" applyAlignment="1">
      <alignment horizontal="center"/>
    </xf>
    <xf numFmtId="0" fontId="4" fillId="0" borderId="91" xfId="38" applyFont="1" applyBorder="1" applyAlignment="1">
      <alignment horizontal="center"/>
    </xf>
    <xf numFmtId="3" fontId="17" fillId="0" borderId="83" xfId="38" applyNumberFormat="1" applyFont="1" applyBorder="1" applyAlignment="1" applyProtection="1">
      <alignment horizontal="center"/>
      <protection locked="0"/>
    </xf>
    <xf numFmtId="3" fontId="17" fillId="0" borderId="88" xfId="38" applyNumberFormat="1" applyFont="1" applyBorder="1" applyAlignment="1" applyProtection="1">
      <alignment horizontal="center"/>
      <protection locked="0"/>
    </xf>
    <xf numFmtId="0" fontId="17" fillId="0" borderId="71" xfId="38" applyFont="1" applyBorder="1" applyProtection="1">
      <protection locked="0"/>
    </xf>
    <xf numFmtId="3" fontId="20" fillId="0" borderId="83" xfId="38" applyNumberFormat="1" applyFont="1" applyBorder="1" applyAlignment="1" applyProtection="1">
      <alignment horizontal="center"/>
      <protection locked="0"/>
    </xf>
    <xf numFmtId="0" fontId="4" fillId="0" borderId="71" xfId="38" applyFont="1" applyBorder="1" applyAlignment="1">
      <alignment horizontal="center"/>
    </xf>
    <xf numFmtId="0" fontId="92" fillId="0" borderId="16" xfId="34" applyFont="1" applyBorder="1" applyAlignment="1">
      <alignment horizontal="left" wrapText="1"/>
    </xf>
    <xf numFmtId="0" fontId="12" fillId="0" borderId="16" xfId="34" applyFont="1" applyBorder="1" applyAlignment="1">
      <alignment horizontal="left" wrapText="1"/>
    </xf>
    <xf numFmtId="0" fontId="95" fillId="0" borderId="16" xfId="34" applyFont="1" applyBorder="1" applyAlignment="1">
      <alignment horizontal="left" wrapText="1"/>
    </xf>
    <xf numFmtId="0" fontId="17" fillId="0" borderId="11" xfId="36" applyFont="1" applyBorder="1" applyAlignment="1">
      <alignment vertical="center"/>
    </xf>
    <xf numFmtId="3" fontId="4" fillId="0" borderId="61" xfId="36" applyNumberFormat="1" applyFont="1" applyBorder="1" applyAlignment="1">
      <alignment horizontal="center"/>
    </xf>
    <xf numFmtId="0" fontId="4" fillId="0" borderId="15" xfId="36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0" borderId="54" xfId="0" applyFont="1" applyBorder="1" applyAlignment="1">
      <alignment horizontal="center"/>
    </xf>
    <xf numFmtId="3" fontId="7" fillId="0" borderId="84" xfId="36" applyNumberFormat="1" applyFont="1" applyBorder="1"/>
    <xf numFmtId="0" fontId="7" fillId="0" borderId="77" xfId="36" applyFont="1" applyBorder="1"/>
    <xf numFmtId="3" fontId="5" fillId="0" borderId="75" xfId="36" applyNumberFormat="1" applyFont="1" applyBorder="1"/>
    <xf numFmtId="0" fontId="5" fillId="0" borderId="72" xfId="36" applyFont="1" applyBorder="1"/>
    <xf numFmtId="3" fontId="14" fillId="0" borderId="75" xfId="36" applyNumberFormat="1" applyFont="1" applyBorder="1"/>
    <xf numFmtId="9" fontId="14" fillId="0" borderId="72" xfId="36" applyNumberFormat="1" applyFont="1" applyBorder="1"/>
    <xf numFmtId="9" fontId="11" fillId="0" borderId="72" xfId="36" applyNumberFormat="1" applyFont="1" applyBorder="1"/>
    <xf numFmtId="3" fontId="14" fillId="0" borderId="90" xfId="36" applyNumberFormat="1" applyFont="1" applyBorder="1"/>
    <xf numFmtId="9" fontId="14" fillId="0" borderId="67" xfId="36" applyNumberFormat="1" applyFont="1" applyBorder="1"/>
    <xf numFmtId="3" fontId="14" fillId="0" borderId="91" xfId="36" applyNumberFormat="1" applyFont="1" applyBorder="1"/>
    <xf numFmtId="3" fontId="14" fillId="0" borderId="83" xfId="36" applyNumberFormat="1" applyFont="1" applyBorder="1"/>
    <xf numFmtId="9" fontId="14" fillId="0" borderId="77" xfId="36" applyNumberFormat="1" applyFont="1" applyBorder="1"/>
    <xf numFmtId="3" fontId="4" fillId="0" borderId="75" xfId="36" applyNumberFormat="1" applyFont="1" applyBorder="1"/>
    <xf numFmtId="3" fontId="11" fillId="0" borderId="75" xfId="36" applyNumberFormat="1" applyFont="1" applyBorder="1"/>
    <xf numFmtId="3" fontId="14" fillId="0" borderId="84" xfId="36" applyNumberFormat="1" applyFont="1" applyBorder="1"/>
    <xf numFmtId="3" fontId="11" fillId="0" borderId="84" xfId="36" applyNumberFormat="1" applyFont="1" applyBorder="1"/>
    <xf numFmtId="9" fontId="11" fillId="0" borderId="67" xfId="36" applyNumberFormat="1" applyFont="1" applyBorder="1"/>
    <xf numFmtId="3" fontId="11" fillId="0" borderId="61" xfId="36" applyNumberFormat="1" applyFont="1" applyBorder="1"/>
    <xf numFmtId="3" fontId="11" fillId="0" borderId="65" xfId="36" applyNumberFormat="1" applyFont="1" applyBorder="1"/>
    <xf numFmtId="3" fontId="11" fillId="0" borderId="83" xfId="36" applyNumberFormat="1" applyFont="1" applyBorder="1"/>
    <xf numFmtId="3" fontId="11" fillId="0" borderId="90" xfId="36" applyNumberFormat="1" applyFont="1" applyBorder="1"/>
    <xf numFmtId="3" fontId="14" fillId="0" borderId="65" xfId="36" applyNumberFormat="1" applyFont="1" applyBorder="1"/>
    <xf numFmtId="3" fontId="11" fillId="0" borderId="80" xfId="36" applyNumberFormat="1" applyFont="1" applyBorder="1"/>
    <xf numFmtId="9" fontId="14" fillId="0" borderId="78" xfId="36" applyNumberFormat="1" applyFont="1" applyBorder="1"/>
    <xf numFmtId="3" fontId="11" fillId="0" borderId="91" xfId="36" applyNumberFormat="1" applyFont="1" applyBorder="1"/>
    <xf numFmtId="9" fontId="14" fillId="0" borderId="89" xfId="36" applyNumberFormat="1" applyFont="1" applyBorder="1"/>
    <xf numFmtId="9" fontId="11" fillId="0" borderId="78" xfId="36" applyNumberFormat="1" applyFont="1" applyBorder="1"/>
    <xf numFmtId="3" fontId="14" fillId="0" borderId="64" xfId="36" applyNumberFormat="1" applyFont="1" applyBorder="1"/>
    <xf numFmtId="3" fontId="6" fillId="0" borderId="83" xfId="36" applyNumberFormat="1" applyFont="1" applyBorder="1" applyAlignment="1">
      <alignment horizontal="right"/>
    </xf>
    <xf numFmtId="3" fontId="6" fillId="0" borderId="75" xfId="36" applyNumberFormat="1" applyFont="1" applyBorder="1"/>
    <xf numFmtId="9" fontId="11" fillId="0" borderId="77" xfId="36" applyNumberFormat="1" applyFont="1" applyBorder="1"/>
    <xf numFmtId="3" fontId="14" fillId="0" borderId="93" xfId="36" applyNumberFormat="1" applyFont="1" applyBorder="1"/>
    <xf numFmtId="9" fontId="14" fillId="0" borderId="94" xfId="36" applyNumberFormat="1" applyFont="1" applyBorder="1"/>
    <xf numFmtId="3" fontId="14" fillId="0" borderId="95" xfId="36" applyNumberFormat="1" applyFont="1" applyBorder="1"/>
    <xf numFmtId="9" fontId="14" fillId="0" borderId="96" xfId="36" applyNumberFormat="1" applyFont="1" applyBorder="1"/>
    <xf numFmtId="9" fontId="11" fillId="0" borderId="66" xfId="36" applyNumberFormat="1" applyFont="1" applyBorder="1"/>
    <xf numFmtId="3" fontId="14" fillId="0" borderId="97" xfId="36" applyNumberFormat="1" applyFont="1" applyBorder="1"/>
    <xf numFmtId="9" fontId="14" fillId="0" borderId="54" xfId="36" applyNumberFormat="1" applyFont="1" applyBorder="1" applyAlignment="1">
      <alignment horizontal="right" vertical="center"/>
    </xf>
    <xf numFmtId="9" fontId="11" fillId="0" borderId="89" xfId="36" applyNumberFormat="1" applyFont="1" applyBorder="1"/>
    <xf numFmtId="0" fontId="16" fillId="0" borderId="13" xfId="50" applyBorder="1" applyAlignment="1">
      <alignment horizontal="center" vertical="center"/>
    </xf>
    <xf numFmtId="0" fontId="16" fillId="0" borderId="66" xfId="50" applyBorder="1"/>
    <xf numFmtId="0" fontId="16" fillId="0" borderId="83" xfId="50" applyBorder="1" applyAlignment="1">
      <alignment vertical="center"/>
    </xf>
    <xf numFmtId="9" fontId="91" fillId="0" borderId="18" xfId="0" applyNumberFormat="1" applyFont="1" applyBorder="1"/>
    <xf numFmtId="3" fontId="5" fillId="0" borderId="12" xfId="0" applyNumberFormat="1" applyFont="1" applyBorder="1" applyAlignment="1">
      <alignment horizontal="right"/>
    </xf>
    <xf numFmtId="0" fontId="103" fillId="0" borderId="10" xfId="0" applyFont="1" applyBorder="1"/>
    <xf numFmtId="3" fontId="103" fillId="0" borderId="16" xfId="0" applyNumberFormat="1" applyFont="1" applyBorder="1" applyAlignment="1">
      <alignment horizontal="right"/>
    </xf>
    <xf numFmtId="9" fontId="18" fillId="0" borderId="10" xfId="0" applyNumberFormat="1" applyFont="1" applyBorder="1"/>
    <xf numFmtId="0" fontId="103" fillId="0" borderId="10" xfId="0" applyFont="1" applyBorder="1" applyAlignment="1">
      <alignment horizontal="left" vertical="top"/>
    </xf>
    <xf numFmtId="3" fontId="103" fillId="0" borderId="10" xfId="0" applyNumberFormat="1" applyFont="1" applyBorder="1" applyAlignment="1">
      <alignment horizontal="right"/>
    </xf>
    <xf numFmtId="3" fontId="104" fillId="0" borderId="16" xfId="0" applyNumberFormat="1" applyFont="1" applyBorder="1" applyAlignment="1">
      <alignment horizontal="right"/>
    </xf>
    <xf numFmtId="0" fontId="105" fillId="0" borderId="10" xfId="0" applyFont="1" applyBorder="1"/>
    <xf numFmtId="0" fontId="105" fillId="0" borderId="20" xfId="0" applyFont="1" applyBorder="1"/>
    <xf numFmtId="3" fontId="107" fillId="0" borderId="10" xfId="0" applyNumberFormat="1" applyFont="1" applyBorder="1"/>
    <xf numFmtId="0" fontId="105" fillId="0" borderId="10" xfId="0" applyFont="1" applyBorder="1" applyAlignment="1">
      <alignment horizontal="left" vertical="top"/>
    </xf>
    <xf numFmtId="3" fontId="105" fillId="0" borderId="10" xfId="0" applyNumberFormat="1" applyFont="1" applyBorder="1"/>
    <xf numFmtId="3" fontId="103" fillId="0" borderId="10" xfId="0" applyNumberFormat="1" applyFont="1" applyBorder="1"/>
    <xf numFmtId="0" fontId="0" fillId="0" borderId="0" xfId="0" applyAlignment="1">
      <alignment vertical="center"/>
    </xf>
    <xf numFmtId="0" fontId="19" fillId="0" borderId="31" xfId="50" applyFont="1" applyBorder="1" applyAlignment="1">
      <alignment horizontal="center" vertical="center"/>
    </xf>
    <xf numFmtId="0" fontId="19" fillId="0" borderId="74" xfId="50" applyFont="1" applyBorder="1" applyAlignment="1">
      <alignment horizontal="center" vertical="center"/>
    </xf>
    <xf numFmtId="0" fontId="42" fillId="0" borderId="18" xfId="0" applyFont="1" applyBorder="1" applyAlignment="1">
      <alignment horizontal="center" vertical="center" wrapText="1"/>
    </xf>
    <xf numFmtId="0" fontId="107" fillId="0" borderId="20" xfId="0" applyFont="1" applyBorder="1" applyAlignment="1">
      <alignment horizontal="left"/>
    </xf>
    <xf numFmtId="3" fontId="107" fillId="0" borderId="10" xfId="45" applyNumberFormat="1" applyFont="1" applyFill="1" applyBorder="1" applyAlignment="1">
      <alignment horizontal="right"/>
    </xf>
    <xf numFmtId="0" fontId="106" fillId="0" borderId="20" xfId="0" applyFont="1" applyBorder="1" applyAlignment="1">
      <alignment horizontal="left"/>
    </xf>
    <xf numFmtId="3" fontId="109" fillId="0" borderId="10" xfId="0" applyNumberFormat="1" applyFont="1" applyBorder="1"/>
    <xf numFmtId="3" fontId="106" fillId="0" borderId="10" xfId="45" applyNumberFormat="1" applyFont="1" applyFill="1" applyBorder="1" applyAlignment="1">
      <alignment horizontal="right"/>
    </xf>
    <xf numFmtId="3" fontId="108" fillId="0" borderId="10" xfId="45" applyNumberFormat="1" applyFont="1" applyFill="1" applyBorder="1" applyAlignment="1">
      <alignment horizontal="right"/>
    </xf>
    <xf numFmtId="0" fontId="105" fillId="0" borderId="10" xfId="0" applyFont="1" applyBorder="1" applyAlignment="1">
      <alignment horizontal="left"/>
    </xf>
    <xf numFmtId="0" fontId="42" fillId="0" borderId="0" xfId="0" applyFont="1" applyAlignment="1">
      <alignment horizontal="center" vertical="center"/>
    </xf>
    <xf numFmtId="0" fontId="42" fillId="0" borderId="0" xfId="0" applyFont="1" applyAlignment="1">
      <alignment horizontal="right" vertical="center"/>
    </xf>
    <xf numFmtId="3" fontId="44" fillId="0" borderId="12" xfId="0" applyNumberFormat="1" applyFont="1" applyBorder="1" applyAlignment="1">
      <alignment horizontal="right" vertical="center" wrapText="1"/>
    </xf>
    <xf numFmtId="0" fontId="44" fillId="0" borderId="0" xfId="0" applyFont="1"/>
    <xf numFmtId="0" fontId="42" fillId="0" borderId="0" xfId="82" applyFont="1" applyAlignment="1">
      <alignment horizontal="center" vertical="center"/>
    </xf>
    <xf numFmtId="3" fontId="44" fillId="0" borderId="12" xfId="82" applyNumberFormat="1" applyFont="1" applyBorder="1" applyAlignment="1">
      <alignment horizontal="right" vertical="center"/>
    </xf>
    <xf numFmtId="0" fontId="44" fillId="0" borderId="12" xfId="82" applyFont="1" applyBorder="1" applyAlignment="1">
      <alignment horizontal="right" vertical="center" wrapText="1"/>
    </xf>
    <xf numFmtId="0" fontId="6" fillId="0" borderId="0" xfId="83" applyFont="1" applyAlignment="1">
      <alignment horizontal="center"/>
    </xf>
    <xf numFmtId="0" fontId="3" fillId="0" borderId="0" xfId="84"/>
    <xf numFmtId="0" fontId="6" fillId="0" borderId="0" xfId="83" applyFont="1" applyAlignment="1">
      <alignment horizontal="center" vertical="center"/>
    </xf>
    <xf numFmtId="0" fontId="3" fillId="0" borderId="0" xfId="84" applyAlignment="1">
      <alignment horizontal="center"/>
    </xf>
    <xf numFmtId="0" fontId="6" fillId="0" borderId="12" xfId="83" applyFont="1" applyBorder="1"/>
    <xf numFmtId="0" fontId="6" fillId="0" borderId="11" xfId="83" applyFont="1" applyBorder="1" applyAlignment="1">
      <alignment horizontal="center"/>
    </xf>
    <xf numFmtId="0" fontId="3" fillId="0" borderId="11" xfId="83" applyBorder="1" applyAlignment="1">
      <alignment horizontal="left"/>
    </xf>
    <xf numFmtId="0" fontId="3" fillId="0" borderId="12" xfId="83" applyBorder="1"/>
    <xf numFmtId="0" fontId="59" fillId="0" borderId="12" xfId="83" applyFont="1" applyBorder="1"/>
    <xf numFmtId="0" fontId="0" fillId="0" borderId="12" xfId="83" applyFont="1" applyBorder="1"/>
    <xf numFmtId="0" fontId="57" fillId="0" borderId="12" xfId="83" applyFont="1" applyBorder="1"/>
    <xf numFmtId="3" fontId="57" fillId="0" borderId="12" xfId="0" applyNumberFormat="1" applyFont="1" applyBorder="1"/>
    <xf numFmtId="0" fontId="14" fillId="0" borderId="12" xfId="85" applyFont="1" applyBorder="1"/>
    <xf numFmtId="0" fontId="14" fillId="15" borderId="12" xfId="85" applyFont="1" applyFill="1" applyBorder="1"/>
    <xf numFmtId="0" fontId="3" fillId="0" borderId="0" xfId="83"/>
    <xf numFmtId="0" fontId="0" fillId="0" borderId="0" xfId="83" applyFont="1"/>
    <xf numFmtId="0" fontId="10" fillId="0" borderId="12" xfId="83" applyFont="1" applyBorder="1"/>
    <xf numFmtId="0" fontId="11" fillId="0" borderId="12" xfId="83" applyFont="1" applyBorder="1"/>
    <xf numFmtId="0" fontId="5" fillId="0" borderId="12" xfId="85" applyFont="1" applyBorder="1"/>
    <xf numFmtId="0" fontId="10" fillId="0" borderId="0" xfId="0" applyFont="1" applyAlignment="1">
      <alignment horizontal="center" wrapText="1"/>
    </xf>
    <xf numFmtId="3" fontId="0" fillId="0" borderId="11" xfId="0" applyNumberFormat="1" applyBorder="1" applyAlignment="1">
      <alignment vertical="center"/>
    </xf>
    <xf numFmtId="3" fontId="110" fillId="0" borderId="12" xfId="0" applyNumberFormat="1" applyFont="1" applyBorder="1" applyAlignment="1">
      <alignment vertical="center"/>
    </xf>
    <xf numFmtId="3" fontId="114" fillId="0" borderId="12" xfId="0" applyNumberFormat="1" applyFont="1" applyBorder="1" applyAlignment="1">
      <alignment horizontal="right" vertical="top" wrapText="1"/>
    </xf>
    <xf numFmtId="3" fontId="114" fillId="0" borderId="12" xfId="0" applyNumberFormat="1" applyFont="1" applyBorder="1" applyAlignment="1">
      <alignment horizontal="right" wrapText="1"/>
    </xf>
    <xf numFmtId="0" fontId="111" fillId="0" borderId="0" xfId="87" applyFont="1"/>
    <xf numFmtId="0" fontId="112" fillId="0" borderId="0" xfId="87" applyFont="1" applyAlignment="1">
      <alignment vertical="center"/>
    </xf>
    <xf numFmtId="3" fontId="112" fillId="0" borderId="0" xfId="87" applyNumberFormat="1" applyFont="1" applyAlignment="1">
      <alignment vertical="center"/>
    </xf>
    <xf numFmtId="4" fontId="111" fillId="0" borderId="0" xfId="87" applyNumberFormat="1" applyFont="1" applyAlignment="1">
      <alignment horizontal="right"/>
    </xf>
    <xf numFmtId="0" fontId="111" fillId="0" borderId="0" xfId="87" applyFont="1" applyAlignment="1">
      <alignment horizontal="center"/>
    </xf>
    <xf numFmtId="0" fontId="111" fillId="0" borderId="0" xfId="87" applyFont="1" applyAlignment="1">
      <alignment horizontal="center" vertical="center"/>
    </xf>
    <xf numFmtId="3" fontId="111" fillId="0" borderId="0" xfId="87" applyNumberFormat="1" applyFont="1" applyAlignment="1">
      <alignment horizontal="center" vertical="center"/>
    </xf>
    <xf numFmtId="0" fontId="112" fillId="0" borderId="12" xfId="88" applyFont="1" applyBorder="1" applyAlignment="1">
      <alignment horizontal="center" vertical="center"/>
    </xf>
    <xf numFmtId="3" fontId="112" fillId="0" borderId="12" xfId="88" applyNumberFormat="1" applyFont="1" applyBorder="1" applyAlignment="1">
      <alignment horizontal="right" vertical="center" wrapText="1"/>
    </xf>
    <xf numFmtId="3" fontId="111" fillId="0" borderId="12" xfId="88" applyNumberFormat="1" applyFont="1" applyBorder="1" applyAlignment="1">
      <alignment horizontal="right" vertical="center" wrapText="1"/>
    </xf>
    <xf numFmtId="0" fontId="111" fillId="0" borderId="12" xfId="88" applyFont="1" applyBorder="1" applyAlignment="1">
      <alignment horizontal="center" vertical="center"/>
    </xf>
    <xf numFmtId="0" fontId="112" fillId="0" borderId="73" xfId="56" applyFont="1" applyBorder="1" applyAlignment="1">
      <alignment vertical="center"/>
    </xf>
    <xf numFmtId="0" fontId="112" fillId="0" borderId="73" xfId="88" applyFont="1" applyBorder="1" applyAlignment="1">
      <alignment horizontal="center" vertical="center"/>
    </xf>
    <xf numFmtId="3" fontId="112" fillId="15" borderId="63" xfId="88" applyNumberFormat="1" applyFont="1" applyFill="1" applyBorder="1" applyAlignment="1">
      <alignment horizontal="right" vertical="center" wrapText="1"/>
    </xf>
    <xf numFmtId="0" fontId="111" fillId="0" borderId="92" xfId="56" applyFont="1" applyBorder="1" applyAlignment="1">
      <alignment vertical="center"/>
    </xf>
    <xf numFmtId="0" fontId="111" fillId="0" borderId="92" xfId="88" applyFont="1" applyBorder="1" applyAlignment="1">
      <alignment horizontal="center" vertical="center"/>
    </xf>
    <xf numFmtId="3" fontId="111" fillId="15" borderId="98" xfId="88" applyNumberFormat="1" applyFont="1" applyFill="1" applyBorder="1" applyAlignment="1">
      <alignment horizontal="right" vertical="center" wrapText="1"/>
    </xf>
    <xf numFmtId="0" fontId="111" fillId="0" borderId="85" xfId="56" applyFont="1" applyBorder="1" applyAlignment="1">
      <alignment vertical="center"/>
    </xf>
    <xf numFmtId="0" fontId="111" fillId="0" borderId="85" xfId="88" applyFont="1" applyBorder="1" applyAlignment="1">
      <alignment horizontal="center" vertical="center"/>
    </xf>
    <xf numFmtId="3" fontId="111" fillId="15" borderId="102" xfId="88" applyNumberFormat="1" applyFont="1" applyFill="1" applyBorder="1" applyAlignment="1">
      <alignment horizontal="right" vertical="center" wrapText="1"/>
    </xf>
    <xf numFmtId="0" fontId="112" fillId="0" borderId="64" xfId="56" applyFont="1" applyBorder="1" applyAlignment="1">
      <alignment vertical="center"/>
    </xf>
    <xf numFmtId="0" fontId="112" fillId="0" borderId="64" xfId="88" applyFont="1" applyBorder="1" applyAlignment="1">
      <alignment horizontal="center" vertical="center"/>
    </xf>
    <xf numFmtId="0" fontId="111" fillId="0" borderId="68" xfId="56" applyFont="1" applyBorder="1" applyAlignment="1">
      <alignment vertical="center"/>
    </xf>
    <xf numFmtId="0" fontId="111" fillId="0" borderId="68" xfId="88" applyFont="1" applyBorder="1" applyAlignment="1">
      <alignment horizontal="center" vertical="center"/>
    </xf>
    <xf numFmtId="3" fontId="111" fillId="15" borderId="104" xfId="88" applyNumberFormat="1" applyFont="1" applyFill="1" applyBorder="1" applyAlignment="1">
      <alignment horizontal="right" vertical="center" wrapText="1"/>
    </xf>
    <xf numFmtId="0" fontId="111" fillId="0" borderId="79" xfId="56" applyFont="1" applyBorder="1" applyAlignment="1">
      <alignment vertical="center"/>
    </xf>
    <xf numFmtId="0" fontId="111" fillId="0" borderId="79" xfId="88" applyFont="1" applyBorder="1" applyAlignment="1">
      <alignment horizontal="center" vertical="center"/>
    </xf>
    <xf numFmtId="3" fontId="111" fillId="15" borderId="99" xfId="88" applyNumberFormat="1" applyFont="1" applyFill="1" applyBorder="1" applyAlignment="1">
      <alignment horizontal="right" vertical="center" wrapText="1"/>
    </xf>
    <xf numFmtId="0" fontId="112" fillId="0" borderId="64" xfId="56" applyFont="1" applyBorder="1" applyAlignment="1">
      <alignment vertical="center" wrapText="1"/>
    </xf>
    <xf numFmtId="3" fontId="111" fillId="15" borderId="100" xfId="88" applyNumberFormat="1" applyFont="1" applyFill="1" applyBorder="1" applyAlignment="1">
      <alignment horizontal="right" vertical="center" wrapText="1"/>
    </xf>
    <xf numFmtId="0" fontId="111" fillId="0" borderId="69" xfId="56" applyFont="1" applyBorder="1" applyAlignment="1">
      <alignment vertical="center"/>
    </xf>
    <xf numFmtId="0" fontId="111" fillId="0" borderId="69" xfId="88" applyFont="1" applyBorder="1" applyAlignment="1">
      <alignment horizontal="center" vertical="center"/>
    </xf>
    <xf numFmtId="0" fontId="112" fillId="24" borderId="63" xfId="56" applyFont="1" applyFill="1" applyBorder="1" applyAlignment="1">
      <alignment vertical="center"/>
    </xf>
    <xf numFmtId="0" fontId="112" fillId="24" borderId="64" xfId="88" applyFont="1" applyFill="1" applyBorder="1" applyAlignment="1">
      <alignment horizontal="center" vertical="center"/>
    </xf>
    <xf numFmtId="3" fontId="112" fillId="25" borderId="63" xfId="88" applyNumberFormat="1" applyFont="1" applyFill="1" applyBorder="1" applyAlignment="1">
      <alignment horizontal="right" vertical="center" wrapText="1"/>
    </xf>
    <xf numFmtId="0" fontId="111" fillId="0" borderId="0" xfId="56" applyFont="1" applyAlignment="1">
      <alignment vertical="center"/>
    </xf>
    <xf numFmtId="0" fontId="111" fillId="0" borderId="0" xfId="88" applyFont="1" applyAlignment="1">
      <alignment vertical="center"/>
    </xf>
    <xf numFmtId="3" fontId="111" fillId="0" borderId="0" xfId="56" applyNumberFormat="1" applyFont="1" applyAlignment="1">
      <alignment vertical="center"/>
    </xf>
    <xf numFmtId="0" fontId="112" fillId="0" borderId="63" xfId="88" applyFont="1" applyBorder="1" applyAlignment="1">
      <alignment horizontal="center" vertical="center"/>
    </xf>
    <xf numFmtId="3" fontId="112" fillId="15" borderId="63" xfId="56" applyNumberFormat="1" applyFont="1" applyFill="1" applyBorder="1" applyAlignment="1">
      <alignment vertical="center"/>
    </xf>
    <xf numFmtId="0" fontId="111" fillId="0" borderId="100" xfId="88" applyFont="1" applyBorder="1" applyAlignment="1">
      <alignment horizontal="center" vertical="center"/>
    </xf>
    <xf numFmtId="3" fontId="111" fillId="15" borderId="98" xfId="56" applyNumberFormat="1" applyFont="1" applyFill="1" applyBorder="1" applyAlignment="1">
      <alignment vertical="center"/>
    </xf>
    <xf numFmtId="0" fontId="111" fillId="0" borderId="104" xfId="88" applyFont="1" applyBorder="1" applyAlignment="1">
      <alignment horizontal="center" vertical="center"/>
    </xf>
    <xf numFmtId="3" fontId="111" fillId="15" borderId="104" xfId="56" applyNumberFormat="1" applyFont="1" applyFill="1" applyBorder="1" applyAlignment="1">
      <alignment vertical="center"/>
    </xf>
    <xf numFmtId="3" fontId="111" fillId="15" borderId="99" xfId="56" applyNumberFormat="1" applyFont="1" applyFill="1" applyBorder="1" applyAlignment="1">
      <alignment vertical="center"/>
    </xf>
    <xf numFmtId="0" fontId="111" fillId="0" borderId="102" xfId="88" applyFont="1" applyBorder="1" applyAlignment="1">
      <alignment horizontal="center" vertical="center"/>
    </xf>
    <xf numFmtId="0" fontId="112" fillId="24" borderId="63" xfId="88" applyFont="1" applyFill="1" applyBorder="1" applyAlignment="1">
      <alignment horizontal="center" vertical="center"/>
    </xf>
    <xf numFmtId="3" fontId="112" fillId="25" borderId="63" xfId="56" applyNumberFormat="1" applyFont="1" applyFill="1" applyBorder="1" applyAlignment="1">
      <alignment vertical="center"/>
    </xf>
    <xf numFmtId="3" fontId="111" fillId="15" borderId="100" xfId="56" applyNumberFormat="1" applyFont="1" applyFill="1" applyBorder="1" applyAlignment="1">
      <alignment vertical="center"/>
    </xf>
    <xf numFmtId="3" fontId="112" fillId="15" borderId="104" xfId="56" applyNumberFormat="1" applyFont="1" applyFill="1" applyBorder="1" applyAlignment="1">
      <alignment vertical="center"/>
    </xf>
    <xf numFmtId="3" fontId="112" fillId="15" borderId="99" xfId="56" applyNumberFormat="1" applyFont="1" applyFill="1" applyBorder="1" applyAlignment="1">
      <alignment vertical="center"/>
    </xf>
    <xf numFmtId="3" fontId="112" fillId="15" borderId="98" xfId="56" applyNumberFormat="1" applyFont="1" applyFill="1" applyBorder="1" applyAlignment="1">
      <alignment vertical="center"/>
    </xf>
    <xf numFmtId="0" fontId="111" fillId="0" borderId="106" xfId="56" applyFont="1" applyBorder="1" applyAlignment="1">
      <alignment vertical="center"/>
    </xf>
    <xf numFmtId="0" fontId="112" fillId="0" borderId="106" xfId="56" applyFont="1" applyBorder="1" applyAlignment="1">
      <alignment horizontal="center" vertical="center"/>
    </xf>
    <xf numFmtId="3" fontId="111" fillId="15" borderId="106" xfId="56" applyNumberFormat="1" applyFont="1" applyFill="1" applyBorder="1" applyAlignment="1">
      <alignment vertical="center"/>
    </xf>
    <xf numFmtId="0" fontId="111" fillId="0" borderId="104" xfId="56" applyFont="1" applyBorder="1" applyAlignment="1">
      <alignment vertical="center"/>
    </xf>
    <xf numFmtId="0" fontId="112" fillId="0" borderId="104" xfId="56" applyFont="1" applyBorder="1" applyAlignment="1">
      <alignment horizontal="center" vertical="center"/>
    </xf>
    <xf numFmtId="11" fontId="111" fillId="0" borderId="104" xfId="56" applyNumberFormat="1" applyFont="1" applyBorder="1" applyAlignment="1">
      <alignment vertical="center"/>
    </xf>
    <xf numFmtId="3" fontId="111" fillId="15" borderId="107" xfId="56" applyNumberFormat="1" applyFont="1" applyFill="1" applyBorder="1" applyAlignment="1">
      <alignment vertical="center"/>
    </xf>
    <xf numFmtId="3" fontId="111" fillId="25" borderId="63" xfId="56" applyNumberFormat="1" applyFont="1" applyFill="1" applyBorder="1" applyAlignment="1">
      <alignment vertical="center"/>
    </xf>
    <xf numFmtId="0" fontId="112" fillId="0" borderId="73" xfId="56" applyFont="1" applyBorder="1" applyAlignment="1">
      <alignment horizontal="center" vertical="center"/>
    </xf>
    <xf numFmtId="3" fontId="112" fillId="0" borderId="63" xfId="56" applyNumberFormat="1" applyFont="1" applyBorder="1" applyAlignment="1">
      <alignment vertical="center"/>
    </xf>
    <xf numFmtId="0" fontId="111" fillId="0" borderId="92" xfId="56" applyFont="1" applyBorder="1" applyAlignment="1">
      <alignment horizontal="center" vertical="center"/>
    </xf>
    <xf numFmtId="3" fontId="112" fillId="0" borderId="100" xfId="56" applyNumberFormat="1" applyFont="1" applyBorder="1" applyAlignment="1">
      <alignment vertical="center"/>
    </xf>
    <xf numFmtId="3" fontId="112" fillId="15" borderId="100" xfId="56" applyNumberFormat="1" applyFont="1" applyFill="1" applyBorder="1" applyAlignment="1">
      <alignment vertical="center"/>
    </xf>
    <xf numFmtId="0" fontId="111" fillId="0" borderId="71" xfId="56" applyFont="1" applyBorder="1" applyAlignment="1">
      <alignment vertical="center"/>
    </xf>
    <xf numFmtId="0" fontId="111" fillId="0" borderId="71" xfId="56" applyFont="1" applyBorder="1" applyAlignment="1">
      <alignment horizontal="center" vertical="center"/>
    </xf>
    <xf numFmtId="3" fontId="111" fillId="0" borderId="99" xfId="56" applyNumberFormat="1" applyFont="1" applyBorder="1" applyAlignment="1">
      <alignment vertical="center"/>
    </xf>
    <xf numFmtId="0" fontId="112" fillId="0" borderId="70" xfId="56" applyFont="1" applyBorder="1" applyAlignment="1">
      <alignment vertical="center"/>
    </xf>
    <xf numFmtId="0" fontId="112" fillId="0" borderId="70" xfId="56" applyFont="1" applyBorder="1" applyAlignment="1">
      <alignment horizontal="center" vertical="center"/>
    </xf>
    <xf numFmtId="0" fontId="112" fillId="0" borderId="64" xfId="56" applyFont="1" applyBorder="1" applyAlignment="1">
      <alignment horizontal="center" vertical="center"/>
    </xf>
    <xf numFmtId="0" fontId="112" fillId="24" borderId="64" xfId="56" applyFont="1" applyFill="1" applyBorder="1" applyAlignment="1">
      <alignment vertical="center"/>
    </xf>
    <xf numFmtId="0" fontId="111" fillId="0" borderId="106" xfId="56" applyFont="1" applyBorder="1" applyAlignment="1">
      <alignment horizontal="center" vertical="center"/>
    </xf>
    <xf numFmtId="3" fontId="111" fillId="0" borderId="106" xfId="56" applyNumberFormat="1" applyFont="1" applyBorder="1" applyAlignment="1">
      <alignment vertical="center"/>
    </xf>
    <xf numFmtId="0" fontId="116" fillId="0" borderId="12" xfId="0" applyFont="1" applyBorder="1" applyAlignment="1">
      <alignment vertical="center"/>
    </xf>
    <xf numFmtId="0" fontId="116" fillId="0" borderId="34" xfId="0" applyFont="1" applyBorder="1" applyAlignment="1">
      <alignment vertical="center"/>
    </xf>
    <xf numFmtId="0" fontId="118" fillId="0" borderId="25" xfId="0" applyFont="1" applyBorder="1" applyAlignment="1">
      <alignment vertical="center"/>
    </xf>
    <xf numFmtId="0" fontId="116" fillId="0" borderId="11" xfId="0" applyFont="1" applyBorder="1" applyAlignment="1">
      <alignment vertical="center"/>
    </xf>
    <xf numFmtId="0" fontId="120" fillId="0" borderId="28" xfId="0" applyFont="1" applyBorder="1" applyAlignment="1">
      <alignment vertical="center"/>
    </xf>
    <xf numFmtId="0" fontId="116" fillId="0" borderId="10" xfId="0" applyFont="1" applyBorder="1" applyAlignment="1">
      <alignment vertical="center"/>
    </xf>
    <xf numFmtId="0" fontId="19" fillId="0" borderId="0" xfId="46" applyFont="1" applyAlignment="1">
      <alignment horizontal="center" vertical="center"/>
    </xf>
    <xf numFmtId="0" fontId="19" fillId="0" borderId="0" xfId="46" applyFont="1" applyAlignment="1">
      <alignment horizontal="right"/>
    </xf>
    <xf numFmtId="0" fontId="48" fillId="0" borderId="0" xfId="46" applyFont="1" applyAlignment="1">
      <alignment vertical="center"/>
    </xf>
    <xf numFmtId="3" fontId="48" fillId="0" borderId="0" xfId="46" applyNumberFormat="1" applyFont="1"/>
    <xf numFmtId="0" fontId="19" fillId="0" borderId="0" xfId="46" applyFont="1"/>
    <xf numFmtId="0" fontId="19" fillId="0" borderId="83" xfId="54" applyFont="1" applyBorder="1" applyAlignment="1">
      <alignment horizontal="center"/>
    </xf>
    <xf numFmtId="0" fontId="67" fillId="0" borderId="0" xfId="54" applyFont="1"/>
    <xf numFmtId="3" fontId="67" fillId="0" borderId="76" xfId="54" applyNumberFormat="1" applyFont="1" applyBorder="1"/>
    <xf numFmtId="0" fontId="19" fillId="0" borderId="91" xfId="54" applyFont="1" applyBorder="1" applyAlignment="1">
      <alignment horizontal="center"/>
    </xf>
    <xf numFmtId="0" fontId="67" fillId="0" borderId="49" xfId="54" applyFont="1" applyBorder="1"/>
    <xf numFmtId="0" fontId="67" fillId="0" borderId="14" xfId="54" applyFont="1" applyBorder="1"/>
    <xf numFmtId="3" fontId="67" fillId="0" borderId="14" xfId="54" applyNumberFormat="1" applyFont="1" applyBorder="1"/>
    <xf numFmtId="0" fontId="56" fillId="0" borderId="14" xfId="54" applyFont="1" applyBorder="1"/>
    <xf numFmtId="3" fontId="67" fillId="0" borderId="89" xfId="54" applyNumberFormat="1" applyFont="1" applyBorder="1"/>
    <xf numFmtId="0" fontId="16" fillId="0" borderId="83" xfId="50" applyBorder="1" applyAlignment="1">
      <alignment horizontal="center" vertical="center"/>
    </xf>
    <xf numFmtId="0" fontId="16" fillId="0" borderId="78" xfId="50" applyBorder="1" applyAlignment="1">
      <alignment horizontal="center" vertical="center"/>
    </xf>
    <xf numFmtId="0" fontId="16" fillId="0" borderId="80" xfId="50" applyBorder="1" applyAlignment="1">
      <alignment horizontal="center" vertical="center"/>
    </xf>
    <xf numFmtId="0" fontId="16" fillId="0" borderId="84" xfId="50" applyBorder="1" applyAlignment="1">
      <alignment vertical="center"/>
    </xf>
    <xf numFmtId="0" fontId="16" fillId="0" borderId="76" xfId="50" applyBorder="1" applyAlignment="1">
      <alignment horizontal="center" vertical="center"/>
    </xf>
    <xf numFmtId="0" fontId="16" fillId="0" borderId="75" xfId="50" applyBorder="1" applyAlignment="1">
      <alignment vertical="center"/>
    </xf>
    <xf numFmtId="0" fontId="16" fillId="0" borderId="12" xfId="50" applyBorder="1" applyAlignment="1">
      <alignment horizontal="center" vertical="center"/>
    </xf>
    <xf numFmtId="3" fontId="44" fillId="0" borderId="11" xfId="0" applyNumberFormat="1" applyFont="1" applyBorder="1" applyAlignment="1">
      <alignment horizontal="right" vertical="center" wrapText="1"/>
    </xf>
    <xf numFmtId="0" fontId="42" fillId="0" borderId="65" xfId="0" applyFont="1" applyBorder="1" applyAlignment="1">
      <alignment horizontal="center" vertical="center" wrapText="1"/>
    </xf>
    <xf numFmtId="0" fontId="42" fillId="0" borderId="66" xfId="0" applyFont="1" applyBorder="1" applyAlignment="1">
      <alignment horizontal="center" vertical="center" wrapText="1"/>
    </xf>
    <xf numFmtId="0" fontId="42" fillId="0" borderId="90" xfId="0" applyFont="1" applyBorder="1" applyAlignment="1">
      <alignment horizontal="center" vertical="top" wrapText="1"/>
    </xf>
    <xf numFmtId="0" fontId="42" fillId="0" borderId="21" xfId="0" applyFont="1" applyBorder="1" applyAlignment="1">
      <alignment horizontal="center" vertical="top" wrapText="1"/>
    </xf>
    <xf numFmtId="0" fontId="42" fillId="0" borderId="67" xfId="0" applyFont="1" applyBorder="1" applyAlignment="1">
      <alignment horizontal="center" vertical="top" wrapText="1"/>
    </xf>
    <xf numFmtId="3" fontId="44" fillId="0" borderId="13" xfId="0" applyNumberFormat="1" applyFont="1" applyBorder="1" applyAlignment="1">
      <alignment horizontal="right" vertical="center" wrapText="1"/>
    </xf>
    <xf numFmtId="0" fontId="70" fillId="0" borderId="61" xfId="0" applyFont="1" applyBorder="1" applyAlignment="1">
      <alignment horizontal="center" vertical="center" wrapText="1"/>
    </xf>
    <xf numFmtId="3" fontId="70" fillId="0" borderId="15" xfId="0" applyNumberFormat="1" applyFont="1" applyBorder="1" applyAlignment="1">
      <alignment horizontal="right" vertical="center" wrapText="1"/>
    </xf>
    <xf numFmtId="3" fontId="70" fillId="0" borderId="54" xfId="0" applyNumberFormat="1" applyFont="1" applyBorder="1" applyAlignment="1">
      <alignment horizontal="right" vertical="center" wrapText="1"/>
    </xf>
    <xf numFmtId="0" fontId="44" fillId="0" borderId="84" xfId="0" applyFont="1" applyBorder="1" applyAlignment="1">
      <alignment horizontal="left" vertical="center" wrapText="1"/>
    </xf>
    <xf numFmtId="3" fontId="44" fillId="0" borderId="77" xfId="0" applyNumberFormat="1" applyFont="1" applyBorder="1" applyAlignment="1">
      <alignment horizontal="right" vertical="center" wrapText="1"/>
    </xf>
    <xf numFmtId="0" fontId="44" fillId="0" borderId="75" xfId="0" applyFont="1" applyBorder="1" applyAlignment="1">
      <alignment horizontal="left" vertical="center" wrapText="1"/>
    </xf>
    <xf numFmtId="3" fontId="44" fillId="0" borderId="72" xfId="0" applyNumberFormat="1" applyFont="1" applyBorder="1" applyAlignment="1">
      <alignment horizontal="right" vertical="center" wrapText="1"/>
    </xf>
    <xf numFmtId="0" fontId="44" fillId="0" borderId="80" xfId="0" applyFont="1" applyBorder="1" applyAlignment="1">
      <alignment horizontal="left" vertical="center" wrapText="1"/>
    </xf>
    <xf numFmtId="3" fontId="44" fillId="0" borderId="78" xfId="0" applyNumberFormat="1" applyFont="1" applyBorder="1" applyAlignment="1">
      <alignment horizontal="right" vertical="center" wrapText="1"/>
    </xf>
    <xf numFmtId="0" fontId="42" fillId="0" borderId="27" xfId="82" applyFont="1" applyBorder="1" applyAlignment="1">
      <alignment horizontal="center"/>
    </xf>
    <xf numFmtId="0" fontId="42" fillId="0" borderId="11" xfId="82" applyFont="1" applyBorder="1" applyAlignment="1">
      <alignment horizontal="center"/>
    </xf>
    <xf numFmtId="0" fontId="42" fillId="0" borderId="39" xfId="82" applyFont="1" applyBorder="1" applyAlignment="1">
      <alignment horizontal="center" vertical="center" wrapText="1"/>
    </xf>
    <xf numFmtId="0" fontId="42" fillId="0" borderId="15" xfId="82" applyFont="1" applyBorder="1" applyAlignment="1">
      <alignment horizontal="center" vertical="center" wrapText="1"/>
    </xf>
    <xf numFmtId="0" fontId="42" fillId="0" borderId="54" xfId="82" applyFont="1" applyBorder="1" applyAlignment="1">
      <alignment horizontal="center" vertical="center" wrapText="1"/>
    </xf>
    <xf numFmtId="3" fontId="42" fillId="0" borderId="15" xfId="82" applyNumberFormat="1" applyFont="1" applyBorder="1" applyAlignment="1">
      <alignment vertical="center"/>
    </xf>
    <xf numFmtId="3" fontId="42" fillId="0" borderId="54" xfId="82" applyNumberFormat="1" applyFont="1" applyBorder="1" applyAlignment="1">
      <alignment vertical="center"/>
    </xf>
    <xf numFmtId="0" fontId="42" fillId="0" borderId="77" xfId="82" applyFont="1" applyBorder="1" applyAlignment="1">
      <alignment horizontal="center"/>
    </xf>
    <xf numFmtId="3" fontId="44" fillId="0" borderId="72" xfId="82" applyNumberFormat="1" applyFont="1" applyBorder="1" applyAlignment="1">
      <alignment horizontal="right" vertical="center"/>
    </xf>
    <xf numFmtId="0" fontId="44" fillId="0" borderId="104" xfId="82" applyFont="1" applyBorder="1" applyAlignment="1">
      <alignment vertical="center" wrapText="1"/>
    </xf>
    <xf numFmtId="0" fontId="6" fillId="0" borderId="65" xfId="83" applyFont="1" applyBorder="1"/>
    <xf numFmtId="0" fontId="6" fillId="0" borderId="18" xfId="83" applyFont="1" applyBorder="1" applyAlignment="1">
      <alignment horizontal="center"/>
    </xf>
    <xf numFmtId="0" fontId="6" fillId="0" borderId="66" xfId="83" applyFont="1" applyBorder="1" applyAlignment="1">
      <alignment horizontal="center"/>
    </xf>
    <xf numFmtId="0" fontId="6" fillId="0" borderId="75" xfId="83" applyFont="1" applyBorder="1"/>
    <xf numFmtId="0" fontId="6" fillId="0" borderId="77" xfId="83" applyFont="1" applyBorder="1" applyAlignment="1">
      <alignment horizontal="center"/>
    </xf>
    <xf numFmtId="3" fontId="3" fillId="0" borderId="77" xfId="83" applyNumberFormat="1" applyBorder="1" applyAlignment="1">
      <alignment horizontal="right"/>
    </xf>
    <xf numFmtId="3" fontId="3" fillId="0" borderId="72" xfId="83" applyNumberFormat="1" applyBorder="1" applyAlignment="1">
      <alignment horizontal="right"/>
    </xf>
    <xf numFmtId="3" fontId="59" fillId="0" borderId="72" xfId="83" applyNumberFormat="1" applyFont="1" applyBorder="1" applyAlignment="1">
      <alignment horizontal="right"/>
    </xf>
    <xf numFmtId="0" fontId="7" fillId="0" borderId="75" xfId="83" applyFont="1" applyBorder="1"/>
    <xf numFmtId="3" fontId="10" fillId="0" borderId="72" xfId="83" applyNumberFormat="1" applyFont="1" applyBorder="1"/>
    <xf numFmtId="3" fontId="6" fillId="0" borderId="72" xfId="83" applyNumberFormat="1" applyFont="1" applyBorder="1"/>
    <xf numFmtId="3" fontId="57" fillId="0" borderId="72" xfId="83" applyNumberFormat="1" applyFont="1" applyBorder="1"/>
    <xf numFmtId="0" fontId="7" fillId="0" borderId="75" xfId="85" applyFont="1" applyBorder="1" applyAlignment="1">
      <alignment horizontal="right"/>
    </xf>
    <xf numFmtId="0" fontId="7" fillId="15" borderId="75" xfId="85" applyFont="1" applyFill="1" applyBorder="1" applyAlignment="1">
      <alignment horizontal="right"/>
    </xf>
    <xf numFmtId="0" fontId="7" fillId="0" borderId="90" xfId="85" applyFont="1" applyBorder="1" applyAlignment="1">
      <alignment horizontal="right"/>
    </xf>
    <xf numFmtId="0" fontId="14" fillId="0" borderId="21" xfId="85" applyFont="1" applyBorder="1"/>
    <xf numFmtId="3" fontId="10" fillId="0" borderId="67" xfId="83" applyNumberFormat="1" applyFont="1" applyBorder="1"/>
    <xf numFmtId="0" fontId="7" fillId="0" borderId="80" xfId="85" applyFont="1" applyBorder="1" applyAlignment="1">
      <alignment horizontal="right"/>
    </xf>
    <xf numFmtId="0" fontId="14" fillId="0" borderId="13" xfId="85" applyFont="1" applyBorder="1"/>
    <xf numFmtId="3" fontId="10" fillId="0" borderId="78" xfId="83" applyNumberFormat="1" applyFont="1" applyBorder="1"/>
    <xf numFmtId="0" fontId="7" fillId="0" borderId="61" xfId="85" applyFont="1" applyBorder="1" applyAlignment="1">
      <alignment horizontal="right"/>
    </xf>
    <xf numFmtId="0" fontId="14" fillId="0" borderId="15" xfId="85" applyFont="1" applyBorder="1"/>
    <xf numFmtId="3" fontId="10" fillId="0" borderId="54" xfId="83" applyNumberFormat="1" applyFont="1" applyBorder="1"/>
    <xf numFmtId="0" fontId="6" fillId="0" borderId="72" xfId="83" applyFont="1" applyBorder="1"/>
    <xf numFmtId="3" fontId="16" fillId="0" borderId="72" xfId="0" applyNumberFormat="1" applyFont="1" applyBorder="1" applyAlignment="1">
      <alignment horizontal="right" vertical="top" wrapText="1"/>
    </xf>
    <xf numFmtId="0" fontId="3" fillId="0" borderId="75" xfId="83" applyBorder="1"/>
    <xf numFmtId="3" fontId="59" fillId="0" borderId="72" xfId="83" applyNumberFormat="1" applyFont="1" applyBorder="1"/>
    <xf numFmtId="0" fontId="5" fillId="0" borderId="75" xfId="83" applyFont="1" applyBorder="1"/>
    <xf numFmtId="3" fontId="11" fillId="0" borderId="72" xfId="83" applyNumberFormat="1" applyFont="1" applyBorder="1"/>
    <xf numFmtId="3" fontId="7" fillId="0" borderId="72" xfId="83" applyNumberFormat="1" applyFont="1" applyBorder="1"/>
    <xf numFmtId="3" fontId="3" fillId="0" borderId="72" xfId="83" applyNumberFormat="1" applyBorder="1"/>
    <xf numFmtId="0" fontId="111" fillId="0" borderId="50" xfId="87" applyFont="1" applyBorder="1" applyAlignment="1">
      <alignment horizontal="center" vertical="center"/>
    </xf>
    <xf numFmtId="3" fontId="111" fillId="0" borderId="50" xfId="87" applyNumberFormat="1" applyFont="1" applyBorder="1" applyAlignment="1">
      <alignment horizontal="center" vertical="center"/>
    </xf>
    <xf numFmtId="0" fontId="112" fillId="0" borderId="75" xfId="88" applyFont="1" applyBorder="1" applyAlignment="1">
      <alignment horizontal="left" vertical="center"/>
    </xf>
    <xf numFmtId="0" fontId="111" fillId="0" borderId="75" xfId="87" applyFont="1" applyBorder="1"/>
    <xf numFmtId="3" fontId="114" fillId="0" borderId="72" xfId="0" applyNumberFormat="1" applyFont="1" applyBorder="1" applyAlignment="1">
      <alignment horizontal="right" vertical="top" wrapText="1"/>
    </xf>
    <xf numFmtId="3" fontId="112" fillId="0" borderId="72" xfId="88" applyNumberFormat="1" applyFont="1" applyBorder="1" applyAlignment="1">
      <alignment horizontal="right" vertical="center" wrapText="1"/>
    </xf>
    <xf numFmtId="0" fontId="112" fillId="0" borderId="75" xfId="87" applyFont="1" applyBorder="1"/>
    <xf numFmtId="3" fontId="111" fillId="0" borderId="72" xfId="88" applyNumberFormat="1" applyFont="1" applyBorder="1" applyAlignment="1">
      <alignment horizontal="right" vertical="center" wrapText="1"/>
    </xf>
    <xf numFmtId="0" fontId="112" fillId="0" borderId="75" xfId="87" applyFont="1" applyBorder="1" applyAlignment="1">
      <alignment vertical="center" wrapText="1"/>
    </xf>
    <xf numFmtId="0" fontId="112" fillId="0" borderId="75" xfId="87" applyFont="1" applyBorder="1" applyAlignment="1">
      <alignment wrapText="1"/>
    </xf>
    <xf numFmtId="0" fontId="111" fillId="0" borderId="75" xfId="87" applyFont="1" applyBorder="1" applyAlignment="1">
      <alignment wrapText="1"/>
    </xf>
    <xf numFmtId="0" fontId="111" fillId="0" borderId="75" xfId="87" applyFont="1" applyBorder="1" applyAlignment="1">
      <alignment horizontal="left" indent="1"/>
    </xf>
    <xf numFmtId="0" fontId="112" fillId="0" borderId="75" xfId="87" applyFont="1" applyBorder="1" applyAlignment="1">
      <alignment vertical="top" wrapText="1"/>
    </xf>
    <xf numFmtId="3" fontId="111" fillId="0" borderId="72" xfId="86" applyNumberFormat="1" applyFont="1" applyBorder="1"/>
    <xf numFmtId="0" fontId="111" fillId="0" borderId="75" xfId="87" applyFont="1" applyBorder="1" applyAlignment="1">
      <alignment vertical="center"/>
    </xf>
    <xf numFmtId="0" fontId="112" fillId="0" borderId="75" xfId="87" applyFont="1" applyBorder="1" applyAlignment="1">
      <alignment vertical="center"/>
    </xf>
    <xf numFmtId="0" fontId="111" fillId="0" borderId="75" xfId="87" applyFont="1" applyBorder="1" applyAlignment="1">
      <alignment vertical="center" wrapText="1"/>
    </xf>
    <xf numFmtId="0" fontId="111" fillId="0" borderId="75" xfId="87" applyFont="1" applyBorder="1" applyAlignment="1">
      <alignment horizontal="left" wrapText="1"/>
    </xf>
    <xf numFmtId="0" fontId="112" fillId="0" borderId="75" xfId="87" applyFont="1" applyBorder="1" applyAlignment="1">
      <alignment horizontal="left" vertical="center"/>
    </xf>
    <xf numFmtId="0" fontId="112" fillId="0" borderId="21" xfId="88" applyFont="1" applyBorder="1" applyAlignment="1">
      <alignment horizontal="center" vertical="center"/>
    </xf>
    <xf numFmtId="0" fontId="10" fillId="0" borderId="75" xfId="83" applyFont="1" applyBorder="1"/>
    <xf numFmtId="166" fontId="16" fillId="0" borderId="0" xfId="50" applyNumberFormat="1"/>
    <xf numFmtId="0" fontId="19" fillId="0" borderId="13" xfId="50" applyFont="1" applyBorder="1" applyAlignment="1">
      <alignment horizontal="center" vertical="center"/>
    </xf>
    <xf numFmtId="3" fontId="42" fillId="0" borderId="12" xfId="82" applyNumberFormat="1" applyFont="1" applyBorder="1" applyAlignment="1">
      <alignment horizontal="right" vertical="center"/>
    </xf>
    <xf numFmtId="0" fontId="42" fillId="0" borderId="104" xfId="82" applyFont="1" applyBorder="1" applyAlignment="1">
      <alignment horizontal="left" vertical="center" wrapText="1"/>
    </xf>
    <xf numFmtId="0" fontId="44" fillId="0" borderId="104" xfId="82" applyFont="1" applyBorder="1" applyAlignment="1">
      <alignment horizontal="left" vertical="center" wrapText="1"/>
    </xf>
    <xf numFmtId="0" fontId="42" fillId="0" borderId="64" xfId="82" applyFont="1" applyBorder="1" applyAlignment="1">
      <alignment horizontal="center" vertical="center" wrapText="1"/>
    </xf>
    <xf numFmtId="0" fontId="42" fillId="0" borderId="92" xfId="82" applyFont="1" applyBorder="1" applyAlignment="1">
      <alignment horizontal="center"/>
    </xf>
    <xf numFmtId="3" fontId="44" fillId="0" borderId="75" xfId="82" applyNumberFormat="1" applyFont="1" applyBorder="1" applyAlignment="1">
      <alignment horizontal="right" vertical="center"/>
    </xf>
    <xf numFmtId="3" fontId="42" fillId="0" borderId="75" xfId="82" applyNumberFormat="1" applyFont="1" applyBorder="1" applyAlignment="1">
      <alignment horizontal="right" vertical="center"/>
    </xf>
    <xf numFmtId="3" fontId="42" fillId="0" borderId="72" xfId="82" applyNumberFormat="1" applyFont="1" applyBorder="1" applyAlignment="1">
      <alignment horizontal="right" vertical="center"/>
    </xf>
    <xf numFmtId="0" fontId="44" fillId="0" borderId="108" xfId="82" applyFont="1" applyBorder="1" applyAlignment="1">
      <alignment horizontal="left" vertical="center" wrapText="1"/>
    </xf>
    <xf numFmtId="3" fontId="44" fillId="0" borderId="80" xfId="82" applyNumberFormat="1" applyFont="1" applyBorder="1" applyAlignment="1">
      <alignment horizontal="right" vertical="center"/>
    </xf>
    <xf numFmtId="3" fontId="44" fillId="0" borderId="13" xfId="82" applyNumberFormat="1" applyFont="1" applyBorder="1" applyAlignment="1">
      <alignment horizontal="right" vertical="center"/>
    </xf>
    <xf numFmtId="3" fontId="44" fillId="0" borderId="78" xfId="82" applyNumberFormat="1" applyFont="1" applyBorder="1" applyAlignment="1">
      <alignment horizontal="right" vertical="center"/>
    </xf>
    <xf numFmtId="3" fontId="42" fillId="0" borderId="61" xfId="82" applyNumberFormat="1" applyFont="1" applyBorder="1" applyAlignment="1">
      <alignment vertical="center"/>
    </xf>
    <xf numFmtId="0" fontId="42" fillId="0" borderId="64" xfId="0" applyFont="1" applyBorder="1" applyAlignment="1">
      <alignment horizontal="left" vertical="center" wrapText="1"/>
    </xf>
    <xf numFmtId="0" fontId="70" fillId="0" borderId="11" xfId="53" applyFont="1" applyBorder="1" applyAlignment="1">
      <alignment horizontal="center" vertical="center" wrapText="1"/>
    </xf>
    <xf numFmtId="3" fontId="4" fillId="0" borderId="16" xfId="0" applyNumberFormat="1" applyFont="1" applyBorder="1" applyAlignment="1">
      <alignment horizontal="center"/>
    </xf>
    <xf numFmtId="3" fontId="4" fillId="0" borderId="38" xfId="0" applyNumberFormat="1" applyFont="1" applyBorder="1" applyAlignment="1">
      <alignment horizontal="center"/>
    </xf>
    <xf numFmtId="3" fontId="4" fillId="0" borderId="88" xfId="0" applyNumberFormat="1" applyFont="1" applyBorder="1"/>
    <xf numFmtId="3" fontId="4" fillId="0" borderId="83" xfId="0" applyNumberFormat="1" applyFont="1" applyBorder="1" applyAlignment="1">
      <alignment horizontal="center"/>
    </xf>
    <xf numFmtId="3" fontId="4" fillId="0" borderId="91" xfId="0" applyNumberFormat="1" applyFont="1" applyBorder="1" applyAlignment="1">
      <alignment horizontal="center"/>
    </xf>
    <xf numFmtId="3" fontId="4" fillId="0" borderId="64" xfId="0" applyNumberFormat="1" applyFont="1" applyBorder="1" applyAlignment="1">
      <alignment horizontal="center"/>
    </xf>
    <xf numFmtId="3" fontId="4" fillId="0" borderId="27" xfId="0" applyNumberFormat="1" applyFont="1" applyBorder="1" applyAlignment="1">
      <alignment horizontal="center"/>
    </xf>
    <xf numFmtId="3" fontId="4" fillId="0" borderId="23" xfId="0" applyNumberFormat="1" applyFont="1" applyBorder="1"/>
    <xf numFmtId="3" fontId="5" fillId="0" borderId="27" xfId="0" applyNumberFormat="1" applyFont="1" applyBorder="1"/>
    <xf numFmtId="3" fontId="4" fillId="0" borderId="27" xfId="0" applyNumberFormat="1" applyFont="1" applyBorder="1"/>
    <xf numFmtId="3" fontId="11" fillId="0" borderId="27" xfId="0" applyNumberFormat="1" applyFont="1" applyBorder="1"/>
    <xf numFmtId="3" fontId="14" fillId="0" borderId="23" xfId="0" applyNumberFormat="1" applyFont="1" applyBorder="1"/>
    <xf numFmtId="3" fontId="4" fillId="0" borderId="17" xfId="0" applyNumberFormat="1" applyFont="1" applyBorder="1"/>
    <xf numFmtId="3" fontId="14" fillId="0" borderId="17" xfId="0" applyNumberFormat="1" applyFont="1" applyBorder="1"/>
    <xf numFmtId="3" fontId="9" fillId="0" borderId="27" xfId="0" applyNumberFormat="1" applyFont="1" applyBorder="1"/>
    <xf numFmtId="3" fontId="5" fillId="0" borderId="112" xfId="0" applyNumberFormat="1" applyFont="1" applyBorder="1"/>
    <xf numFmtId="3" fontId="10" fillId="0" borderId="38" xfId="0" applyNumberFormat="1" applyFont="1" applyBorder="1" applyAlignment="1">
      <alignment vertical="center"/>
    </xf>
    <xf numFmtId="3" fontId="14" fillId="0" borderId="27" xfId="0" applyNumberFormat="1" applyFont="1" applyBorder="1"/>
    <xf numFmtId="3" fontId="10" fillId="0" borderId="39" xfId="0" applyNumberFormat="1" applyFont="1" applyBorder="1" applyAlignment="1">
      <alignment vertical="center"/>
    </xf>
    <xf numFmtId="3" fontId="10" fillId="0" borderId="16" xfId="0" applyNumberFormat="1" applyFont="1" applyBorder="1" applyAlignment="1">
      <alignment vertical="center"/>
    </xf>
    <xf numFmtId="3" fontId="11" fillId="0" borderId="23" xfId="0" applyNumberFormat="1" applyFont="1" applyBorder="1"/>
    <xf numFmtId="3" fontId="11" fillId="0" borderId="112" xfId="0" applyNumberFormat="1" applyFont="1" applyBorder="1"/>
    <xf numFmtId="3" fontId="14" fillId="0" borderId="39" xfId="0" applyNumberFormat="1" applyFont="1" applyBorder="1" applyAlignment="1">
      <alignment vertical="center"/>
    </xf>
    <xf numFmtId="3" fontId="14" fillId="0" borderId="32" xfId="0" applyNumberFormat="1" applyFont="1" applyBorder="1"/>
    <xf numFmtId="3" fontId="14" fillId="0" borderId="39" xfId="0" applyNumberFormat="1" applyFont="1" applyBorder="1"/>
    <xf numFmtId="3" fontId="6" fillId="0" borderId="23" xfId="0" applyNumberFormat="1" applyFont="1" applyBorder="1"/>
    <xf numFmtId="3" fontId="14" fillId="0" borderId="112" xfId="0" applyNumberFormat="1" applyFont="1" applyBorder="1"/>
    <xf numFmtId="3" fontId="9" fillId="0" borderId="39" xfId="0" applyNumberFormat="1" applyFont="1" applyBorder="1"/>
    <xf numFmtId="3" fontId="9" fillId="0" borderId="16" xfId="0" applyNumberFormat="1" applyFont="1" applyBorder="1"/>
    <xf numFmtId="3" fontId="12" fillId="0" borderId="23" xfId="0" applyNumberFormat="1" applyFont="1" applyBorder="1"/>
    <xf numFmtId="3" fontId="9" fillId="0" borderId="38" xfId="0" applyNumberFormat="1" applyFont="1" applyBorder="1"/>
    <xf numFmtId="3" fontId="6" fillId="0" borderId="84" xfId="0" applyNumberFormat="1" applyFont="1" applyBorder="1" applyAlignment="1">
      <alignment horizontal="left"/>
    </xf>
    <xf numFmtId="3" fontId="5" fillId="0" borderId="77" xfId="0" applyNumberFormat="1" applyFont="1" applyBorder="1"/>
    <xf numFmtId="3" fontId="4" fillId="0" borderId="84" xfId="0" applyNumberFormat="1" applyFont="1" applyBorder="1" applyAlignment="1">
      <alignment horizontal="left"/>
    </xf>
    <xf numFmtId="3" fontId="5" fillId="0" borderId="72" xfId="0" applyNumberFormat="1" applyFont="1" applyBorder="1"/>
    <xf numFmtId="3" fontId="4" fillId="0" borderId="75" xfId="0" applyNumberFormat="1" applyFont="1" applyBorder="1"/>
    <xf numFmtId="9" fontId="14" fillId="0" borderId="72" xfId="0" applyNumberFormat="1" applyFont="1" applyBorder="1"/>
    <xf numFmtId="3" fontId="5" fillId="0" borderId="84" xfId="0" applyNumberFormat="1" applyFont="1" applyBorder="1"/>
    <xf numFmtId="9" fontId="11" fillId="0" borderId="72" xfId="0" applyNumberFormat="1" applyFont="1" applyBorder="1"/>
    <xf numFmtId="3" fontId="5" fillId="0" borderId="75" xfId="0" applyNumberFormat="1" applyFont="1" applyBorder="1"/>
    <xf numFmtId="0" fontId="5" fillId="0" borderId="84" xfId="0" applyFont="1" applyBorder="1"/>
    <xf numFmtId="0" fontId="5" fillId="0" borderId="75" xfId="0" applyFont="1" applyBorder="1"/>
    <xf numFmtId="3" fontId="10" fillId="0" borderId="84" xfId="0" applyNumberFormat="1" applyFont="1" applyBorder="1"/>
    <xf numFmtId="3" fontId="4" fillId="0" borderId="84" xfId="0" applyNumberFormat="1" applyFont="1" applyBorder="1"/>
    <xf numFmtId="3" fontId="4" fillId="0" borderId="75" xfId="0" applyNumberFormat="1" applyFont="1" applyBorder="1" applyAlignment="1">
      <alignment horizontal="left"/>
    </xf>
    <xf numFmtId="0" fontId="14" fillId="0" borderId="75" xfId="36" applyFont="1" applyBorder="1"/>
    <xf numFmtId="3" fontId="12" fillId="0" borderId="84" xfId="0" applyNumberFormat="1" applyFont="1" applyBorder="1"/>
    <xf numFmtId="3" fontId="11" fillId="0" borderId="75" xfId="0" applyNumberFormat="1" applyFont="1" applyBorder="1"/>
    <xf numFmtId="3" fontId="14" fillId="0" borderId="75" xfId="0" applyNumberFormat="1" applyFont="1" applyBorder="1"/>
    <xf numFmtId="3" fontId="12" fillId="0" borderId="75" xfId="0" applyNumberFormat="1" applyFont="1" applyBorder="1"/>
    <xf numFmtId="3" fontId="21" fillId="0" borderId="75" xfId="0" applyNumberFormat="1" applyFont="1" applyBorder="1"/>
    <xf numFmtId="3" fontId="21" fillId="0" borderId="84" xfId="0" applyNumberFormat="1" applyFont="1" applyBorder="1"/>
    <xf numFmtId="3" fontId="9" fillId="0" borderId="84" xfId="0" applyNumberFormat="1" applyFont="1" applyBorder="1"/>
    <xf numFmtId="3" fontId="12" fillId="0" borderId="90" xfId="0" applyNumberFormat="1" applyFont="1" applyBorder="1"/>
    <xf numFmtId="9" fontId="11" fillId="0" borderId="67" xfId="0" applyNumberFormat="1" applyFont="1" applyBorder="1"/>
    <xf numFmtId="3" fontId="10" fillId="0" borderId="91" xfId="0" applyNumberFormat="1" applyFont="1" applyBorder="1" applyAlignment="1">
      <alignment vertical="center"/>
    </xf>
    <xf numFmtId="9" fontId="14" fillId="0" borderId="54" xfId="0" applyNumberFormat="1" applyFont="1" applyBorder="1"/>
    <xf numFmtId="3" fontId="14" fillId="0" borderId="84" xfId="0" applyNumberFormat="1" applyFont="1" applyBorder="1"/>
    <xf numFmtId="9" fontId="14" fillId="0" borderId="77" xfId="0" applyNumberFormat="1" applyFont="1" applyBorder="1"/>
    <xf numFmtId="3" fontId="10" fillId="0" borderId="61" xfId="0" applyNumberFormat="1" applyFont="1" applyBorder="1" applyAlignment="1">
      <alignment vertical="center"/>
    </xf>
    <xf numFmtId="3" fontId="10" fillId="0" borderId="83" xfId="0" applyNumberFormat="1" applyFont="1" applyBorder="1" applyAlignment="1">
      <alignment vertical="center"/>
    </xf>
    <xf numFmtId="0" fontId="11" fillId="0" borderId="75" xfId="36" applyFont="1" applyBorder="1"/>
    <xf numFmtId="3" fontId="11" fillId="0" borderId="84" xfId="0" applyNumberFormat="1" applyFont="1" applyBorder="1"/>
    <xf numFmtId="3" fontId="14" fillId="0" borderId="65" xfId="0" applyNumberFormat="1" applyFont="1" applyBorder="1"/>
    <xf numFmtId="0" fontId="11" fillId="0" borderId="84" xfId="36" applyFont="1" applyBorder="1"/>
    <xf numFmtId="9" fontId="14" fillId="0" borderId="89" xfId="0" applyNumberFormat="1" applyFont="1" applyBorder="1"/>
    <xf numFmtId="3" fontId="6" fillId="0" borderId="91" xfId="0" applyNumberFormat="1" applyFont="1" applyBorder="1"/>
    <xf numFmtId="3" fontId="4" fillId="0" borderId="65" xfId="0" applyNumberFormat="1" applyFont="1" applyBorder="1"/>
    <xf numFmtId="3" fontId="6" fillId="0" borderId="84" xfId="0" applyNumberFormat="1" applyFont="1" applyBorder="1"/>
    <xf numFmtId="3" fontId="14" fillId="0" borderId="90" xfId="0" applyNumberFormat="1" applyFont="1" applyBorder="1"/>
    <xf numFmtId="9" fontId="14" fillId="0" borderId="67" xfId="0" applyNumberFormat="1" applyFont="1" applyBorder="1"/>
    <xf numFmtId="3" fontId="10" fillId="0" borderId="91" xfId="0" applyNumberFormat="1" applyFont="1" applyBorder="1"/>
    <xf numFmtId="3" fontId="10" fillId="0" borderId="83" xfId="0" applyNumberFormat="1" applyFont="1" applyBorder="1"/>
    <xf numFmtId="9" fontId="11" fillId="0" borderId="78" xfId="0" applyNumberFormat="1" applyFont="1" applyBorder="1"/>
    <xf numFmtId="9" fontId="11" fillId="0" borderId="54" xfId="0" applyNumberFormat="1" applyFont="1" applyBorder="1"/>
    <xf numFmtId="3" fontId="49" fillId="0" borderId="91" xfId="0" applyNumberFormat="1" applyFont="1" applyBorder="1" applyAlignment="1">
      <alignment vertical="center" wrapText="1"/>
    </xf>
    <xf numFmtId="9" fontId="14" fillId="0" borderId="54" xfId="0" applyNumberFormat="1" applyFont="1" applyBorder="1" applyAlignment="1">
      <alignment vertical="center"/>
    </xf>
    <xf numFmtId="0" fontId="1" fillId="0" borderId="0" xfId="90"/>
    <xf numFmtId="3" fontId="122" fillId="0" borderId="12" xfId="90" applyNumberFormat="1" applyFont="1" applyBorder="1" applyAlignment="1">
      <alignment vertical="center"/>
    </xf>
    <xf numFmtId="0" fontId="122" fillId="0" borderId="12" xfId="90" applyFont="1" applyBorder="1" applyAlignment="1">
      <alignment vertical="center" wrapText="1"/>
    </xf>
    <xf numFmtId="49" fontId="122" fillId="0" borderId="75" xfId="90" applyNumberFormat="1" applyFont="1" applyBorder="1" applyAlignment="1">
      <alignment horizontal="center" vertical="center"/>
    </xf>
    <xf numFmtId="3" fontId="122" fillId="0" borderId="72" xfId="90" applyNumberFormat="1" applyFont="1" applyBorder="1" applyAlignment="1">
      <alignment vertical="center"/>
    </xf>
    <xf numFmtId="3" fontId="122" fillId="15" borderId="72" xfId="90" applyNumberFormat="1" applyFont="1" applyFill="1" applyBorder="1" applyAlignment="1">
      <alignment vertical="center"/>
    </xf>
    <xf numFmtId="49" fontId="122" fillId="0" borderId="84" xfId="90" applyNumberFormat="1" applyFont="1" applyBorder="1" applyAlignment="1">
      <alignment horizontal="center" vertical="center"/>
    </xf>
    <xf numFmtId="0" fontId="122" fillId="0" borderId="11" xfId="90" applyFont="1" applyBorder="1" applyAlignment="1">
      <alignment vertical="center" wrapText="1"/>
    </xf>
    <xf numFmtId="3" fontId="122" fillId="0" borderId="11" xfId="90" applyNumberFormat="1" applyFont="1" applyBorder="1" applyAlignment="1">
      <alignment vertical="center"/>
    </xf>
    <xf numFmtId="3" fontId="122" fillId="0" borderId="77" xfId="90" applyNumberFormat="1" applyFont="1" applyBorder="1" applyAlignment="1">
      <alignment vertical="center"/>
    </xf>
    <xf numFmtId="0" fontId="0" fillId="0" borderId="75" xfId="0" applyBorder="1" applyAlignment="1">
      <alignment horizontal="left" vertical="center"/>
    </xf>
    <xf numFmtId="3" fontId="71" fillId="0" borderId="72" xfId="53" applyNumberFormat="1" applyFont="1" applyBorder="1" applyAlignment="1">
      <alignment horizontal="right" vertical="center" wrapText="1"/>
    </xf>
    <xf numFmtId="0" fontId="0" fillId="0" borderId="80" xfId="0" applyBorder="1"/>
    <xf numFmtId="0" fontId="0" fillId="0" borderId="13" xfId="0" applyBorder="1"/>
    <xf numFmtId="0" fontId="0" fillId="0" borderId="78" xfId="0" applyBorder="1"/>
    <xf numFmtId="0" fontId="42" fillId="0" borderId="61" xfId="0" applyFont="1" applyBorder="1" applyAlignment="1">
      <alignment vertical="center"/>
    </xf>
    <xf numFmtId="3" fontId="42" fillId="0" borderId="15" xfId="0" applyNumberFormat="1" applyFont="1" applyBorder="1" applyAlignment="1">
      <alignment vertical="center"/>
    </xf>
    <xf numFmtId="0" fontId="42" fillId="0" borderId="15" xfId="0" applyFont="1" applyBorder="1" applyAlignment="1">
      <alignment vertical="center"/>
    </xf>
    <xf numFmtId="3" fontId="42" fillId="0" borderId="54" xfId="0" applyNumberFormat="1" applyFont="1" applyBorder="1" applyAlignment="1">
      <alignment vertical="center"/>
    </xf>
    <xf numFmtId="0" fontId="70" fillId="0" borderId="84" xfId="0" applyFont="1" applyBorder="1" applyAlignment="1">
      <alignment horizontal="center" vertical="center" wrapText="1"/>
    </xf>
    <xf numFmtId="0" fontId="70" fillId="0" borderId="11" xfId="0" applyFont="1" applyBorder="1" applyAlignment="1">
      <alignment horizontal="center" vertical="center" wrapText="1"/>
    </xf>
    <xf numFmtId="0" fontId="70" fillId="0" borderId="77" xfId="53" applyFont="1" applyBorder="1" applyAlignment="1">
      <alignment horizontal="center" vertical="center" wrapText="1"/>
    </xf>
    <xf numFmtId="0" fontId="70" fillId="0" borderId="15" xfId="53" applyFont="1" applyBorder="1" applyAlignment="1">
      <alignment horizontal="center" vertical="center" wrapText="1"/>
    </xf>
    <xf numFmtId="0" fontId="70" fillId="0" borderId="15" xfId="0" applyFont="1" applyBorder="1" applyAlignment="1">
      <alignment horizontal="center" vertical="center" wrapText="1"/>
    </xf>
    <xf numFmtId="0" fontId="70" fillId="0" borderId="54" xfId="53" applyFont="1" applyBorder="1" applyAlignment="1">
      <alignment horizontal="center" vertical="center" wrapText="1"/>
    </xf>
    <xf numFmtId="49" fontId="122" fillId="0" borderId="85" xfId="90" applyNumberFormat="1" applyFont="1" applyBorder="1" applyAlignment="1">
      <alignment horizontal="center" vertical="center"/>
    </xf>
    <xf numFmtId="0" fontId="122" fillId="0" borderId="46" xfId="90" applyFont="1" applyBorder="1" applyAlignment="1">
      <alignment vertical="center" wrapText="1"/>
    </xf>
    <xf numFmtId="3" fontId="122" fillId="0" borderId="13" xfId="90" applyNumberFormat="1" applyFont="1" applyBorder="1" applyAlignment="1">
      <alignment vertical="center"/>
    </xf>
    <xf numFmtId="3" fontId="122" fillId="0" borderId="78" xfId="90" applyNumberFormat="1" applyFont="1" applyBorder="1" applyAlignment="1">
      <alignment vertical="center"/>
    </xf>
    <xf numFmtId="3" fontId="20" fillId="0" borderId="15" xfId="90" applyNumberFormat="1" applyFont="1" applyBorder="1" applyAlignment="1">
      <alignment vertical="center"/>
    </xf>
    <xf numFmtId="3" fontId="20" fillId="0" borderId="54" xfId="90" applyNumberFormat="1" applyFont="1" applyBorder="1" applyAlignment="1">
      <alignment vertical="center"/>
    </xf>
    <xf numFmtId="166" fontId="122" fillId="0" borderId="12" xfId="90" applyNumberFormat="1" applyFont="1" applyBorder="1" applyAlignment="1">
      <alignment vertical="center"/>
    </xf>
    <xf numFmtId="0" fontId="42" fillId="0" borderId="64" xfId="82" applyFont="1" applyBorder="1" applyAlignment="1">
      <alignment horizontal="center" vertical="center"/>
    </xf>
    <xf numFmtId="3" fontId="111" fillId="0" borderId="0" xfId="87" applyNumberFormat="1" applyFont="1" applyAlignment="1">
      <alignment horizontal="right"/>
    </xf>
    <xf numFmtId="2" fontId="111" fillId="0" borderId="0" xfId="87" applyNumberFormat="1" applyFont="1" applyAlignment="1">
      <alignment horizontal="center" vertical="center"/>
    </xf>
    <xf numFmtId="2" fontId="111" fillId="0" borderId="70" xfId="87" applyNumberFormat="1" applyFont="1" applyBorder="1" applyAlignment="1">
      <alignment horizontal="center" vertical="center"/>
    </xf>
    <xf numFmtId="4" fontId="111" fillId="0" borderId="105" xfId="87" applyNumberFormat="1" applyFont="1" applyBorder="1" applyAlignment="1">
      <alignment horizontal="center"/>
    </xf>
    <xf numFmtId="2" fontId="121" fillId="0" borderId="64" xfId="87" applyNumberFormat="1" applyFont="1" applyBorder="1" applyAlignment="1">
      <alignment horizontal="center" vertical="center" wrapText="1"/>
    </xf>
    <xf numFmtId="0" fontId="112" fillId="0" borderId="52" xfId="87" applyFont="1" applyBorder="1" applyAlignment="1">
      <alignment horizontal="center" vertical="center" wrapText="1"/>
    </xf>
    <xf numFmtId="3" fontId="112" fillId="0" borderId="15" xfId="87" applyNumberFormat="1" applyFont="1" applyBorder="1" applyAlignment="1">
      <alignment horizontal="center" vertical="center" wrapText="1"/>
    </xf>
    <xf numFmtId="3" fontId="112" fillId="0" borderId="52" xfId="87" applyNumberFormat="1" applyFont="1" applyBorder="1" applyAlignment="1">
      <alignment horizontal="center" vertical="center" wrapText="1"/>
    </xf>
    <xf numFmtId="4" fontId="112" fillId="0" borderId="54" xfId="87" applyNumberFormat="1" applyFont="1" applyBorder="1" applyAlignment="1">
      <alignment horizontal="center" vertical="center" wrapText="1"/>
    </xf>
    <xf numFmtId="2" fontId="112" fillId="0" borderId="109" xfId="87" applyNumberFormat="1" applyFont="1" applyBorder="1" applyAlignment="1">
      <alignment horizontal="center" vertical="center" wrapText="1"/>
    </xf>
    <xf numFmtId="0" fontId="112" fillId="0" borderId="58" xfId="87" applyFont="1" applyBorder="1" applyAlignment="1">
      <alignment horizontal="left" vertical="center" wrapText="1"/>
    </xf>
    <xf numFmtId="3" fontId="112" fillId="0" borderId="25" xfId="87" applyNumberFormat="1" applyFont="1" applyBorder="1" applyAlignment="1">
      <alignment horizontal="center" vertical="center" wrapText="1"/>
    </xf>
    <xf numFmtId="3" fontId="112" fillId="0" borderId="58" xfId="87" applyNumberFormat="1" applyFont="1" applyBorder="1" applyAlignment="1">
      <alignment horizontal="center" vertical="center" wrapText="1"/>
    </xf>
    <xf numFmtId="4" fontId="112" fillId="0" borderId="110" xfId="87" applyNumberFormat="1" applyFont="1" applyBorder="1" applyAlignment="1">
      <alignment horizontal="center" vertical="center" wrapText="1"/>
    </xf>
    <xf numFmtId="2" fontId="112" fillId="0" borderId="75" xfId="87" applyNumberFormat="1" applyFont="1" applyBorder="1" applyAlignment="1">
      <alignment horizontal="center" vertical="center"/>
    </xf>
    <xf numFmtId="0" fontId="112" fillId="0" borderId="37" xfId="87" applyFont="1" applyBorder="1"/>
    <xf numFmtId="3" fontId="112" fillId="0" borderId="37" xfId="87" applyNumberFormat="1" applyFont="1" applyBorder="1"/>
    <xf numFmtId="4" fontId="112" fillId="0" borderId="111" xfId="87" applyNumberFormat="1" applyFont="1" applyBorder="1" applyAlignment="1">
      <alignment horizontal="center"/>
    </xf>
    <xf numFmtId="2" fontId="111" fillId="0" borderId="75" xfId="87" applyNumberFormat="1" applyFont="1" applyBorder="1" applyAlignment="1">
      <alignment horizontal="center" vertical="center"/>
    </xf>
    <xf numFmtId="0" fontId="111" fillId="0" borderId="12" xfId="87" applyFont="1" applyBorder="1"/>
    <xf numFmtId="4" fontId="111" fillId="0" borderId="72" xfId="87" applyNumberFormat="1" applyFont="1" applyBorder="1" applyAlignment="1">
      <alignment horizontal="center"/>
    </xf>
    <xf numFmtId="0" fontId="112" fillId="0" borderId="12" xfId="87" applyFont="1" applyBorder="1"/>
    <xf numFmtId="3" fontId="112" fillId="0" borderId="12" xfId="87" applyNumberFormat="1" applyFont="1" applyBorder="1"/>
    <xf numFmtId="4" fontId="112" fillId="0" borderId="72" xfId="87" applyNumberFormat="1" applyFont="1" applyBorder="1" applyAlignment="1">
      <alignment horizontal="center"/>
    </xf>
    <xf numFmtId="3" fontId="111" fillId="0" borderId="12" xfId="87" applyNumberFormat="1" applyFont="1" applyBorder="1"/>
    <xf numFmtId="0" fontId="112" fillId="0" borderId="12" xfId="87" applyFont="1" applyBorder="1" applyAlignment="1">
      <alignment vertical="center" wrapText="1"/>
    </xf>
    <xf numFmtId="3" fontId="112" fillId="0" borderId="12" xfId="87" applyNumberFormat="1" applyFont="1" applyBorder="1" applyAlignment="1">
      <alignment vertical="center"/>
    </xf>
    <xf numFmtId="4" fontId="112" fillId="0" borderId="72" xfId="87" applyNumberFormat="1" applyFont="1" applyBorder="1" applyAlignment="1">
      <alignment horizontal="center" vertical="center"/>
    </xf>
    <xf numFmtId="0" fontId="112" fillId="0" borderId="12" xfId="87" applyFont="1" applyBorder="1" applyAlignment="1">
      <alignment vertical="top" wrapText="1"/>
    </xf>
    <xf numFmtId="3" fontId="112" fillId="0" borderId="12" xfId="87" applyNumberFormat="1" applyFont="1" applyBorder="1" applyAlignment="1">
      <alignment vertical="top"/>
    </xf>
    <xf numFmtId="0" fontId="111" fillId="0" borderId="12" xfId="87" applyFont="1" applyBorder="1" applyAlignment="1">
      <alignment wrapText="1"/>
    </xf>
    <xf numFmtId="0" fontId="111" fillId="0" borderId="12" xfId="87" applyFont="1" applyBorder="1" applyAlignment="1">
      <alignment horizontal="left" wrapText="1" indent="1"/>
    </xf>
    <xf numFmtId="0" fontId="112" fillId="0" borderId="12" xfId="87" applyFont="1" applyBorder="1" applyAlignment="1">
      <alignment wrapText="1"/>
    </xf>
    <xf numFmtId="0" fontId="112" fillId="0" borderId="12" xfId="87" applyFont="1" applyBorder="1" applyAlignment="1">
      <alignment vertical="center"/>
    </xf>
    <xf numFmtId="4" fontId="112" fillId="0" borderId="72" xfId="87" applyNumberFormat="1" applyFont="1" applyBorder="1" applyAlignment="1">
      <alignment horizontal="center" vertical="top"/>
    </xf>
    <xf numFmtId="0" fontId="111" fillId="0" borderId="12" xfId="87" applyFont="1" applyBorder="1" applyAlignment="1">
      <alignment vertical="center"/>
    </xf>
    <xf numFmtId="4" fontId="111" fillId="0" borderId="72" xfId="87" applyNumberFormat="1" applyFont="1" applyBorder="1" applyAlignment="1">
      <alignment horizontal="center" vertical="center"/>
    </xf>
    <xf numFmtId="3" fontId="112" fillId="0" borderId="12" xfId="87" applyNumberFormat="1" applyFont="1" applyBorder="1" applyAlignment="1">
      <alignment horizontal="right" vertical="center"/>
    </xf>
    <xf numFmtId="2" fontId="111" fillId="0" borderId="75" xfId="87" applyNumberFormat="1" applyFont="1" applyBorder="1" applyAlignment="1">
      <alignment horizontal="center" vertical="center" wrapText="1"/>
    </xf>
    <xf numFmtId="0" fontId="111" fillId="0" borderId="12" xfId="87" applyFont="1" applyBorder="1" applyAlignment="1">
      <alignment horizontal="left" vertical="center" wrapText="1"/>
    </xf>
    <xf numFmtId="3" fontId="111" fillId="0" borderId="12" xfId="87" applyNumberFormat="1" applyFont="1" applyBorder="1" applyAlignment="1">
      <alignment vertical="center" wrapText="1"/>
    </xf>
    <xf numFmtId="4" fontId="111" fillId="0" borderId="72" xfId="87" applyNumberFormat="1" applyFont="1" applyBorder="1" applyAlignment="1">
      <alignment horizontal="center" vertical="center" wrapText="1"/>
    </xf>
    <xf numFmtId="4" fontId="111" fillId="0" borderId="72" xfId="87" applyNumberFormat="1" applyFont="1" applyBorder="1" applyAlignment="1">
      <alignment horizontal="center" wrapText="1"/>
    </xf>
    <xf numFmtId="0" fontId="112" fillId="0" borderId="12" xfId="87" applyFont="1" applyBorder="1" applyAlignment="1">
      <alignment horizontal="left" wrapText="1"/>
    </xf>
    <xf numFmtId="0" fontId="112" fillId="0" borderId="12" xfId="87" applyFont="1" applyBorder="1" applyAlignment="1">
      <alignment horizontal="left" vertical="center"/>
    </xf>
    <xf numFmtId="0" fontId="111" fillId="0" borderId="12" xfId="87" applyFont="1" applyBorder="1" applyAlignment="1">
      <alignment horizontal="left" vertical="center"/>
    </xf>
    <xf numFmtId="0" fontId="111" fillId="0" borderId="23" xfId="87" applyFont="1" applyBorder="1" applyAlignment="1">
      <alignment horizontal="left" vertical="center"/>
    </xf>
    <xf numFmtId="2" fontId="112" fillId="0" borderId="80" xfId="87" applyNumberFormat="1" applyFont="1" applyBorder="1" applyAlignment="1">
      <alignment horizontal="center" vertical="center"/>
    </xf>
    <xf numFmtId="0" fontId="112" fillId="0" borderId="17" xfId="87" applyFont="1" applyBorder="1" applyAlignment="1">
      <alignment horizontal="left" vertical="center"/>
    </xf>
    <xf numFmtId="3" fontId="112" fillId="0" borderId="13" xfId="87" applyNumberFormat="1" applyFont="1" applyBorder="1" applyAlignment="1">
      <alignment vertical="center"/>
    </xf>
    <xf numFmtId="4" fontId="112" fillId="0" borderId="78" xfId="87" applyNumberFormat="1" applyFont="1" applyBorder="1" applyAlignment="1">
      <alignment horizontal="center" vertical="center"/>
    </xf>
    <xf numFmtId="2" fontId="112" fillId="0" borderId="64" xfId="87" applyNumberFormat="1" applyFont="1" applyBorder="1" applyAlignment="1">
      <alignment horizontal="center" vertical="center"/>
    </xf>
    <xf numFmtId="0" fontId="112" fillId="0" borderId="15" xfId="87" applyFont="1" applyBorder="1" applyAlignment="1">
      <alignment vertical="center"/>
    </xf>
    <xf numFmtId="3" fontId="112" fillId="0" borderId="15" xfId="87" applyNumberFormat="1" applyFont="1" applyBorder="1" applyAlignment="1">
      <alignment vertical="center"/>
    </xf>
    <xf numFmtId="4" fontId="112" fillId="0" borderId="54" xfId="87" applyNumberFormat="1" applyFont="1" applyBorder="1" applyAlignment="1">
      <alignment horizontal="center" vertical="center"/>
    </xf>
    <xf numFmtId="3" fontId="111" fillId="0" borderId="0" xfId="87" applyNumberFormat="1" applyFont="1"/>
    <xf numFmtId="4" fontId="111" fillId="0" borderId="0" xfId="87" applyNumberFormat="1" applyFont="1" applyAlignment="1">
      <alignment horizontal="center"/>
    </xf>
    <xf numFmtId="4" fontId="111" fillId="0" borderId="0" xfId="87" applyNumberFormat="1" applyFont="1"/>
    <xf numFmtId="0" fontId="116" fillId="0" borderId="10" xfId="0" applyFont="1" applyBorder="1" applyAlignment="1">
      <alignment vertical="center" wrapText="1"/>
    </xf>
    <xf numFmtId="0" fontId="19" fillId="0" borderId="78" xfId="50" applyFont="1" applyBorder="1" applyAlignment="1">
      <alignment horizontal="center" vertical="center"/>
    </xf>
    <xf numFmtId="0" fontId="20" fillId="0" borderId="21" xfId="54" applyFont="1" applyBorder="1" applyAlignment="1">
      <alignment horizontal="center" vertical="center"/>
    </xf>
    <xf numFmtId="0" fontId="20" fillId="0" borderId="67" xfId="54" applyFont="1" applyBorder="1" applyAlignment="1">
      <alignment horizontal="center" vertical="center"/>
    </xf>
    <xf numFmtId="4" fontId="112" fillId="0" borderId="0" xfId="87" applyNumberFormat="1" applyFont="1" applyAlignment="1">
      <alignment horizontal="right"/>
    </xf>
    <xf numFmtId="0" fontId="48" fillId="0" borderId="12" xfId="46" applyFont="1" applyBorder="1"/>
    <xf numFmtId="0" fontId="111" fillId="0" borderId="65" xfId="87" applyFont="1" applyBorder="1" applyAlignment="1">
      <alignment horizontal="center"/>
    </xf>
    <xf numFmtId="0" fontId="111" fillId="0" borderId="18" xfId="87" applyFont="1" applyBorder="1" applyAlignment="1">
      <alignment horizontal="center" vertical="center"/>
    </xf>
    <xf numFmtId="3" fontId="111" fillId="0" borderId="18" xfId="87" applyNumberFormat="1" applyFont="1" applyBorder="1" applyAlignment="1">
      <alignment horizontal="center" vertical="center"/>
    </xf>
    <xf numFmtId="3" fontId="111" fillId="0" borderId="66" xfId="87" applyNumberFormat="1" applyFont="1" applyBorder="1" applyAlignment="1">
      <alignment horizontal="center" vertical="center"/>
    </xf>
    <xf numFmtId="0" fontId="111" fillId="0" borderId="75" xfId="87" applyFont="1" applyBorder="1" applyAlignment="1">
      <alignment vertical="top" wrapText="1"/>
    </xf>
    <xf numFmtId="0" fontId="112" fillId="0" borderId="90" xfId="87" applyFont="1" applyBorder="1" applyAlignment="1">
      <alignment vertical="top" wrapText="1"/>
    </xf>
    <xf numFmtId="3" fontId="112" fillId="0" borderId="21" xfId="88" applyNumberFormat="1" applyFont="1" applyBorder="1" applyAlignment="1">
      <alignment horizontal="center" vertical="center"/>
    </xf>
    <xf numFmtId="3" fontId="112" fillId="0" borderId="67" xfId="88" applyNumberFormat="1" applyFont="1" applyBorder="1" applyAlignment="1">
      <alignment horizontal="center" vertical="center" wrapText="1"/>
    </xf>
    <xf numFmtId="3" fontId="112" fillId="25" borderId="64" xfId="56" applyNumberFormat="1" applyFont="1" applyFill="1" applyBorder="1" applyAlignment="1">
      <alignment vertical="center"/>
    </xf>
    <xf numFmtId="3" fontId="42" fillId="0" borderId="12" xfId="53" applyNumberFormat="1" applyFont="1" applyBorder="1" applyAlignment="1">
      <alignment vertical="center"/>
    </xf>
    <xf numFmtId="3" fontId="70" fillId="0" borderId="12" xfId="53" applyNumberFormat="1" applyFont="1" applyBorder="1" applyAlignment="1">
      <alignment vertical="center"/>
    </xf>
    <xf numFmtId="3" fontId="42" fillId="0" borderId="11" xfId="53" applyNumberFormat="1" applyFont="1" applyBorder="1" applyAlignment="1">
      <alignment vertical="center"/>
    </xf>
    <xf numFmtId="3" fontId="43" fillId="0" borderId="11" xfId="0" applyNumberFormat="1" applyFont="1" applyBorder="1" applyAlignment="1">
      <alignment horizontal="right" vertical="center"/>
    </xf>
    <xf numFmtId="0" fontId="16" fillId="0" borderId="12" xfId="53" applyBorder="1"/>
    <xf numFmtId="3" fontId="44" fillId="0" borderId="12" xfId="53" applyNumberFormat="1" applyFont="1" applyBorder="1" applyAlignment="1">
      <alignment vertical="center"/>
    </xf>
    <xf numFmtId="3" fontId="44" fillId="0" borderId="11" xfId="53" applyNumberFormat="1" applyFont="1" applyBorder="1" applyAlignment="1">
      <alignment vertical="center"/>
    </xf>
    <xf numFmtId="3" fontId="44" fillId="0" borderId="11" xfId="53" applyNumberFormat="1" applyFont="1" applyBorder="1" applyAlignment="1">
      <alignment horizontal="right" vertical="center"/>
    </xf>
    <xf numFmtId="3" fontId="71" fillId="0" borderId="11" xfId="53" applyNumberFormat="1" applyFont="1" applyBorder="1" applyAlignment="1">
      <alignment vertical="center"/>
    </xf>
    <xf numFmtId="3" fontId="71" fillId="0" borderId="12" xfId="53" applyNumberFormat="1" applyFont="1" applyBorder="1" applyAlignment="1">
      <alignment vertical="center"/>
    </xf>
    <xf numFmtId="0" fontId="68" fillId="0" borderId="12" xfId="53" applyFont="1" applyBorder="1" applyAlignment="1">
      <alignment vertical="center"/>
    </xf>
    <xf numFmtId="0" fontId="48" fillId="0" borderId="42" xfId="46" applyFont="1" applyBorder="1" applyAlignment="1">
      <alignment horizontal="left"/>
    </xf>
    <xf numFmtId="9" fontId="13" fillId="0" borderId="77" xfId="0" applyNumberFormat="1" applyFont="1" applyBorder="1"/>
    <xf numFmtId="0" fontId="4" fillId="0" borderId="15" xfId="38" applyFont="1" applyBorder="1" applyAlignment="1">
      <alignment horizontal="right"/>
    </xf>
    <xf numFmtId="9" fontId="15" fillId="0" borderId="54" xfId="0" applyNumberFormat="1" applyFont="1" applyBorder="1"/>
    <xf numFmtId="3" fontId="8" fillId="0" borderId="10" xfId="38" applyNumberFormat="1" applyFont="1" applyBorder="1" applyAlignment="1">
      <alignment horizontal="right"/>
    </xf>
    <xf numFmtId="3" fontId="5" fillId="0" borderId="16" xfId="38" applyNumberFormat="1" applyFont="1" applyBorder="1" applyAlignment="1">
      <alignment horizontal="right"/>
    </xf>
    <xf numFmtId="3" fontId="4" fillId="0" borderId="14" xfId="38" applyNumberFormat="1" applyFont="1" applyBorder="1" applyAlignment="1">
      <alignment horizontal="right"/>
    </xf>
    <xf numFmtId="9" fontId="14" fillId="0" borderId="54" xfId="38" applyNumberFormat="1" applyFont="1" applyBorder="1" applyAlignment="1">
      <alignment horizontal="right" vertical="center"/>
    </xf>
    <xf numFmtId="9" fontId="15" fillId="0" borderId="54" xfId="0" applyNumberFormat="1" applyFont="1" applyBorder="1" applyAlignment="1">
      <alignment vertical="center"/>
    </xf>
    <xf numFmtId="3" fontId="5" fillId="0" borderId="38" xfId="38" applyNumberFormat="1" applyFont="1" applyBorder="1" applyAlignment="1">
      <alignment horizontal="right" vertical="center"/>
    </xf>
    <xf numFmtId="3" fontId="5" fillId="0" borderId="14" xfId="38" applyNumberFormat="1" applyFont="1" applyBorder="1" applyAlignment="1">
      <alignment horizontal="right" vertical="center"/>
    </xf>
    <xf numFmtId="9" fontId="5" fillId="0" borderId="89" xfId="38" applyNumberFormat="1" applyFont="1" applyBorder="1" applyAlignment="1">
      <alignment horizontal="right" vertical="center"/>
    </xf>
    <xf numFmtId="3" fontId="4" fillId="0" borderId="54" xfId="38" applyNumberFormat="1" applyFont="1" applyBorder="1" applyAlignment="1">
      <alignment horizontal="right" vertical="center"/>
    </xf>
    <xf numFmtId="3" fontId="5" fillId="0" borderId="16" xfId="38" applyNumberFormat="1" applyFont="1" applyBorder="1" applyAlignment="1">
      <alignment horizontal="right" vertical="center"/>
    </xf>
    <xf numFmtId="3" fontId="5" fillId="0" borderId="10" xfId="38" applyNumberFormat="1" applyFont="1" applyBorder="1" applyAlignment="1">
      <alignment horizontal="right" vertical="center"/>
    </xf>
    <xf numFmtId="9" fontId="5" fillId="0" borderId="74" xfId="45" applyFont="1" applyFill="1" applyBorder="1" applyAlignment="1">
      <alignment horizontal="right" vertical="center"/>
    </xf>
    <xf numFmtId="9" fontId="13" fillId="0" borderId="76" xfId="0" applyNumberFormat="1" applyFont="1" applyBorder="1"/>
    <xf numFmtId="3" fontId="4" fillId="0" borderId="15" xfId="38" applyNumberFormat="1" applyFont="1" applyBorder="1" applyAlignment="1">
      <alignment horizontal="right" vertical="center"/>
    </xf>
    <xf numFmtId="9" fontId="5" fillId="0" borderId="54" xfId="38" applyNumberFormat="1" applyFont="1" applyBorder="1" applyAlignment="1">
      <alignment horizontal="right" vertical="center"/>
    </xf>
    <xf numFmtId="3" fontId="4" fillId="0" borderId="38" xfId="38" applyNumberFormat="1" applyFont="1" applyBorder="1" applyAlignment="1">
      <alignment horizontal="right"/>
    </xf>
    <xf numFmtId="0" fontId="4" fillId="0" borderId="16" xfId="38" applyFont="1" applyBorder="1" applyAlignment="1">
      <alignment horizontal="center"/>
    </xf>
    <xf numFmtId="9" fontId="5" fillId="0" borderId="74" xfId="38" applyNumberFormat="1" applyFont="1" applyBorder="1" applyAlignment="1">
      <alignment horizontal="right" vertical="center"/>
    </xf>
    <xf numFmtId="0" fontId="14" fillId="0" borderId="14" xfId="38" applyFont="1" applyBorder="1" applyAlignment="1">
      <alignment horizontal="right"/>
    </xf>
    <xf numFmtId="3" fontId="8" fillId="0" borderId="16" xfId="38" applyNumberFormat="1" applyFont="1" applyBorder="1" applyAlignment="1">
      <alignment horizontal="right"/>
    </xf>
    <xf numFmtId="3" fontId="5" fillId="0" borderId="38" xfId="38" applyNumberFormat="1" applyFont="1" applyBorder="1" applyAlignment="1">
      <alignment horizontal="right"/>
    </xf>
    <xf numFmtId="3" fontId="5" fillId="0" borderId="14" xfId="38" applyNumberFormat="1" applyFont="1" applyBorder="1" applyAlignment="1">
      <alignment horizontal="right"/>
    </xf>
    <xf numFmtId="3" fontId="5" fillId="0" borderId="39" xfId="38" applyNumberFormat="1" applyFont="1" applyBorder="1" applyAlignment="1">
      <alignment horizontal="right" vertical="center"/>
    </xf>
    <xf numFmtId="0" fontId="4" fillId="0" borderId="38" xfId="38" applyFont="1" applyBorder="1"/>
    <xf numFmtId="3" fontId="4" fillId="0" borderId="39" xfId="38" applyNumberFormat="1" applyFont="1" applyBorder="1" applyAlignment="1">
      <alignment horizontal="right" vertical="center"/>
    </xf>
    <xf numFmtId="9" fontId="5" fillId="0" borderId="54" xfId="45" applyFont="1" applyFill="1" applyBorder="1" applyAlignment="1">
      <alignment horizontal="right" vertical="center"/>
    </xf>
    <xf numFmtId="3" fontId="4" fillId="0" borderId="38" xfId="38" applyNumberFormat="1" applyFont="1" applyBorder="1"/>
    <xf numFmtId="9" fontId="13" fillId="0" borderId="89" xfId="0" applyNumberFormat="1" applyFont="1" applyBorder="1"/>
    <xf numFmtId="3" fontId="5" fillId="0" borderId="15" xfId="38" applyNumberFormat="1" applyFont="1" applyBorder="1" applyAlignment="1">
      <alignment horizontal="right"/>
    </xf>
    <xf numFmtId="9" fontId="11" fillId="0" borderId="76" xfId="38" applyNumberFormat="1" applyFont="1" applyBorder="1" applyAlignment="1">
      <alignment horizontal="right" vertical="center"/>
    </xf>
    <xf numFmtId="9" fontId="14" fillId="0" borderId="89" xfId="38" applyNumberFormat="1" applyFont="1" applyBorder="1" applyAlignment="1">
      <alignment horizontal="right" vertical="center"/>
    </xf>
    <xf numFmtId="3" fontId="11" fillId="0" borderId="16" xfId="38" applyNumberFormat="1" applyFont="1" applyBorder="1" applyAlignment="1" applyProtection="1">
      <alignment horizontal="right"/>
      <protection locked="0"/>
    </xf>
    <xf numFmtId="3" fontId="11" fillId="0" borderId="10" xfId="38" applyNumberFormat="1" applyFont="1" applyBorder="1" applyAlignment="1" applyProtection="1">
      <alignment horizontal="right"/>
      <protection locked="0"/>
    </xf>
    <xf numFmtId="3" fontId="4" fillId="0" borderId="14" xfId="38" applyNumberFormat="1" applyFont="1" applyBorder="1"/>
    <xf numFmtId="3" fontId="5" fillId="0" borderId="38" xfId="38" applyNumberFormat="1" applyFont="1" applyBorder="1"/>
    <xf numFmtId="3" fontId="5" fillId="0" borderId="14" xfId="38" applyNumberFormat="1" applyFont="1" applyBorder="1"/>
    <xf numFmtId="3" fontId="11" fillId="0" borderId="16" xfId="38" applyNumberFormat="1" applyFont="1" applyBorder="1" applyAlignment="1">
      <alignment horizontal="right" vertical="center"/>
    </xf>
    <xf numFmtId="3" fontId="11" fillId="0" borderId="10" xfId="38" applyNumberFormat="1" applyFont="1" applyBorder="1" applyAlignment="1">
      <alignment horizontal="right" vertical="center"/>
    </xf>
    <xf numFmtId="3" fontId="14" fillId="0" borderId="39" xfId="38" applyNumberFormat="1" applyFont="1" applyBorder="1" applyAlignment="1">
      <alignment horizontal="right" vertical="center"/>
    </xf>
    <xf numFmtId="3" fontId="46" fillId="0" borderId="16" xfId="38" applyNumberFormat="1" applyFont="1" applyBorder="1" applyAlignment="1">
      <alignment horizontal="right"/>
    </xf>
    <xf numFmtId="3" fontId="46" fillId="0" borderId="10" xfId="38" applyNumberFormat="1" applyFont="1" applyBorder="1" applyAlignment="1">
      <alignment horizontal="right"/>
    </xf>
    <xf numFmtId="9" fontId="11" fillId="0" borderId="89" xfId="38" applyNumberFormat="1" applyFont="1" applyBorder="1" applyAlignment="1">
      <alignment horizontal="right" vertical="center"/>
    </xf>
    <xf numFmtId="3" fontId="14" fillId="0" borderId="16" xfId="38" applyNumberFormat="1" applyFont="1" applyBorder="1" applyAlignment="1">
      <alignment horizontal="right"/>
    </xf>
    <xf numFmtId="9" fontId="14" fillId="0" borderId="76" xfId="38" applyNumberFormat="1" applyFont="1" applyBorder="1" applyAlignment="1">
      <alignment horizontal="right" vertical="center"/>
    </xf>
    <xf numFmtId="3" fontId="12" fillId="0" borderId="16" xfId="38" applyNumberFormat="1" applyFont="1" applyBorder="1" applyAlignment="1">
      <alignment horizontal="right" vertical="center"/>
    </xf>
    <xf numFmtId="3" fontId="14" fillId="0" borderId="10" xfId="38" applyNumberFormat="1" applyFont="1" applyBorder="1" applyAlignment="1">
      <alignment horizontal="right"/>
    </xf>
    <xf numFmtId="3" fontId="14" fillId="0" borderId="39" xfId="34" applyNumberFormat="1" applyFont="1" applyBorder="1" applyAlignment="1">
      <alignment horizontal="right"/>
    </xf>
    <xf numFmtId="3" fontId="14" fillId="0" borderId="15" xfId="34" applyNumberFormat="1" applyFont="1" applyBorder="1" applyAlignment="1">
      <alignment horizontal="right"/>
    </xf>
    <xf numFmtId="0" fontId="11" fillId="0" borderId="38" xfId="38" applyFont="1" applyBorder="1" applyAlignment="1">
      <alignment horizontal="right"/>
    </xf>
    <xf numFmtId="0" fontId="11" fillId="0" borderId="14" xfId="38" applyFont="1" applyBorder="1" applyAlignment="1">
      <alignment horizontal="right"/>
    </xf>
    <xf numFmtId="0" fontId="4" fillId="0" borderId="39" xfId="38" applyFont="1" applyBorder="1" applyAlignment="1">
      <alignment horizontal="right"/>
    </xf>
    <xf numFmtId="0" fontId="4" fillId="0" borderId="38" xfId="38" applyFont="1" applyBorder="1" applyAlignment="1">
      <alignment horizontal="right"/>
    </xf>
    <xf numFmtId="0" fontId="4" fillId="0" borderId="14" xfId="38" applyFont="1" applyBorder="1" applyAlignment="1">
      <alignment horizontal="right"/>
    </xf>
    <xf numFmtId="3" fontId="11" fillId="0" borderId="15" xfId="38" applyNumberFormat="1" applyFont="1" applyBorder="1" applyAlignment="1">
      <alignment horizontal="right" vertical="center"/>
    </xf>
    <xf numFmtId="3" fontId="11" fillId="0" borderId="39" xfId="38" applyNumberFormat="1" applyFont="1" applyBorder="1" applyAlignment="1">
      <alignment horizontal="right" vertical="center"/>
    </xf>
    <xf numFmtId="3" fontId="11" fillId="0" borderId="15" xfId="38" applyNumberFormat="1" applyFont="1" applyBorder="1"/>
    <xf numFmtId="9" fontId="4" fillId="0" borderId="54" xfId="38" applyNumberFormat="1" applyFont="1" applyBorder="1" applyAlignment="1">
      <alignment horizontal="right" vertical="center"/>
    </xf>
    <xf numFmtId="3" fontId="11" fillId="0" borderId="26" xfId="38" applyNumberFormat="1" applyFont="1" applyBorder="1"/>
    <xf numFmtId="3" fontId="12" fillId="0" borderId="27" xfId="38" applyNumberFormat="1" applyFont="1" applyBorder="1" applyAlignment="1">
      <alignment horizontal="right"/>
    </xf>
    <xf numFmtId="3" fontId="12" fillId="0" borderId="11" xfId="38" applyNumberFormat="1" applyFont="1" applyBorder="1" applyAlignment="1">
      <alignment horizontal="right"/>
    </xf>
    <xf numFmtId="9" fontId="5" fillId="0" borderId="66" xfId="38" applyNumberFormat="1" applyFont="1" applyBorder="1" applyAlignment="1">
      <alignment horizontal="right" vertical="center"/>
    </xf>
    <xf numFmtId="3" fontId="4" fillId="0" borderId="16" xfId="38" applyNumberFormat="1" applyFont="1" applyBorder="1"/>
    <xf numFmtId="9" fontId="11" fillId="0" borderId="74" xfId="38" applyNumberFormat="1" applyFont="1" applyBorder="1" applyAlignment="1">
      <alignment horizontal="right" vertical="center"/>
    </xf>
    <xf numFmtId="9" fontId="15" fillId="0" borderId="77" xfId="0" applyNumberFormat="1" applyFont="1" applyBorder="1"/>
    <xf numFmtId="9" fontId="13" fillId="0" borderId="72" xfId="0" applyNumberFormat="1" applyFont="1" applyBorder="1"/>
    <xf numFmtId="9" fontId="88" fillId="0" borderId="72" xfId="0" applyNumberFormat="1" applyFont="1" applyBorder="1"/>
    <xf numFmtId="9" fontId="83" fillId="0" borderId="67" xfId="0" applyNumberFormat="1" applyFont="1" applyBorder="1"/>
    <xf numFmtId="9" fontId="90" fillId="15" borderId="77" xfId="45" applyFont="1" applyFill="1" applyBorder="1" applyAlignment="1">
      <alignment horizontal="right"/>
    </xf>
    <xf numFmtId="9" fontId="95" fillId="0" borderId="72" xfId="0" applyNumberFormat="1" applyFont="1" applyBorder="1"/>
    <xf numFmtId="9" fontId="95" fillId="0" borderId="77" xfId="0" applyNumberFormat="1" applyFont="1" applyBorder="1"/>
    <xf numFmtId="9" fontId="83" fillId="0" borderId="72" xfId="0" applyNumberFormat="1" applyFont="1" applyBorder="1"/>
    <xf numFmtId="0" fontId="4" fillId="0" borderId="91" xfId="0" applyFont="1" applyBorder="1" applyAlignment="1">
      <alignment horizontal="center"/>
    </xf>
    <xf numFmtId="9" fontId="15" fillId="0" borderId="72" xfId="0" applyNumberFormat="1" applyFont="1" applyBorder="1"/>
    <xf numFmtId="0" fontId="14" fillId="0" borderId="61" xfId="0" applyFont="1" applyBorder="1" applyAlignment="1">
      <alignment horizontal="center"/>
    </xf>
    <xf numFmtId="0" fontId="4" fillId="0" borderId="68" xfId="0" applyFont="1" applyBorder="1" applyAlignment="1">
      <alignment horizontal="center"/>
    </xf>
    <xf numFmtId="0" fontId="15" fillId="0" borderId="71" xfId="0" applyFont="1" applyBorder="1" applyAlignment="1">
      <alignment horizontal="center"/>
    </xf>
    <xf numFmtId="3" fontId="50" fillId="0" borderId="113" xfId="0" applyNumberFormat="1" applyFont="1" applyBorder="1" applyAlignment="1">
      <alignment horizontal="center"/>
    </xf>
    <xf numFmtId="3" fontId="47" fillId="0" borderId="81" xfId="0" applyNumberFormat="1" applyFont="1" applyBorder="1" applyAlignment="1">
      <alignment horizontal="center"/>
    </xf>
    <xf numFmtId="3" fontId="45" fillId="0" borderId="81" xfId="0" applyNumberFormat="1" applyFont="1" applyBorder="1" applyAlignment="1">
      <alignment horizontal="center"/>
    </xf>
    <xf numFmtId="3" fontId="50" fillId="0" borderId="81" xfId="0" applyNumberFormat="1" applyFont="1" applyBorder="1" applyAlignment="1">
      <alignment horizontal="center"/>
    </xf>
    <xf numFmtId="3" fontId="50" fillId="0" borderId="103" xfId="0" applyNumberFormat="1" applyFont="1" applyBorder="1" applyAlignment="1">
      <alignment horizontal="center"/>
    </xf>
    <xf numFmtId="0" fontId="53" fillId="0" borderId="73" xfId="0" applyFont="1" applyBorder="1" applyAlignment="1">
      <alignment horizontal="center"/>
    </xf>
    <xf numFmtId="3" fontId="47" fillId="0" borderId="86" xfId="0" applyNumberFormat="1" applyFont="1" applyBorder="1" applyAlignment="1">
      <alignment horizontal="center"/>
    </xf>
    <xf numFmtId="3" fontId="50" fillId="0" borderId="86" xfId="0" applyNumberFormat="1" applyFont="1" applyBorder="1" applyAlignment="1">
      <alignment horizontal="center"/>
    </xf>
    <xf numFmtId="3" fontId="50" fillId="0" borderId="87" xfId="0" applyNumberFormat="1" applyFont="1" applyBorder="1" applyAlignment="1">
      <alignment horizontal="center"/>
    </xf>
    <xf numFmtId="3" fontId="50" fillId="0" borderId="77" xfId="0" applyNumberFormat="1" applyFont="1" applyBorder="1" applyAlignment="1">
      <alignment horizontal="center"/>
    </xf>
    <xf numFmtId="3" fontId="47" fillId="0" borderId="77" xfId="0" applyNumberFormat="1" applyFont="1" applyBorder="1" applyAlignment="1">
      <alignment horizontal="center"/>
    </xf>
    <xf numFmtId="3" fontId="14" fillId="0" borderId="77" xfId="0" applyNumberFormat="1" applyFont="1" applyBorder="1" applyAlignment="1">
      <alignment horizontal="center"/>
    </xf>
    <xf numFmtId="3" fontId="50" fillId="0" borderId="89" xfId="0" applyNumberFormat="1" applyFont="1" applyBorder="1" applyAlignment="1">
      <alignment horizontal="center"/>
    </xf>
    <xf numFmtId="0" fontId="15" fillId="0" borderId="91" xfId="0" applyFont="1" applyBorder="1" applyAlignment="1">
      <alignment horizontal="center"/>
    </xf>
    <xf numFmtId="3" fontId="50" fillId="0" borderId="54" xfId="0" applyNumberFormat="1" applyFont="1" applyBorder="1" applyAlignment="1">
      <alignment horizontal="center"/>
    </xf>
    <xf numFmtId="0" fontId="15" fillId="0" borderId="83" xfId="0" applyFont="1" applyBorder="1" applyAlignment="1">
      <alignment horizontal="center"/>
    </xf>
    <xf numFmtId="3" fontId="4" fillId="0" borderId="113" xfId="0" applyNumberFormat="1" applyFont="1" applyBorder="1" applyAlignment="1">
      <alignment horizontal="center"/>
    </xf>
    <xf numFmtId="3" fontId="4" fillId="0" borderId="81" xfId="0" applyNumberFormat="1" applyFont="1" applyBorder="1" applyAlignment="1">
      <alignment horizontal="center"/>
    </xf>
    <xf numFmtId="3" fontId="4" fillId="0" borderId="103" xfId="0" applyNumberFormat="1" applyFont="1" applyBorder="1" applyAlignment="1">
      <alignment horizontal="center"/>
    </xf>
    <xf numFmtId="0" fontId="15" fillId="0" borderId="73" xfId="0" applyFont="1" applyBorder="1" applyAlignment="1">
      <alignment horizontal="center"/>
    </xf>
    <xf numFmtId="3" fontId="4" fillId="0" borderId="60" xfId="0" applyNumberFormat="1" applyFont="1" applyBorder="1" applyAlignment="1">
      <alignment horizontal="center"/>
    </xf>
    <xf numFmtId="3" fontId="21" fillId="0" borderId="81" xfId="0" applyNumberFormat="1" applyFont="1" applyBorder="1" applyAlignment="1">
      <alignment horizontal="center"/>
    </xf>
    <xf numFmtId="0" fontId="15" fillId="0" borderId="61" xfId="0" applyFont="1" applyBorder="1" applyAlignment="1">
      <alignment horizontal="center"/>
    </xf>
    <xf numFmtId="0" fontId="15" fillId="0" borderId="88" xfId="0" applyFont="1" applyBorder="1" applyAlignment="1">
      <alignment horizontal="center"/>
    </xf>
    <xf numFmtId="0" fontId="4" fillId="0" borderId="77" xfId="0" applyFont="1" applyBorder="1" applyAlignment="1">
      <alignment horizontal="center"/>
    </xf>
    <xf numFmtId="3" fontId="5" fillId="0" borderId="77" xfId="0" applyNumberFormat="1" applyFont="1" applyBorder="1" applyAlignment="1">
      <alignment horizontal="center"/>
    </xf>
    <xf numFmtId="3" fontId="12" fillId="0" borderId="77" xfId="0" applyNumberFormat="1" applyFont="1" applyBorder="1" applyAlignment="1">
      <alignment horizontal="center"/>
    </xf>
    <xf numFmtId="3" fontId="8" fillId="0" borderId="77" xfId="0" applyNumberFormat="1" applyFont="1" applyBorder="1" applyAlignment="1">
      <alignment horizontal="center"/>
    </xf>
    <xf numFmtId="3" fontId="45" fillId="0" borderId="77" xfId="0" applyNumberFormat="1" applyFont="1" applyBorder="1" applyAlignment="1">
      <alignment horizontal="center"/>
    </xf>
    <xf numFmtId="3" fontId="5" fillId="0" borderId="72" xfId="0" applyNumberFormat="1" applyFont="1" applyBorder="1" applyAlignment="1">
      <alignment horizontal="center"/>
    </xf>
    <xf numFmtId="3" fontId="5" fillId="0" borderId="76" xfId="0" applyNumberFormat="1" applyFont="1" applyBorder="1" applyAlignment="1">
      <alignment horizontal="center"/>
    </xf>
    <xf numFmtId="3" fontId="4" fillId="0" borderId="77" xfId="0" applyNumberFormat="1" applyFont="1" applyBorder="1" applyAlignment="1">
      <alignment horizontal="center"/>
    </xf>
    <xf numFmtId="3" fontId="4" fillId="0" borderId="72" xfId="0" applyNumberFormat="1" applyFont="1" applyBorder="1" applyAlignment="1">
      <alignment horizontal="center"/>
    </xf>
    <xf numFmtId="3" fontId="12" fillId="0" borderId="72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4" fillId="0" borderId="76" xfId="0" applyNumberFormat="1" applyFont="1" applyBorder="1" applyAlignment="1">
      <alignment horizontal="center"/>
    </xf>
    <xf numFmtId="0" fontId="4" fillId="0" borderId="72" xfId="0" applyFont="1" applyBorder="1" applyAlignment="1">
      <alignment horizontal="center"/>
    </xf>
    <xf numFmtId="3" fontId="21" fillId="0" borderId="72" xfId="0" applyNumberFormat="1" applyFont="1" applyBorder="1" applyAlignment="1">
      <alignment horizontal="center"/>
    </xf>
    <xf numFmtId="3" fontId="12" fillId="0" borderId="89" xfId="0" applyNumberFormat="1" applyFont="1" applyBorder="1" applyAlignment="1">
      <alignment horizontal="center"/>
    </xf>
    <xf numFmtId="3" fontId="4" fillId="0" borderId="66" xfId="0" applyNumberFormat="1" applyFont="1" applyBorder="1" applyAlignment="1">
      <alignment horizontal="center"/>
    </xf>
    <xf numFmtId="3" fontId="52" fillId="0" borderId="77" xfId="0" applyNumberFormat="1" applyFont="1" applyBorder="1" applyAlignment="1">
      <alignment horizontal="center"/>
    </xf>
    <xf numFmtId="3" fontId="52" fillId="0" borderId="72" xfId="0" applyNumberFormat="1" applyFont="1" applyBorder="1" applyAlignment="1">
      <alignment horizontal="center"/>
    </xf>
    <xf numFmtId="3" fontId="13" fillId="0" borderId="77" xfId="0" applyNumberFormat="1" applyFont="1" applyBorder="1" applyAlignment="1">
      <alignment horizontal="center"/>
    </xf>
    <xf numFmtId="3" fontId="53" fillId="0" borderId="89" xfId="0" applyNumberFormat="1" applyFont="1" applyBorder="1" applyAlignment="1">
      <alignment horizontal="center"/>
    </xf>
    <xf numFmtId="3" fontId="53" fillId="0" borderId="54" xfId="0" applyNumberFormat="1" applyFont="1" applyBorder="1" applyAlignment="1">
      <alignment horizontal="center"/>
    </xf>
    <xf numFmtId="3" fontId="15" fillId="0" borderId="77" xfId="0" applyNumberFormat="1" applyFont="1" applyBorder="1" applyAlignment="1">
      <alignment horizontal="center"/>
    </xf>
    <xf numFmtId="3" fontId="53" fillId="0" borderId="72" xfId="0" applyNumberFormat="1" applyFont="1" applyBorder="1" applyAlignment="1">
      <alignment horizontal="center"/>
    </xf>
    <xf numFmtId="3" fontId="52" fillId="0" borderId="89" xfId="0" applyNumberFormat="1" applyFont="1" applyBorder="1" applyAlignment="1">
      <alignment horizontal="center"/>
    </xf>
    <xf numFmtId="0" fontId="12" fillId="0" borderId="72" xfId="0" applyFont="1" applyBorder="1"/>
    <xf numFmtId="3" fontId="4" fillId="0" borderId="67" xfId="0" applyNumberFormat="1" applyFont="1" applyBorder="1" applyAlignment="1">
      <alignment horizontal="center"/>
    </xf>
    <xf numFmtId="3" fontId="4" fillId="0" borderId="78" xfId="0" applyNumberFormat="1" applyFont="1" applyBorder="1" applyAlignment="1">
      <alignment horizontal="center"/>
    </xf>
    <xf numFmtId="3" fontId="14" fillId="0" borderId="72" xfId="0" applyNumberFormat="1" applyFont="1" applyBorder="1" applyAlignment="1">
      <alignment horizontal="center"/>
    </xf>
    <xf numFmtId="3" fontId="11" fillId="0" borderId="77" xfId="0" applyNumberFormat="1" applyFont="1" applyBorder="1" applyAlignment="1">
      <alignment horizontal="center"/>
    </xf>
    <xf numFmtId="3" fontId="12" fillId="0" borderId="76" xfId="0" applyNumberFormat="1" applyFont="1" applyBorder="1" applyAlignment="1">
      <alignment horizontal="center"/>
    </xf>
    <xf numFmtId="0" fontId="4" fillId="0" borderId="89" xfId="0" applyFont="1" applyBorder="1" applyAlignment="1">
      <alignment horizontal="center" vertical="center"/>
    </xf>
    <xf numFmtId="165" fontId="4" fillId="0" borderId="54" xfId="0" applyNumberFormat="1" applyFont="1" applyBorder="1" applyAlignment="1">
      <alignment horizontal="center"/>
    </xf>
    <xf numFmtId="3" fontId="21" fillId="0" borderId="77" xfId="0" applyNumberFormat="1" applyFont="1" applyBorder="1" applyAlignment="1">
      <alignment horizontal="center"/>
    </xf>
    <xf numFmtId="3" fontId="53" fillId="0" borderId="77" xfId="0" applyNumberFormat="1" applyFont="1" applyBorder="1" applyAlignment="1">
      <alignment horizontal="center"/>
    </xf>
    <xf numFmtId="3" fontId="12" fillId="0" borderId="67" xfId="0" applyNumberFormat="1" applyFont="1" applyBorder="1" applyAlignment="1">
      <alignment horizontal="center"/>
    </xf>
    <xf numFmtId="3" fontId="12" fillId="0" borderId="66" xfId="0" applyNumberFormat="1" applyFont="1" applyBorder="1" applyAlignment="1">
      <alignment horizontal="center"/>
    </xf>
    <xf numFmtId="165" fontId="5" fillId="0" borderId="78" xfId="0" applyNumberFormat="1" applyFont="1" applyBorder="1" applyAlignment="1">
      <alignment horizontal="right"/>
    </xf>
    <xf numFmtId="165" fontId="5" fillId="0" borderId="76" xfId="0" applyNumberFormat="1" applyFont="1" applyBorder="1" applyAlignment="1">
      <alignment horizontal="right"/>
    </xf>
    <xf numFmtId="165" fontId="5" fillId="0" borderId="77" xfId="0" applyNumberFormat="1" applyFont="1" applyBorder="1" applyAlignment="1">
      <alignment horizontal="right"/>
    </xf>
    <xf numFmtId="3" fontId="5" fillId="0" borderId="54" xfId="0" applyNumberFormat="1" applyFont="1" applyBorder="1" applyAlignment="1">
      <alignment horizontal="center"/>
    </xf>
    <xf numFmtId="0" fontId="6" fillId="0" borderId="113" xfId="0" applyFont="1" applyBorder="1" applyAlignment="1">
      <alignment horizontal="center"/>
    </xf>
    <xf numFmtId="0" fontId="6" fillId="0" borderId="87" xfId="0" applyFont="1" applyBorder="1" applyAlignment="1">
      <alignment horizontal="center"/>
    </xf>
    <xf numFmtId="0" fontId="6" fillId="0" borderId="82" xfId="0" applyFont="1" applyBorder="1" applyAlignment="1">
      <alignment horizontal="center"/>
    </xf>
    <xf numFmtId="0" fontId="6" fillId="0" borderId="81" xfId="0" applyFont="1" applyBorder="1"/>
    <xf numFmtId="0" fontId="3" fillId="0" borderId="81" xfId="0" applyFont="1" applyBorder="1"/>
    <xf numFmtId="0" fontId="57" fillId="0" borderId="81" xfId="0" applyFont="1" applyBorder="1" applyAlignment="1">
      <alignment horizontal="center"/>
    </xf>
    <xf numFmtId="0" fontId="3" fillId="0" borderId="72" xfId="0" applyFont="1" applyBorder="1"/>
    <xf numFmtId="0" fontId="6" fillId="0" borderId="54" xfId="0" applyFont="1" applyBorder="1" applyAlignment="1">
      <alignment horizontal="center"/>
    </xf>
    <xf numFmtId="0" fontId="6" fillId="0" borderId="113" xfId="0" applyFont="1" applyBorder="1"/>
    <xf numFmtId="0" fontId="57" fillId="0" borderId="72" xfId="0" applyFont="1" applyBorder="1"/>
    <xf numFmtId="0" fontId="0" fillId="0" borderId="81" xfId="0" applyBorder="1" applyAlignment="1">
      <alignment horizontal="center"/>
    </xf>
    <xf numFmtId="0" fontId="3" fillId="0" borderId="81" xfId="0" applyFont="1" applyBorder="1" applyAlignment="1">
      <alignment horizontal="center"/>
    </xf>
    <xf numFmtId="0" fontId="59" fillId="0" borderId="72" xfId="0" applyFont="1" applyBorder="1"/>
    <xf numFmtId="3" fontId="5" fillId="0" borderId="113" xfId="0" applyNumberFormat="1" applyFont="1" applyBorder="1" applyAlignment="1">
      <alignment horizontal="center"/>
    </xf>
    <xf numFmtId="3" fontId="11" fillId="0" borderId="89" xfId="0" applyNumberFormat="1" applyFont="1" applyBorder="1" applyAlignment="1">
      <alignment horizontal="center"/>
    </xf>
    <xf numFmtId="3" fontId="12" fillId="0" borderId="113" xfId="0" applyNumberFormat="1" applyFont="1" applyBorder="1" applyAlignment="1">
      <alignment horizontal="center"/>
    </xf>
    <xf numFmtId="0" fontId="59" fillId="0" borderId="81" xfId="0" applyFont="1" applyBorder="1" applyAlignment="1">
      <alignment horizontal="center"/>
    </xf>
    <xf numFmtId="0" fontId="3" fillId="0" borderId="113" xfId="0" applyFont="1" applyBorder="1" applyAlignment="1">
      <alignment horizontal="center"/>
    </xf>
    <xf numFmtId="0" fontId="15" fillId="0" borderId="72" xfId="0" applyFont="1" applyBorder="1"/>
    <xf numFmtId="0" fontId="13" fillId="0" borderId="72" xfId="0" applyFont="1" applyBorder="1"/>
    <xf numFmtId="0" fontId="13" fillId="0" borderId="76" xfId="0" applyFont="1" applyBorder="1"/>
    <xf numFmtId="0" fontId="6" fillId="0" borderId="74" xfId="0" applyFont="1" applyBorder="1" applyAlignment="1">
      <alignment horizontal="center"/>
    </xf>
    <xf numFmtId="3" fontId="11" fillId="0" borderId="78" xfId="0" applyNumberFormat="1" applyFont="1" applyBorder="1" applyAlignment="1">
      <alignment horizontal="center"/>
    </xf>
    <xf numFmtId="3" fontId="12" fillId="0" borderId="78" xfId="0" applyNumberFormat="1" applyFont="1" applyBorder="1" applyAlignment="1">
      <alignment horizontal="center"/>
    </xf>
    <xf numFmtId="3" fontId="15" fillId="0" borderId="89" xfId="0" applyNumberFormat="1" applyFont="1" applyBorder="1" applyAlignment="1">
      <alignment horizontal="center"/>
    </xf>
    <xf numFmtId="3" fontId="15" fillId="0" borderId="54" xfId="0" applyNumberFormat="1" applyFont="1" applyBorder="1" applyAlignment="1">
      <alignment horizontal="center"/>
    </xf>
    <xf numFmtId="3" fontId="13" fillId="0" borderId="72" xfId="0" applyNumberFormat="1" applyFont="1" applyBorder="1" applyAlignment="1">
      <alignment horizontal="center"/>
    </xf>
    <xf numFmtId="3" fontId="15" fillId="0" borderId="76" xfId="0" applyNumberFormat="1" applyFont="1" applyBorder="1" applyAlignment="1">
      <alignment horizontal="center"/>
    </xf>
    <xf numFmtId="3" fontId="12" fillId="0" borderId="20" xfId="0" applyNumberFormat="1" applyFont="1" applyBorder="1"/>
    <xf numFmtId="3" fontId="11" fillId="0" borderId="20" xfId="0" applyNumberFormat="1" applyFont="1" applyBorder="1"/>
    <xf numFmtId="3" fontId="11" fillId="0" borderId="14" xfId="0" applyNumberFormat="1" applyFont="1" applyBorder="1"/>
    <xf numFmtId="0" fontId="4" fillId="0" borderId="83" xfId="0" applyFont="1" applyBorder="1" applyAlignment="1">
      <alignment horizontal="center" vertical="top"/>
    </xf>
    <xf numFmtId="0" fontId="12" fillId="15" borderId="82" xfId="0" applyFont="1" applyFill="1" applyBorder="1"/>
    <xf numFmtId="0" fontId="87" fillId="0" borderId="83" xfId="0" applyFont="1" applyBorder="1" applyAlignment="1">
      <alignment horizontal="center"/>
    </xf>
    <xf numFmtId="0" fontId="5" fillId="0" borderId="82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/>
    </xf>
    <xf numFmtId="3" fontId="4" fillId="0" borderId="82" xfId="0" applyNumberFormat="1" applyFont="1" applyBorder="1" applyAlignment="1">
      <alignment horizontal="center"/>
    </xf>
    <xf numFmtId="0" fontId="11" fillId="15" borderId="82" xfId="0" applyFont="1" applyFill="1" applyBorder="1" applyAlignment="1">
      <alignment horizontal="left"/>
    </xf>
    <xf numFmtId="0" fontId="5" fillId="0" borderId="82" xfId="0" applyFont="1" applyBorder="1" applyAlignment="1">
      <alignment horizontal="left"/>
    </xf>
    <xf numFmtId="0" fontId="90" fillId="0" borderId="83" xfId="0" applyFont="1" applyBorder="1" applyAlignment="1">
      <alignment horizontal="center"/>
    </xf>
    <xf numFmtId="0" fontId="4" fillId="0" borderId="105" xfId="0" applyFont="1" applyBorder="1"/>
    <xf numFmtId="0" fontId="83" fillId="0" borderId="83" xfId="0" applyFont="1" applyBorder="1" applyAlignment="1">
      <alignment horizontal="center"/>
    </xf>
    <xf numFmtId="0" fontId="14" fillId="0" borderId="82" xfId="0" applyFont="1" applyBorder="1"/>
    <xf numFmtId="0" fontId="4" fillId="0" borderId="60" xfId="0" applyFont="1" applyBorder="1"/>
    <xf numFmtId="0" fontId="91" fillId="0" borderId="83" xfId="0" applyFont="1" applyBorder="1" applyAlignment="1">
      <alignment horizontal="center"/>
    </xf>
    <xf numFmtId="0" fontId="50" fillId="0" borderId="82" xfId="0" applyFont="1" applyBorder="1"/>
    <xf numFmtId="0" fontId="88" fillId="0" borderId="83" xfId="0" applyFont="1" applyBorder="1" applyAlignment="1">
      <alignment horizontal="center"/>
    </xf>
    <xf numFmtId="0" fontId="11" fillId="0" borderId="82" xfId="0" applyFont="1" applyBorder="1" applyAlignment="1">
      <alignment horizontal="center"/>
    </xf>
    <xf numFmtId="0" fontId="11" fillId="0" borderId="82" xfId="0" applyFont="1" applyBorder="1" applyAlignment="1">
      <alignment horizontal="center" vertical="center" wrapText="1"/>
    </xf>
    <xf numFmtId="0" fontId="12" fillId="15" borderId="82" xfId="0" applyFont="1" applyFill="1" applyBorder="1" applyAlignment="1">
      <alignment horizontal="center" vertical="center" wrapText="1"/>
    </xf>
    <xf numFmtId="0" fontId="21" fillId="0" borderId="82" xfId="0" applyFont="1" applyBorder="1" applyAlignment="1">
      <alignment vertical="center" wrapText="1"/>
    </xf>
    <xf numFmtId="0" fontId="21" fillId="0" borderId="82" xfId="0" applyFont="1" applyBorder="1" applyAlignment="1">
      <alignment horizontal="center" vertical="center" wrapText="1"/>
    </xf>
    <xf numFmtId="0" fontId="11" fillId="0" borderId="91" xfId="0" applyFont="1" applyBorder="1" applyAlignment="1">
      <alignment horizontal="center"/>
    </xf>
    <xf numFmtId="0" fontId="5" fillId="0" borderId="64" xfId="0" applyFont="1" applyBorder="1" applyAlignment="1">
      <alignment horizontal="center"/>
    </xf>
    <xf numFmtId="3" fontId="104" fillId="0" borderId="10" xfId="0" applyNumberFormat="1" applyFont="1" applyBorder="1" applyAlignment="1">
      <alignment horizontal="right"/>
    </xf>
    <xf numFmtId="3" fontId="18" fillId="0" borderId="10" xfId="0" applyNumberFormat="1" applyFont="1" applyBorder="1"/>
    <xf numFmtId="165" fontId="13" fillId="0" borderId="10" xfId="0" applyNumberFormat="1" applyFont="1" applyBorder="1"/>
    <xf numFmtId="3" fontId="14" fillId="0" borderId="12" xfId="0" applyNumberFormat="1" applyFont="1" applyBorder="1" applyAlignment="1">
      <alignment horizontal="right"/>
    </xf>
    <xf numFmtId="3" fontId="4" fillId="0" borderId="12" xfId="0" applyNumberFormat="1" applyFont="1" applyBorder="1" applyAlignment="1">
      <alignment horizontal="right"/>
    </xf>
    <xf numFmtId="9" fontId="11" fillId="0" borderId="12" xfId="0" applyNumberFormat="1" applyFont="1" applyBorder="1" applyAlignment="1">
      <alignment horizontal="right"/>
    </xf>
    <xf numFmtId="9" fontId="11" fillId="0" borderId="11" xfId="0" applyNumberFormat="1" applyFont="1" applyBorder="1" applyAlignment="1">
      <alignment horizontal="right"/>
    </xf>
    <xf numFmtId="3" fontId="4" fillId="0" borderId="16" xfId="0" applyNumberFormat="1" applyFont="1" applyBorder="1" applyAlignment="1">
      <alignment horizontal="right"/>
    </xf>
    <xf numFmtId="9" fontId="11" fillId="0" borderId="13" xfId="0" applyNumberFormat="1" applyFont="1" applyBorder="1" applyAlignment="1">
      <alignment horizontal="right"/>
    </xf>
    <xf numFmtId="3" fontId="0" fillId="0" borderId="10" xfId="0" applyNumberFormat="1" applyBorder="1"/>
    <xf numFmtId="3" fontId="0" fillId="0" borderId="16" xfId="0" applyNumberFormat="1" applyBorder="1"/>
    <xf numFmtId="3" fontId="51" fillId="0" borderId="72" xfId="52" applyNumberFormat="1" applyFont="1" applyBorder="1"/>
    <xf numFmtId="3" fontId="80" fillId="0" borderId="67" xfId="52" applyNumberFormat="1" applyFont="1" applyBorder="1"/>
    <xf numFmtId="3" fontId="51" fillId="0" borderId="66" xfId="52" applyNumberFormat="1" applyFont="1" applyBorder="1"/>
    <xf numFmtId="3" fontId="80" fillId="0" borderId="78" xfId="52" applyNumberFormat="1" applyFont="1" applyBorder="1"/>
    <xf numFmtId="2" fontId="16" fillId="0" borderId="0" xfId="50" applyNumberFormat="1"/>
    <xf numFmtId="0" fontId="19" fillId="0" borderId="0" xfId="50" applyFont="1" applyAlignment="1">
      <alignment horizontal="right"/>
    </xf>
    <xf numFmtId="0" fontId="0" fillId="0" borderId="65" xfId="0" applyBorder="1" applyAlignment="1">
      <alignment horizontal="center" vertical="center"/>
    </xf>
    <xf numFmtId="0" fontId="116" fillId="0" borderId="18" xfId="0" applyFont="1" applyBorder="1" applyAlignment="1">
      <alignment vertical="center"/>
    </xf>
    <xf numFmtId="3" fontId="117" fillId="0" borderId="66" xfId="0" applyNumberFormat="1" applyFont="1" applyBorder="1" applyAlignment="1">
      <alignment vertical="center"/>
    </xf>
    <xf numFmtId="0" fontId="0" fillId="0" borderId="114" xfId="0" applyBorder="1" applyAlignment="1">
      <alignment horizontal="center" vertical="center"/>
    </xf>
    <xf numFmtId="3" fontId="117" fillId="0" borderId="115" xfId="0" applyNumberFormat="1" applyFont="1" applyBorder="1" applyAlignment="1">
      <alignment vertical="center"/>
    </xf>
    <xf numFmtId="0" fontId="10" fillId="0" borderId="97" xfId="0" applyFont="1" applyBorder="1" applyAlignment="1">
      <alignment horizontal="center" vertical="center"/>
    </xf>
    <xf numFmtId="3" fontId="119" fillId="0" borderId="110" xfId="0" applyNumberFormat="1" applyFont="1" applyBorder="1" applyAlignment="1">
      <alignment vertical="center"/>
    </xf>
    <xf numFmtId="0" fontId="0" fillId="0" borderId="84" xfId="0" applyBorder="1" applyAlignment="1">
      <alignment horizontal="center" vertical="center"/>
    </xf>
    <xf numFmtId="3" fontId="117" fillId="0" borderId="77" xfId="0" applyNumberFormat="1" applyFont="1" applyBorder="1" applyAlignment="1">
      <alignment vertical="center"/>
    </xf>
    <xf numFmtId="0" fontId="0" fillId="0" borderId="75" xfId="0" applyBorder="1" applyAlignment="1">
      <alignment horizontal="center" vertical="center"/>
    </xf>
    <xf numFmtId="3" fontId="117" fillId="0" borderId="72" xfId="0" applyNumberFormat="1" applyFont="1" applyBorder="1" applyAlignment="1">
      <alignment vertical="center"/>
    </xf>
    <xf numFmtId="3" fontId="117" fillId="0" borderId="76" xfId="0" applyNumberFormat="1" applyFont="1" applyBorder="1" applyAlignment="1">
      <alignment vertical="center"/>
    </xf>
    <xf numFmtId="0" fontId="10" fillId="0" borderId="75" xfId="0" applyFont="1" applyBorder="1" applyAlignment="1">
      <alignment horizontal="center" vertical="center"/>
    </xf>
    <xf numFmtId="3" fontId="119" fillId="0" borderId="96" xfId="0" applyNumberFormat="1" applyFont="1" applyBorder="1" applyAlignment="1">
      <alignment vertical="center"/>
    </xf>
    <xf numFmtId="3" fontId="117" fillId="0" borderId="72" xfId="86" applyNumberFormat="1" applyFont="1" applyBorder="1"/>
    <xf numFmtId="3" fontId="117" fillId="0" borderId="72" xfId="0" applyNumberFormat="1" applyFont="1" applyBorder="1" applyAlignment="1">
      <alignment horizontal="right" vertical="top" wrapText="1"/>
    </xf>
    <xf numFmtId="0" fontId="10" fillId="0" borderId="90" xfId="0" applyFont="1" applyBorder="1" applyAlignment="1">
      <alignment horizontal="center" vertical="center"/>
    </xf>
    <xf numFmtId="0" fontId="118" fillId="0" borderId="14" xfId="0" applyFont="1" applyBorder="1" applyAlignment="1">
      <alignment vertical="center"/>
    </xf>
    <xf numFmtId="3" fontId="119" fillId="0" borderId="89" xfId="0" applyNumberFormat="1" applyFont="1" applyBorder="1" applyAlignment="1">
      <alignment vertical="center"/>
    </xf>
    <xf numFmtId="0" fontId="41" fillId="0" borderId="31" xfId="46" applyFont="1" applyBorder="1" applyAlignment="1">
      <alignment horizontal="center" vertical="center"/>
    </xf>
    <xf numFmtId="0" fontId="41" fillId="0" borderId="74" xfId="46" applyFont="1" applyBorder="1" applyAlignment="1">
      <alignment horizontal="center" vertical="center"/>
    </xf>
    <xf numFmtId="0" fontId="48" fillId="0" borderId="79" xfId="46" applyFont="1" applyBorder="1"/>
    <xf numFmtId="3" fontId="48" fillId="0" borderId="72" xfId="46" applyNumberFormat="1" applyFont="1" applyBorder="1" applyAlignment="1">
      <alignment horizontal="right"/>
    </xf>
    <xf numFmtId="3" fontId="48" fillId="0" borderId="72" xfId="46" applyNumberFormat="1" applyFont="1" applyBorder="1"/>
    <xf numFmtId="0" fontId="48" fillId="0" borderId="79" xfId="46" applyFont="1" applyBorder="1" applyAlignment="1">
      <alignment horizontal="left"/>
    </xf>
    <xf numFmtId="0" fontId="48" fillId="0" borderId="75" xfId="46" applyFont="1" applyBorder="1"/>
    <xf numFmtId="3" fontId="48" fillId="0" borderId="21" xfId="46" applyNumberFormat="1" applyFont="1" applyBorder="1"/>
    <xf numFmtId="0" fontId="16" fillId="0" borderId="88" xfId="53" applyBorder="1"/>
    <xf numFmtId="0" fontId="70" fillId="0" borderId="32" xfId="53" applyFont="1" applyBorder="1" applyAlignment="1">
      <alignment horizontal="center" vertical="center" wrapText="1"/>
    </xf>
    <xf numFmtId="0" fontId="16" fillId="0" borderId="91" xfId="53" applyBorder="1"/>
    <xf numFmtId="0" fontId="70" fillId="0" borderId="112" xfId="53" applyFont="1" applyBorder="1" applyAlignment="1">
      <alignment horizontal="center" vertical="center" wrapText="1"/>
    </xf>
    <xf numFmtId="0" fontId="70" fillId="0" borderId="21" xfId="53" applyFont="1" applyBorder="1" applyAlignment="1">
      <alignment horizontal="center" vertical="center" wrapText="1"/>
    </xf>
    <xf numFmtId="1" fontId="19" fillId="0" borderId="84" xfId="53" applyNumberFormat="1" applyFont="1" applyBorder="1" applyAlignment="1">
      <alignment horizontal="center" vertical="center"/>
    </xf>
    <xf numFmtId="0" fontId="16" fillId="0" borderId="77" xfId="53" applyBorder="1"/>
    <xf numFmtId="1" fontId="19" fillId="0" borderId="75" xfId="53" applyNumberFormat="1" applyFont="1" applyBorder="1" applyAlignment="1">
      <alignment horizontal="center" vertical="center"/>
    </xf>
    <xf numFmtId="0" fontId="16" fillId="0" borderId="72" xfId="53" applyBorder="1"/>
    <xf numFmtId="3" fontId="42" fillId="0" borderId="72" xfId="53" applyNumberFormat="1" applyFont="1" applyBorder="1" applyAlignment="1">
      <alignment vertical="center"/>
    </xf>
    <xf numFmtId="0" fontId="19" fillId="0" borderId="75" xfId="53" applyFont="1" applyBorder="1"/>
    <xf numFmtId="3" fontId="19" fillId="0" borderId="72" xfId="53" applyNumberFormat="1" applyFont="1" applyBorder="1" applyAlignment="1">
      <alignment vertical="center"/>
    </xf>
    <xf numFmtId="1" fontId="16" fillId="0" borderId="75" xfId="53" applyNumberFormat="1" applyBorder="1" applyAlignment="1">
      <alignment horizontal="center" vertical="center"/>
    </xf>
    <xf numFmtId="3" fontId="41" fillId="0" borderId="72" xfId="53" applyNumberFormat="1" applyFont="1" applyBorder="1" applyAlignment="1">
      <alignment vertical="center"/>
    </xf>
    <xf numFmtId="3" fontId="70" fillId="0" borderId="72" xfId="53" applyNumberFormat="1" applyFont="1" applyBorder="1" applyAlignment="1">
      <alignment vertical="center"/>
    </xf>
    <xf numFmtId="1" fontId="19" fillId="0" borderId="90" xfId="53" applyNumberFormat="1" applyFont="1" applyBorder="1" applyAlignment="1">
      <alignment horizontal="center" vertical="center"/>
    </xf>
    <xf numFmtId="0" fontId="70" fillId="0" borderId="21" xfId="53" applyFont="1" applyBorder="1" applyAlignment="1">
      <alignment vertical="center"/>
    </xf>
    <xf numFmtId="3" fontId="44" fillId="0" borderId="21" xfId="53" applyNumberFormat="1" applyFont="1" applyBorder="1" applyAlignment="1">
      <alignment vertical="center"/>
    </xf>
    <xf numFmtId="3" fontId="71" fillId="0" borderId="21" xfId="53" applyNumberFormat="1" applyFont="1" applyBorder="1" applyAlignment="1">
      <alignment vertical="center"/>
    </xf>
    <xf numFmtId="0" fontId="16" fillId="0" borderId="67" xfId="53" applyBorder="1"/>
    <xf numFmtId="3" fontId="16" fillId="0" borderId="12" xfId="53" applyNumberFormat="1" applyBorder="1" applyAlignment="1">
      <alignment horizontal="right" vertical="center"/>
    </xf>
    <xf numFmtId="3" fontId="71" fillId="0" borderId="12" xfId="53" applyNumberFormat="1" applyFont="1" applyBorder="1" applyAlignment="1">
      <alignment horizontal="right" vertical="center" wrapText="1"/>
    </xf>
    <xf numFmtId="0" fontId="70" fillId="0" borderId="12" xfId="53" applyFont="1" applyBorder="1" applyAlignment="1">
      <alignment horizontal="center" vertical="center" wrapText="1"/>
    </xf>
    <xf numFmtId="0" fontId="71" fillId="0" borderId="12" xfId="53" applyFont="1" applyBorder="1" applyAlignment="1">
      <alignment horizontal="right" vertical="center" wrapText="1"/>
    </xf>
    <xf numFmtId="3" fontId="73" fillId="0" borderId="12" xfId="53" applyNumberFormat="1" applyFont="1" applyBorder="1" applyAlignment="1">
      <alignment horizontal="right" vertical="center"/>
    </xf>
    <xf numFmtId="3" fontId="73" fillId="0" borderId="12" xfId="53" applyNumberFormat="1" applyFont="1" applyBorder="1" applyAlignment="1">
      <alignment vertical="center"/>
    </xf>
    <xf numFmtId="1" fontId="16" fillId="0" borderId="65" xfId="53" applyNumberFormat="1" applyBorder="1" applyAlignment="1">
      <alignment horizontal="right" vertical="center"/>
    </xf>
    <xf numFmtId="3" fontId="16" fillId="0" borderId="18" xfId="53" applyNumberFormat="1" applyBorder="1" applyAlignment="1">
      <alignment vertical="center"/>
    </xf>
    <xf numFmtId="3" fontId="73" fillId="0" borderId="18" xfId="53" applyNumberFormat="1" applyFont="1" applyBorder="1" applyAlignment="1">
      <alignment horizontal="right" vertical="center" wrapText="1"/>
    </xf>
    <xf numFmtId="3" fontId="16" fillId="0" borderId="18" xfId="53" applyNumberFormat="1" applyBorder="1" applyAlignment="1">
      <alignment horizontal="right" vertical="center"/>
    </xf>
    <xf numFmtId="0" fontId="16" fillId="0" borderId="101" xfId="53" applyBorder="1"/>
    <xf numFmtId="1" fontId="16" fillId="0" borderId="75" xfId="53" applyNumberFormat="1" applyBorder="1" applyAlignment="1">
      <alignment horizontal="right" vertical="center"/>
    </xf>
    <xf numFmtId="0" fontId="16" fillId="0" borderId="81" xfId="53" applyBorder="1"/>
    <xf numFmtId="1" fontId="16" fillId="0" borderId="75" xfId="53" applyNumberFormat="1" applyBorder="1" applyAlignment="1">
      <alignment vertical="center"/>
    </xf>
    <xf numFmtId="0" fontId="70" fillId="0" borderId="81" xfId="53" applyFont="1" applyBorder="1" applyAlignment="1">
      <alignment horizontal="center" vertical="center" wrapText="1"/>
    </xf>
    <xf numFmtId="0" fontId="16" fillId="0" borderId="75" xfId="53" applyBorder="1" applyAlignment="1">
      <alignment horizontal="right" vertical="center"/>
    </xf>
    <xf numFmtId="3" fontId="16" fillId="0" borderId="81" xfId="53" applyNumberFormat="1" applyBorder="1"/>
    <xf numFmtId="1" fontId="16" fillId="0" borderId="80" xfId="53" applyNumberFormat="1" applyBorder="1" applyAlignment="1">
      <alignment horizontal="right" vertical="center"/>
    </xf>
    <xf numFmtId="3" fontId="16" fillId="0" borderId="10" xfId="53" applyNumberFormat="1" applyBorder="1" applyAlignment="1">
      <alignment vertical="center"/>
    </xf>
    <xf numFmtId="3" fontId="16" fillId="0" borderId="13" xfId="53" applyNumberFormat="1" applyBorder="1" applyAlignment="1">
      <alignment vertical="center"/>
    </xf>
    <xf numFmtId="3" fontId="73" fillId="0" borderId="13" xfId="53" applyNumberFormat="1" applyFont="1" applyBorder="1" applyAlignment="1">
      <alignment horizontal="right" vertical="center" wrapText="1"/>
    </xf>
    <xf numFmtId="3" fontId="16" fillId="0" borderId="13" xfId="53" applyNumberFormat="1" applyBorder="1" applyAlignment="1">
      <alignment horizontal="right" vertical="center"/>
    </xf>
    <xf numFmtId="3" fontId="16" fillId="0" borderId="86" xfId="53" applyNumberFormat="1" applyBorder="1"/>
    <xf numFmtId="0" fontId="16" fillId="0" borderId="61" xfId="53" applyBorder="1"/>
    <xf numFmtId="0" fontId="19" fillId="0" borderId="15" xfId="53" applyFont="1" applyBorder="1" applyAlignment="1">
      <alignment vertical="center"/>
    </xf>
    <xf numFmtId="3" fontId="19" fillId="0" borderId="15" xfId="53" applyNumberFormat="1" applyFont="1" applyBorder="1" applyAlignment="1">
      <alignment vertical="center"/>
    </xf>
    <xf numFmtId="3" fontId="19" fillId="0" borderId="54" xfId="53" applyNumberFormat="1" applyFont="1" applyBorder="1" applyAlignment="1">
      <alignment vertical="center"/>
    </xf>
    <xf numFmtId="9" fontId="91" fillId="0" borderId="18" xfId="45" applyFont="1" applyBorder="1" applyAlignment="1">
      <alignment horizontal="right"/>
    </xf>
    <xf numFmtId="3" fontId="48" fillId="0" borderId="67" xfId="46" applyNumberFormat="1" applyFont="1" applyBorder="1"/>
    <xf numFmtId="0" fontId="10" fillId="0" borderId="34" xfId="0" applyFont="1" applyBorder="1" applyAlignment="1">
      <alignment horizontal="center" vertical="center" wrapText="1"/>
    </xf>
    <xf numFmtId="0" fontId="10" fillId="0" borderId="0" xfId="0" applyFont="1"/>
    <xf numFmtId="0" fontId="59" fillId="0" borderId="0" xfId="0" applyFont="1"/>
    <xf numFmtId="0" fontId="10" fillId="0" borderId="114" xfId="0" applyFont="1" applyBorder="1" applyAlignment="1">
      <alignment horizontal="center" vertical="center" wrapText="1"/>
    </xf>
    <xf numFmtId="0" fontId="10" fillId="0" borderId="115" xfId="0" applyFont="1" applyBorder="1" applyAlignment="1">
      <alignment horizontal="center" vertical="center" wrapText="1"/>
    </xf>
    <xf numFmtId="0" fontId="0" fillId="0" borderId="84" xfId="0" applyBorder="1" applyAlignment="1">
      <alignment vertical="center"/>
    </xf>
    <xf numFmtId="3" fontId="0" fillId="0" borderId="77" xfId="0" applyNumberFormat="1" applyBorder="1" applyAlignment="1">
      <alignment vertical="center"/>
    </xf>
    <xf numFmtId="0" fontId="0" fillId="0" borderId="75" xfId="0" applyBorder="1" applyAlignment="1">
      <alignment vertical="center"/>
    </xf>
    <xf numFmtId="3" fontId="0" fillId="0" borderId="72" xfId="0" applyNumberFormat="1" applyBorder="1" applyAlignment="1">
      <alignment vertical="center"/>
    </xf>
    <xf numFmtId="3" fontId="110" fillId="0" borderId="72" xfId="0" applyNumberFormat="1" applyFont="1" applyBorder="1" applyAlignment="1">
      <alignment vertical="center"/>
    </xf>
    <xf numFmtId="0" fontId="0" fillId="0" borderId="75" xfId="0" applyBorder="1" applyAlignment="1">
      <alignment vertical="center" wrapText="1"/>
    </xf>
    <xf numFmtId="0" fontId="43" fillId="0" borderId="117" xfId="0" applyFont="1" applyBorder="1" applyAlignment="1">
      <alignment horizontal="center" vertical="center" wrapText="1"/>
    </xf>
    <xf numFmtId="3" fontId="10" fillId="0" borderId="47" xfId="0" applyNumberFormat="1" applyFont="1" applyBorder="1" applyAlignment="1">
      <alignment vertical="center"/>
    </xf>
    <xf numFmtId="3" fontId="10" fillId="0" borderId="118" xfId="0" applyNumberFormat="1" applyFont="1" applyBorder="1" applyAlignment="1">
      <alignment vertical="center"/>
    </xf>
    <xf numFmtId="3" fontId="0" fillId="0" borderId="27" xfId="0" applyNumberFormat="1" applyBorder="1" applyAlignment="1">
      <alignment vertical="center"/>
    </xf>
    <xf numFmtId="3" fontId="10" fillId="0" borderId="48" xfId="0" applyNumberFormat="1" applyFont="1" applyBorder="1" applyAlignment="1">
      <alignment vertical="center"/>
    </xf>
    <xf numFmtId="3" fontId="0" fillId="0" borderId="84" xfId="0" applyNumberFormat="1" applyBorder="1" applyAlignment="1">
      <alignment vertical="center"/>
    </xf>
    <xf numFmtId="3" fontId="0" fillId="0" borderId="75" xfId="0" applyNumberFormat="1" applyBorder="1" applyAlignment="1">
      <alignment vertical="center"/>
    </xf>
    <xf numFmtId="3" fontId="110" fillId="0" borderId="75" xfId="0" applyNumberFormat="1" applyFont="1" applyBorder="1" applyAlignment="1">
      <alignment vertical="center"/>
    </xf>
    <xf numFmtId="3" fontId="10" fillId="0" borderId="117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  <xf numFmtId="3" fontId="10" fillId="0" borderId="21" xfId="0" applyNumberFormat="1" applyFont="1" applyBorder="1" applyAlignment="1">
      <alignment vertical="center"/>
    </xf>
    <xf numFmtId="3" fontId="10" fillId="0" borderId="67" xfId="0" applyNumberFormat="1" applyFont="1" applyBorder="1" applyAlignment="1">
      <alignment vertical="center"/>
    </xf>
    <xf numFmtId="3" fontId="10" fillId="0" borderId="112" xfId="0" applyNumberFormat="1" applyFont="1" applyBorder="1" applyAlignment="1">
      <alignment vertical="center"/>
    </xf>
    <xf numFmtId="3" fontId="10" fillId="0" borderId="90" xfId="0" applyNumberFormat="1" applyFont="1" applyBorder="1" applyAlignment="1">
      <alignment vertical="center"/>
    </xf>
    <xf numFmtId="0" fontId="10" fillId="0" borderId="117" xfId="0" applyFont="1" applyBorder="1" applyAlignment="1">
      <alignment horizontal="center" vertical="center" wrapText="1"/>
    </xf>
    <xf numFmtId="0" fontId="10" fillId="0" borderId="75" xfId="85" applyFont="1" applyBorder="1" applyAlignment="1">
      <alignment horizontal="right"/>
    </xf>
    <xf numFmtId="0" fontId="6" fillId="0" borderId="0" xfId="83" applyFont="1" applyAlignment="1">
      <alignment horizontal="center"/>
    </xf>
    <xf numFmtId="0" fontId="3" fillId="0" borderId="0" xfId="84"/>
    <xf numFmtId="0" fontId="3" fillId="0" borderId="0" xfId="84" applyAlignment="1">
      <alignment horizontal="center"/>
    </xf>
    <xf numFmtId="0" fontId="19" fillId="0" borderId="0" xfId="35" applyFont="1" applyAlignment="1">
      <alignment horizontal="center"/>
    </xf>
    <xf numFmtId="0" fontId="19" fillId="0" borderId="0" xfId="35" applyFont="1" applyAlignment="1">
      <alignment horizontal="center" vertical="center" wrapText="1"/>
    </xf>
    <xf numFmtId="49" fontId="4" fillId="0" borderId="13" xfId="36" applyNumberFormat="1" applyFont="1" applyBorder="1" applyAlignment="1">
      <alignment horizontal="center" vertical="center" wrapText="1"/>
    </xf>
    <xf numFmtId="49" fontId="4" fillId="0" borderId="25" xfId="36" applyNumberFormat="1" applyFont="1" applyBorder="1" applyAlignment="1">
      <alignment horizontal="center" vertical="center" wrapText="1"/>
    </xf>
    <xf numFmtId="0" fontId="19" fillId="0" borderId="13" xfId="35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49" fontId="4" fillId="0" borderId="31" xfId="36" applyNumberFormat="1" applyFont="1" applyBorder="1" applyAlignment="1">
      <alignment horizontal="center" vertical="center" wrapText="1"/>
    </xf>
    <xf numFmtId="49" fontId="4" fillId="0" borderId="14" xfId="36" applyNumberFormat="1" applyFont="1" applyBorder="1" applyAlignment="1">
      <alignment horizontal="center" vertical="center" wrapText="1"/>
    </xf>
    <xf numFmtId="0" fontId="4" fillId="0" borderId="0" xfId="36" applyFont="1" applyAlignment="1">
      <alignment horizontal="center"/>
    </xf>
    <xf numFmtId="0" fontId="3" fillId="0" borderId="0" xfId="36"/>
    <xf numFmtId="0" fontId="0" fillId="0" borderId="0" xfId="0"/>
    <xf numFmtId="0" fontId="4" fillId="0" borderId="74" xfId="36" applyFont="1" applyBorder="1" applyAlignment="1">
      <alignment horizontal="center" vertical="center" wrapText="1"/>
    </xf>
    <xf numFmtId="0" fontId="4" fillId="0" borderId="89" xfId="36" applyFont="1" applyBorder="1" applyAlignment="1">
      <alignment horizontal="center" vertical="center" wrapText="1"/>
    </xf>
    <xf numFmtId="0" fontId="4" fillId="0" borderId="31" xfId="36" applyFont="1" applyBorder="1" applyAlignment="1">
      <alignment horizontal="center" vertical="center"/>
    </xf>
    <xf numFmtId="0" fontId="3" fillId="0" borderId="14" xfId="36" applyBorder="1" applyAlignment="1">
      <alignment horizontal="center" vertical="center"/>
    </xf>
    <xf numFmtId="3" fontId="4" fillId="0" borderId="88" xfId="36" applyNumberFormat="1" applyFont="1" applyBorder="1" applyAlignment="1">
      <alignment horizontal="center" vertical="center"/>
    </xf>
    <xf numFmtId="0" fontId="3" fillId="0" borderId="91" xfId="36" applyBorder="1" applyAlignment="1">
      <alignment horizontal="center" vertical="center"/>
    </xf>
    <xf numFmtId="49" fontId="4" fillId="0" borderId="74" xfId="36" applyNumberFormat="1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0" fontId="0" fillId="0" borderId="89" xfId="0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49" fontId="4" fillId="0" borderId="10" xfId="36" applyNumberFormat="1" applyFont="1" applyBorder="1" applyAlignment="1">
      <alignment horizontal="center" vertical="center" wrapText="1"/>
    </xf>
    <xf numFmtId="2" fontId="4" fillId="0" borderId="0" xfId="38" applyNumberFormat="1" applyFont="1" applyAlignment="1">
      <alignment horizontal="center"/>
    </xf>
    <xf numFmtId="2" fontId="3" fillId="0" borderId="0" xfId="38" applyNumberFormat="1"/>
    <xf numFmtId="0" fontId="3" fillId="0" borderId="0" xfId="38"/>
    <xf numFmtId="0" fontId="4" fillId="0" borderId="0" xfId="38" applyFont="1" applyAlignment="1">
      <alignment horizontal="center"/>
    </xf>
    <xf numFmtId="0" fontId="4" fillId="0" borderId="31" xfId="38" applyFont="1" applyBorder="1" applyAlignment="1">
      <alignment horizontal="center" vertical="center"/>
    </xf>
    <xf numFmtId="0" fontId="16" fillId="0" borderId="10" xfId="34" applyBorder="1" applyAlignment="1">
      <alignment horizontal="center" vertical="center"/>
    </xf>
    <xf numFmtId="0" fontId="16" fillId="0" borderId="14" xfId="34" applyBorder="1" applyAlignment="1">
      <alignment horizontal="center" vertical="center"/>
    </xf>
    <xf numFmtId="0" fontId="4" fillId="0" borderId="88" xfId="38" applyFont="1" applyBorder="1" applyAlignment="1">
      <alignment horizontal="center" vertical="center"/>
    </xf>
    <xf numFmtId="0" fontId="16" fillId="0" borderId="83" xfId="34" applyBorder="1" applyAlignment="1">
      <alignment horizontal="center" vertical="center"/>
    </xf>
    <xf numFmtId="0" fontId="16" fillId="0" borderId="91" xfId="34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3" fontId="4" fillId="0" borderId="88" xfId="0" applyNumberFormat="1" applyFont="1" applyBorder="1" applyAlignment="1">
      <alignment horizontal="center" vertical="center"/>
    </xf>
    <xf numFmtId="3" fontId="4" fillId="0" borderId="83" xfId="0" applyNumberFormat="1" applyFont="1" applyBorder="1" applyAlignment="1">
      <alignment horizontal="center" vertical="center"/>
    </xf>
    <xf numFmtId="3" fontId="4" fillId="0" borderId="91" xfId="0" applyNumberFormat="1" applyFont="1" applyBorder="1" applyAlignment="1">
      <alignment horizontal="center" vertical="center"/>
    </xf>
    <xf numFmtId="3" fontId="6" fillId="0" borderId="0" xfId="0" applyNumberFormat="1" applyFont="1" applyAlignment="1">
      <alignment horizontal="center" vertical="center" wrapText="1"/>
    </xf>
    <xf numFmtId="2" fontId="6" fillId="0" borderId="0" xfId="0" applyNumberFormat="1" applyFont="1" applyAlignment="1">
      <alignment horizontal="center" vertical="center" wrapText="1"/>
    </xf>
    <xf numFmtId="3" fontId="4" fillId="0" borderId="3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1" fillId="15" borderId="98" xfId="52" applyFont="1" applyFill="1" applyBorder="1" applyAlignment="1">
      <alignment horizontal="center" vertical="center" wrapText="1"/>
    </xf>
    <xf numFmtId="0" fontId="51" fillId="15" borderId="99" xfId="52" applyFont="1" applyFill="1" applyBorder="1" applyAlignment="1">
      <alignment horizontal="center" vertical="center" wrapText="1"/>
    </xf>
    <xf numFmtId="0" fontId="51" fillId="15" borderId="74" xfId="52" applyFont="1" applyFill="1" applyBorder="1" applyAlignment="1">
      <alignment horizontal="center" vertical="center" wrapText="1"/>
    </xf>
    <xf numFmtId="0" fontId="51" fillId="15" borderId="89" xfId="52" applyFont="1" applyFill="1" applyBorder="1" applyAlignment="1">
      <alignment horizontal="center" vertical="center" wrapText="1"/>
    </xf>
    <xf numFmtId="0" fontId="51" fillId="15" borderId="31" xfId="52" applyFont="1" applyFill="1" applyBorder="1" applyAlignment="1">
      <alignment horizontal="center" vertical="center" wrapText="1"/>
    </xf>
    <xf numFmtId="0" fontId="51" fillId="15" borderId="14" xfId="52" applyFont="1" applyFill="1" applyBorder="1" applyAlignment="1">
      <alignment horizontal="center" vertical="center" wrapText="1"/>
    </xf>
    <xf numFmtId="0" fontId="51" fillId="0" borderId="88" xfId="52" applyFont="1" applyBorder="1" applyAlignment="1">
      <alignment horizontal="center" vertical="center"/>
    </xf>
    <xf numFmtId="0" fontId="51" fillId="0" borderId="84" xfId="52" applyFont="1" applyBorder="1" applyAlignment="1">
      <alignment horizontal="center" vertical="center"/>
    </xf>
    <xf numFmtId="0" fontId="51" fillId="0" borderId="40" xfId="52" applyFont="1" applyBorder="1" applyAlignment="1">
      <alignment horizontal="center" vertical="center"/>
    </xf>
    <xf numFmtId="0" fontId="51" fillId="0" borderId="44" xfId="52" applyFont="1" applyBorder="1" applyAlignment="1">
      <alignment horizontal="center" vertical="center"/>
    </xf>
    <xf numFmtId="0" fontId="51" fillId="0" borderId="27" xfId="52" applyFont="1" applyBorder="1" applyAlignment="1">
      <alignment horizontal="center" vertical="center"/>
    </xf>
    <xf numFmtId="0" fontId="51" fillId="0" borderId="41" xfId="52" applyFont="1" applyBorder="1" applyAlignment="1">
      <alignment horizontal="center" vertical="center"/>
    </xf>
    <xf numFmtId="0" fontId="51" fillId="0" borderId="50" xfId="52" applyFont="1" applyBorder="1" applyAlignment="1">
      <alignment horizontal="center" vertical="center"/>
    </xf>
    <xf numFmtId="0" fontId="51" fillId="0" borderId="38" xfId="52" applyFont="1" applyBorder="1" applyAlignment="1">
      <alignment horizontal="center" vertical="center"/>
    </xf>
    <xf numFmtId="0" fontId="51" fillId="0" borderId="49" xfId="52" applyFont="1" applyBorder="1" applyAlignment="1">
      <alignment horizontal="center" vertical="center"/>
    </xf>
    <xf numFmtId="0" fontId="51" fillId="0" borderId="26" xfId="52" applyFont="1" applyBorder="1" applyAlignment="1">
      <alignment horizontal="center" vertical="center"/>
    </xf>
    <xf numFmtId="0" fontId="63" fillId="0" borderId="20" xfId="52" applyFont="1" applyBorder="1" applyAlignment="1">
      <alignment horizontal="center" vertical="center"/>
    </xf>
    <xf numFmtId="0" fontId="63" fillId="0" borderId="26" xfId="52" applyFont="1" applyBorder="1" applyAlignment="1">
      <alignment horizontal="center" vertical="center"/>
    </xf>
    <xf numFmtId="0" fontId="63" fillId="0" borderId="70" xfId="52" applyFont="1" applyBorder="1" applyAlignment="1">
      <alignment horizontal="center" vertical="center"/>
    </xf>
    <xf numFmtId="0" fontId="16" fillId="0" borderId="71" xfId="52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63" fillId="0" borderId="17" xfId="52" applyFont="1" applyBorder="1" applyAlignment="1">
      <alignment horizontal="center" vertical="center" wrapText="1"/>
    </xf>
    <xf numFmtId="0" fontId="63" fillId="0" borderId="46" xfId="52" applyFont="1" applyBorder="1" applyAlignment="1">
      <alignment horizontal="center" vertical="center" wrapText="1"/>
    </xf>
    <xf numFmtId="0" fontId="63" fillId="0" borderId="16" xfId="52" applyFont="1" applyBorder="1" applyAlignment="1">
      <alignment horizontal="center" vertical="center" wrapText="1"/>
    </xf>
    <xf numFmtId="0" fontId="63" fillId="0" borderId="20" xfId="52" applyFont="1" applyBorder="1" applyAlignment="1">
      <alignment horizontal="center" vertical="center" wrapText="1"/>
    </xf>
    <xf numFmtId="0" fontId="16" fillId="0" borderId="16" xfId="52" applyBorder="1" applyAlignment="1">
      <alignment horizontal="center" vertical="center" wrapText="1"/>
    </xf>
    <xf numFmtId="0" fontId="16" fillId="0" borderId="20" xfId="52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63" fillId="0" borderId="10" xfId="52" applyFont="1" applyBorder="1" applyAlignment="1">
      <alignment horizontal="center" vertical="center"/>
    </xf>
    <xf numFmtId="0" fontId="63" fillId="0" borderId="13" xfId="52" applyFont="1" applyBorder="1" applyAlignment="1">
      <alignment horizontal="center" vertical="center"/>
    </xf>
    <xf numFmtId="0" fontId="63" fillId="0" borderId="44" xfId="52" applyFont="1" applyBorder="1" applyAlignment="1">
      <alignment horizontal="center" vertical="center"/>
    </xf>
    <xf numFmtId="0" fontId="65" fillId="0" borderId="65" xfId="52" applyFont="1" applyBorder="1" applyAlignment="1">
      <alignment horizontal="center" vertical="center" wrapText="1"/>
    </xf>
    <xf numFmtId="0" fontId="65" fillId="0" borderId="18" xfId="52" applyFont="1" applyBorder="1" applyAlignment="1">
      <alignment horizontal="center" vertical="center" wrapText="1"/>
    </xf>
    <xf numFmtId="0" fontId="65" fillId="0" borderId="66" xfId="52" applyFont="1" applyBorder="1" applyAlignment="1">
      <alignment horizontal="center" vertical="center" wrapText="1"/>
    </xf>
    <xf numFmtId="0" fontId="65" fillId="0" borderId="75" xfId="52" applyFont="1" applyBorder="1" applyAlignment="1">
      <alignment horizontal="center" vertical="center" wrapText="1"/>
    </xf>
    <xf numFmtId="0" fontId="65" fillId="0" borderId="12" xfId="52" applyFont="1" applyBorder="1" applyAlignment="1">
      <alignment horizontal="center" vertical="center" wrapText="1"/>
    </xf>
    <xf numFmtId="0" fontId="65" fillId="0" borderId="72" xfId="52" applyFont="1" applyBorder="1" applyAlignment="1">
      <alignment horizontal="center" vertical="center" wrapText="1"/>
    </xf>
    <xf numFmtId="0" fontId="65" fillId="0" borderId="90" xfId="52" applyFont="1" applyBorder="1" applyAlignment="1">
      <alignment horizontal="center" vertical="center" wrapText="1"/>
    </xf>
    <xf numFmtId="0" fontId="65" fillId="0" borderId="21" xfId="52" applyFont="1" applyBorder="1" applyAlignment="1">
      <alignment horizontal="center" vertical="center" wrapText="1"/>
    </xf>
    <xf numFmtId="0" fontId="65" fillId="0" borderId="67" xfId="52" applyFont="1" applyBorder="1" applyAlignment="1">
      <alignment horizontal="center" vertical="center" wrapText="1"/>
    </xf>
    <xf numFmtId="0" fontId="0" fillId="0" borderId="73" xfId="0" applyBorder="1" applyAlignment="1">
      <alignment horizontal="center" vertical="center"/>
    </xf>
    <xf numFmtId="0" fontId="63" fillId="0" borderId="40" xfId="52" applyFont="1" applyBorder="1" applyAlignment="1">
      <alignment horizontal="center" vertical="center" wrapText="1"/>
    </xf>
    <xf numFmtId="0" fontId="63" fillId="0" borderId="44" xfId="52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63" fillId="0" borderId="17" xfId="52" applyFont="1" applyBorder="1" applyAlignment="1">
      <alignment horizontal="left"/>
    </xf>
    <xf numFmtId="0" fontId="63" fillId="0" borderId="35" xfId="52" applyFont="1" applyBorder="1" applyAlignment="1">
      <alignment horizontal="left"/>
    </xf>
    <xf numFmtId="0" fontId="63" fillId="0" borderId="46" xfId="52" applyFont="1" applyBorder="1" applyAlignment="1">
      <alignment horizontal="left"/>
    </xf>
    <xf numFmtId="0" fontId="63" fillId="0" borderId="27" xfId="52" applyFont="1" applyBorder="1" applyAlignment="1">
      <alignment horizontal="left"/>
    </xf>
    <xf numFmtId="0" fontId="63" fillId="0" borderId="19" xfId="52" applyFont="1" applyBorder="1" applyAlignment="1">
      <alignment horizontal="left"/>
    </xf>
    <xf numFmtId="0" fontId="63" fillId="0" borderId="41" xfId="52" applyFont="1" applyBorder="1" applyAlignment="1">
      <alignment horizontal="left"/>
    </xf>
    <xf numFmtId="0" fontId="63" fillId="0" borderId="40" xfId="52" applyFont="1" applyBorder="1" applyAlignment="1">
      <alignment horizontal="left"/>
    </xf>
    <xf numFmtId="0" fontId="63" fillId="0" borderId="50" xfId="52" applyFont="1" applyBorder="1" applyAlignment="1">
      <alignment horizontal="left"/>
    </xf>
    <xf numFmtId="0" fontId="63" fillId="0" borderId="44" xfId="52" applyFont="1" applyBorder="1" applyAlignment="1">
      <alignment horizontal="left"/>
    </xf>
    <xf numFmtId="0" fontId="63" fillId="0" borderId="23" xfId="52" applyFont="1" applyBorder="1" applyAlignment="1">
      <alignment horizontal="left"/>
    </xf>
    <xf numFmtId="0" fontId="63" fillId="0" borderId="51" xfId="52" applyFont="1" applyBorder="1" applyAlignment="1">
      <alignment horizontal="left"/>
    </xf>
    <xf numFmtId="0" fontId="63" fillId="0" borderId="42" xfId="52" applyFont="1" applyBorder="1" applyAlignment="1">
      <alignment horizontal="left"/>
    </xf>
    <xf numFmtId="0" fontId="63" fillId="0" borderId="32" xfId="52" applyFont="1" applyBorder="1" applyAlignment="1">
      <alignment horizontal="left"/>
    </xf>
    <xf numFmtId="0" fontId="63" fillId="0" borderId="62" xfId="52" applyFont="1" applyBorder="1" applyAlignment="1">
      <alignment horizontal="left"/>
    </xf>
    <xf numFmtId="0" fontId="63" fillId="0" borderId="30" xfId="52" applyFont="1" applyBorder="1" applyAlignment="1">
      <alignment horizontal="left"/>
    </xf>
    <xf numFmtId="0" fontId="64" fillId="0" borderId="17" xfId="52" applyFont="1" applyBorder="1" applyAlignment="1">
      <alignment horizontal="left"/>
    </xf>
    <xf numFmtId="0" fontId="64" fillId="0" borderId="35" xfId="52" applyFont="1" applyBorder="1" applyAlignment="1">
      <alignment horizontal="left"/>
    </xf>
    <xf numFmtId="0" fontId="64" fillId="0" borderId="46" xfId="52" applyFont="1" applyBorder="1" applyAlignment="1">
      <alignment horizontal="left"/>
    </xf>
    <xf numFmtId="0" fontId="63" fillId="0" borderId="12" xfId="52" applyFont="1" applyBorder="1" applyAlignment="1">
      <alignment horizontal="left"/>
    </xf>
    <xf numFmtId="0" fontId="63" fillId="0" borderId="18" xfId="52" applyFont="1" applyBorder="1" applyAlignment="1">
      <alignment horizontal="left"/>
    </xf>
    <xf numFmtId="0" fontId="19" fillId="0" borderId="0" xfId="52" applyFont="1" applyAlignment="1">
      <alignment horizontal="center"/>
    </xf>
    <xf numFmtId="0" fontId="42" fillId="0" borderId="0" xfId="52" applyFont="1" applyAlignment="1">
      <alignment horizontal="center" vertical="center" wrapText="1"/>
    </xf>
    <xf numFmtId="0" fontId="63" fillId="0" borderId="16" xfId="52" applyFont="1" applyBorder="1" applyAlignment="1">
      <alignment horizontal="left"/>
    </xf>
    <xf numFmtId="0" fontId="63" fillId="0" borderId="0" xfId="52" applyFont="1" applyAlignment="1">
      <alignment horizontal="left"/>
    </xf>
    <xf numFmtId="0" fontId="63" fillId="0" borderId="20" xfId="52" applyFont="1" applyBorder="1" applyAlignment="1">
      <alignment horizontal="left"/>
    </xf>
    <xf numFmtId="0" fontId="63" fillId="0" borderId="11" xfId="52" applyFont="1" applyBorder="1" applyAlignment="1">
      <alignment horizontal="left"/>
    </xf>
    <xf numFmtId="0" fontId="63" fillId="0" borderId="21" xfId="52" applyFont="1" applyBorder="1" applyAlignment="1">
      <alignment horizontal="left"/>
    </xf>
    <xf numFmtId="0" fontId="54" fillId="0" borderId="0" xfId="47" applyFont="1" applyAlignment="1">
      <alignment horizontal="center" vertical="center"/>
    </xf>
    <xf numFmtId="0" fontId="19" fillId="0" borderId="0" xfId="54" applyFont="1" applyAlignment="1">
      <alignment horizontal="center" vertical="center"/>
    </xf>
    <xf numFmtId="0" fontId="19" fillId="0" borderId="88" xfId="54" applyFont="1" applyBorder="1" applyAlignment="1">
      <alignment horizontal="center" vertical="center"/>
    </xf>
    <xf numFmtId="0" fontId="19" fillId="0" borderId="91" xfId="54" applyFont="1" applyBorder="1" applyAlignment="1">
      <alignment horizontal="center" vertical="center"/>
    </xf>
    <xf numFmtId="0" fontId="20" fillId="0" borderId="50" xfId="54" applyFont="1" applyBorder="1" applyAlignment="1">
      <alignment horizontal="center" vertical="center"/>
    </xf>
    <xf numFmtId="0" fontId="20" fillId="0" borderId="49" xfId="54" applyFont="1" applyBorder="1" applyAlignment="1">
      <alignment horizontal="center" vertical="center"/>
    </xf>
    <xf numFmtId="0" fontId="20" fillId="0" borderId="32" xfId="54" applyFont="1" applyBorder="1" applyAlignment="1">
      <alignment horizontal="center" vertical="center"/>
    </xf>
    <xf numFmtId="0" fontId="20" fillId="0" borderId="30" xfId="54" applyFont="1" applyBorder="1" applyAlignment="1">
      <alignment horizontal="center" vertical="center"/>
    </xf>
    <xf numFmtId="0" fontId="20" fillId="0" borderId="101" xfId="54" applyFont="1" applyBorder="1" applyAlignment="1">
      <alignment horizontal="center" vertical="center"/>
    </xf>
    <xf numFmtId="0" fontId="19" fillId="0" borderId="88" xfId="50" applyFont="1" applyBorder="1" applyAlignment="1">
      <alignment vertical="center"/>
    </xf>
    <xf numFmtId="0" fontId="19" fillId="0" borderId="83" xfId="50" applyFont="1" applyBorder="1" applyAlignment="1">
      <alignment vertical="center"/>
    </xf>
    <xf numFmtId="0" fontId="19" fillId="0" borderId="91" xfId="50" applyFont="1" applyBorder="1" applyAlignment="1">
      <alignment vertical="center"/>
    </xf>
    <xf numFmtId="0" fontId="19" fillId="0" borderId="40" xfId="50" applyFont="1" applyBorder="1" applyAlignment="1">
      <alignment vertical="center" wrapText="1"/>
    </xf>
    <xf numFmtId="0" fontId="19" fillId="0" borderId="50" xfId="50" applyFont="1" applyBorder="1" applyAlignment="1">
      <alignment vertical="center" wrapText="1"/>
    </xf>
    <xf numFmtId="0" fontId="19" fillId="0" borderId="44" xfId="50" applyFont="1" applyBorder="1" applyAlignment="1">
      <alignment vertical="center" wrapText="1"/>
    </xf>
    <xf numFmtId="0" fontId="19" fillId="0" borderId="16" xfId="50" applyFont="1" applyBorder="1" applyAlignment="1">
      <alignment vertical="center" wrapText="1"/>
    </xf>
    <xf numFmtId="0" fontId="19" fillId="0" borderId="0" xfId="50" applyFont="1" applyAlignment="1">
      <alignment vertical="center" wrapText="1"/>
    </xf>
    <xf numFmtId="0" fontId="19" fillId="0" borderId="20" xfId="50" applyFont="1" applyBorder="1" applyAlignment="1">
      <alignment vertical="center" wrapText="1"/>
    </xf>
    <xf numFmtId="0" fontId="16" fillId="0" borderId="38" xfId="50" applyBorder="1" applyAlignment="1">
      <alignment wrapText="1"/>
    </xf>
    <xf numFmtId="0" fontId="16" fillId="0" borderId="49" xfId="50" applyBorder="1" applyAlignment="1">
      <alignment wrapText="1"/>
    </xf>
    <xf numFmtId="0" fontId="16" fillId="0" borderId="26" xfId="50" applyBorder="1" applyAlignment="1">
      <alignment wrapText="1"/>
    </xf>
    <xf numFmtId="0" fontId="19" fillId="0" borderId="31" xfId="50" applyFont="1" applyBorder="1" applyAlignment="1">
      <alignment horizontal="center" vertical="center" wrapText="1"/>
    </xf>
    <xf numFmtId="0" fontId="19" fillId="0" borderId="10" xfId="50" applyFont="1" applyBorder="1" applyAlignment="1">
      <alignment horizontal="center" wrapText="1"/>
    </xf>
    <xf numFmtId="0" fontId="19" fillId="0" borderId="14" xfId="50" applyFont="1" applyBorder="1" applyAlignment="1">
      <alignment horizontal="center" wrapText="1"/>
    </xf>
    <xf numFmtId="0" fontId="19" fillId="0" borderId="32" xfId="50" applyFont="1" applyBorder="1" applyAlignment="1">
      <alignment horizontal="center"/>
    </xf>
    <xf numFmtId="0" fontId="19" fillId="0" borderId="62" xfId="50" applyFont="1" applyBorder="1" applyAlignment="1">
      <alignment horizontal="center"/>
    </xf>
    <xf numFmtId="0" fontId="16" fillId="0" borderId="62" xfId="50" applyBorder="1" applyAlignment="1">
      <alignment horizontal="center"/>
    </xf>
    <xf numFmtId="0" fontId="19" fillId="0" borderId="23" xfId="50" applyFont="1" applyBorder="1" applyAlignment="1">
      <alignment horizontal="center"/>
    </xf>
    <xf numFmtId="0" fontId="19" fillId="0" borderId="51" xfId="50" applyFont="1" applyBorder="1" applyAlignment="1">
      <alignment horizontal="center"/>
    </xf>
    <xf numFmtId="0" fontId="19" fillId="0" borderId="42" xfId="50" applyFont="1" applyBorder="1" applyAlignment="1">
      <alignment horizontal="center"/>
    </xf>
    <xf numFmtId="0" fontId="16" fillId="0" borderId="13" xfId="50" applyBorder="1" applyAlignment="1">
      <alignment horizontal="center" vertical="center" wrapText="1"/>
    </xf>
    <xf numFmtId="0" fontId="16" fillId="0" borderId="14" xfId="50" applyBorder="1" applyAlignment="1">
      <alignment horizontal="center" vertical="center" wrapText="1"/>
    </xf>
    <xf numFmtId="0" fontId="16" fillId="0" borderId="0" xfId="50" applyAlignment="1">
      <alignment horizontal="center" vertical="center" wrapText="1"/>
    </xf>
    <xf numFmtId="0" fontId="16" fillId="0" borderId="49" xfId="50" applyBorder="1" applyAlignment="1">
      <alignment horizontal="center" vertical="center" wrapText="1"/>
    </xf>
    <xf numFmtId="49" fontId="48" fillId="0" borderId="23" xfId="81" applyNumberFormat="1" applyFont="1" applyBorder="1" applyAlignment="1">
      <alignment horizontal="left" vertical="center"/>
    </xf>
    <xf numFmtId="49" fontId="48" fillId="0" borderId="51" xfId="81" applyNumberFormat="1" applyFont="1" applyBorder="1" applyAlignment="1">
      <alignment horizontal="left" vertical="center"/>
    </xf>
    <xf numFmtId="49" fontId="48" fillId="0" borderId="42" xfId="81" applyNumberFormat="1" applyFont="1" applyBorder="1" applyAlignment="1">
      <alignment horizontal="left" vertical="center"/>
    </xf>
    <xf numFmtId="0" fontId="19" fillId="0" borderId="0" xfId="50" applyFont="1" applyAlignment="1">
      <alignment horizontal="center"/>
    </xf>
    <xf numFmtId="0" fontId="10" fillId="0" borderId="0" xfId="48" applyFont="1" applyAlignment="1">
      <alignment horizontal="center"/>
    </xf>
    <xf numFmtId="0" fontId="16" fillId="0" borderId="0" xfId="50"/>
    <xf numFmtId="0" fontId="16" fillId="0" borderId="76" xfId="50" applyBorder="1" applyAlignment="1">
      <alignment horizontal="center" vertical="center"/>
    </xf>
    <xf numFmtId="0" fontId="16" fillId="0" borderId="77" xfId="50" applyBorder="1" applyAlignment="1">
      <alignment horizontal="center" vertical="center"/>
    </xf>
    <xf numFmtId="0" fontId="16" fillId="0" borderId="78" xfId="50" applyBorder="1" applyAlignment="1">
      <alignment horizontal="center" vertical="center" wrapText="1"/>
    </xf>
    <xf numFmtId="0" fontId="16" fillId="0" borderId="76" xfId="50" applyBorder="1" applyAlignment="1">
      <alignment horizontal="center" vertical="center" wrapText="1"/>
    </xf>
    <xf numFmtId="0" fontId="16" fillId="0" borderId="89" xfId="50" applyBorder="1" applyAlignment="1">
      <alignment horizontal="center" vertical="center" wrapText="1"/>
    </xf>
    <xf numFmtId="0" fontId="16" fillId="0" borderId="10" xfId="50" applyBorder="1" applyAlignment="1">
      <alignment horizontal="center" vertical="center"/>
    </xf>
    <xf numFmtId="0" fontId="16" fillId="0" borderId="11" xfId="50" applyBorder="1" applyAlignment="1">
      <alignment horizontal="center" vertical="center"/>
    </xf>
    <xf numFmtId="0" fontId="19" fillId="0" borderId="66" xfId="50" applyFont="1" applyBorder="1" applyAlignment="1">
      <alignment horizontal="center" vertical="center"/>
    </xf>
    <xf numFmtId="0" fontId="19" fillId="0" borderId="67" xfId="50" applyFont="1" applyBorder="1" applyAlignment="1">
      <alignment horizontal="center" vertical="center"/>
    </xf>
    <xf numFmtId="49" fontId="48" fillId="0" borderId="17" xfId="81" applyNumberFormat="1" applyFont="1" applyBorder="1" applyAlignment="1">
      <alignment horizontal="left" vertical="center"/>
    </xf>
    <xf numFmtId="49" fontId="48" fillId="0" borderId="35" xfId="81" applyNumberFormat="1" applyFont="1" applyBorder="1" applyAlignment="1">
      <alignment horizontal="left" vertical="center"/>
    </xf>
    <xf numFmtId="49" fontId="48" fillId="0" borderId="46" xfId="81" applyNumberFormat="1" applyFont="1" applyBorder="1" applyAlignment="1">
      <alignment horizontal="left" vertical="center"/>
    </xf>
    <xf numFmtId="0" fontId="16" fillId="0" borderId="83" xfId="50" applyBorder="1" applyAlignment="1">
      <alignment horizontal="center" vertical="center"/>
    </xf>
    <xf numFmtId="0" fontId="16" fillId="0" borderId="84" xfId="50" applyBorder="1" applyAlignment="1">
      <alignment horizontal="center" vertical="center"/>
    </xf>
    <xf numFmtId="0" fontId="19" fillId="0" borderId="16" xfId="50" applyFont="1" applyBorder="1" applyAlignment="1">
      <alignment vertical="center"/>
    </xf>
    <xf numFmtId="0" fontId="19" fillId="0" borderId="0" xfId="50" applyFont="1" applyAlignment="1">
      <alignment vertical="center"/>
    </xf>
    <xf numFmtId="0" fontId="19" fillId="0" borderId="20" xfId="50" applyFont="1" applyBorder="1" applyAlignment="1">
      <alignment vertical="center"/>
    </xf>
    <xf numFmtId="0" fontId="19" fillId="0" borderId="27" xfId="50" applyFont="1" applyBorder="1" applyAlignment="1">
      <alignment vertical="center"/>
    </xf>
    <xf numFmtId="0" fontId="19" fillId="0" borderId="19" xfId="50" applyFont="1" applyBorder="1" applyAlignment="1">
      <alignment vertical="center"/>
    </xf>
    <xf numFmtId="0" fontId="19" fillId="0" borderId="41" xfId="50" applyFont="1" applyBorder="1" applyAlignment="1">
      <alignment vertical="center"/>
    </xf>
    <xf numFmtId="0" fontId="16" fillId="0" borderId="16" xfId="50" applyBorder="1" applyAlignment="1">
      <alignment vertical="center"/>
    </xf>
    <xf numFmtId="0" fontId="16" fillId="0" borderId="0" xfId="50" applyAlignment="1">
      <alignment vertical="center"/>
    </xf>
    <xf numFmtId="0" fontId="16" fillId="0" borderId="20" xfId="50" applyBorder="1" applyAlignment="1">
      <alignment vertical="center"/>
    </xf>
    <xf numFmtId="0" fontId="16" fillId="0" borderId="65" xfId="50" applyBorder="1" applyAlignment="1">
      <alignment horizontal="center" vertical="center"/>
    </xf>
    <xf numFmtId="0" fontId="16" fillId="0" borderId="90" xfId="50" applyBorder="1" applyAlignment="1">
      <alignment horizontal="center" vertical="center"/>
    </xf>
    <xf numFmtId="0" fontId="19" fillId="0" borderId="18" xfId="50" applyFont="1" applyBorder="1" applyAlignment="1">
      <alignment horizontal="center" vertical="center"/>
    </xf>
    <xf numFmtId="0" fontId="19" fillId="0" borderId="21" xfId="50" applyFont="1" applyBorder="1" applyAlignment="1">
      <alignment horizontal="center" vertical="center"/>
    </xf>
    <xf numFmtId="2" fontId="62" fillId="0" borderId="18" xfId="50" applyNumberFormat="1" applyFont="1" applyBorder="1" applyAlignment="1">
      <alignment horizontal="center" vertical="center"/>
    </xf>
    <xf numFmtId="2" fontId="62" fillId="0" borderId="21" xfId="50" applyNumberFormat="1" applyFont="1" applyBorder="1" applyAlignment="1">
      <alignment horizontal="center" vertical="center"/>
    </xf>
    <xf numFmtId="0" fontId="16" fillId="0" borderId="17" xfId="50" applyBorder="1" applyAlignment="1">
      <alignment vertical="center"/>
    </xf>
    <xf numFmtId="0" fontId="16" fillId="0" borderId="35" xfId="50" applyBorder="1" applyAlignment="1">
      <alignment vertical="center"/>
    </xf>
    <xf numFmtId="0" fontId="16" fillId="0" borderId="46" xfId="50" applyBorder="1" applyAlignment="1">
      <alignment vertical="center"/>
    </xf>
    <xf numFmtId="0" fontId="19" fillId="0" borderId="40" xfId="50" applyFont="1" applyBorder="1" applyAlignment="1">
      <alignment horizontal="center" vertical="center" wrapText="1"/>
    </xf>
    <xf numFmtId="0" fontId="19" fillId="0" borderId="50" xfId="50" applyFont="1" applyBorder="1" applyAlignment="1">
      <alignment horizontal="center" vertical="center" wrapText="1"/>
    </xf>
    <xf numFmtId="0" fontId="19" fillId="0" borderId="44" xfId="50" applyFont="1" applyBorder="1" applyAlignment="1">
      <alignment horizontal="center" vertical="center" wrapText="1"/>
    </xf>
    <xf numFmtId="0" fontId="16" fillId="0" borderId="88" xfId="50" applyBorder="1" applyAlignment="1">
      <alignment vertical="center"/>
    </xf>
    <xf numFmtId="0" fontId="16" fillId="0" borderId="91" xfId="50" applyBorder="1" applyAlignment="1">
      <alignment vertical="center"/>
    </xf>
    <xf numFmtId="0" fontId="19" fillId="0" borderId="40" xfId="50" applyFont="1" applyBorder="1" applyAlignment="1">
      <alignment horizontal="center" vertical="center"/>
    </xf>
    <xf numFmtId="0" fontId="19" fillId="0" borderId="50" xfId="50" applyFont="1" applyBorder="1" applyAlignment="1">
      <alignment horizontal="center" vertical="center"/>
    </xf>
    <xf numFmtId="0" fontId="19" fillId="0" borderId="44" xfId="50" applyFont="1" applyBorder="1" applyAlignment="1">
      <alignment horizontal="center" vertical="center"/>
    </xf>
    <xf numFmtId="0" fontId="19" fillId="0" borderId="38" xfId="50" applyFont="1" applyBorder="1" applyAlignment="1">
      <alignment horizontal="center" vertical="center"/>
    </xf>
    <xf numFmtId="0" fontId="19" fillId="0" borderId="49" xfId="50" applyFont="1" applyBorder="1" applyAlignment="1">
      <alignment horizontal="center" vertical="center"/>
    </xf>
    <xf numFmtId="0" fontId="19" fillId="0" borderId="26" xfId="5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0" fontId="42" fillId="0" borderId="0" xfId="82" applyFont="1" applyAlignment="1">
      <alignment horizontal="center" vertical="center"/>
    </xf>
    <xf numFmtId="0" fontId="42" fillId="0" borderId="0" xfId="82" applyFont="1" applyAlignment="1">
      <alignment horizontal="center"/>
    </xf>
    <xf numFmtId="0" fontId="6" fillId="0" borderId="0" xfId="83" applyFont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10" fillId="0" borderId="62" xfId="0" applyFont="1" applyBorder="1" applyAlignment="1">
      <alignment horizontal="center" vertical="center"/>
    </xf>
    <xf numFmtId="0" fontId="10" fillId="0" borderId="101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 wrapText="1"/>
    </xf>
    <xf numFmtId="0" fontId="10" fillId="0" borderId="114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119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65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66" xfId="0" applyFont="1" applyBorder="1" applyAlignment="1">
      <alignment horizontal="center" vertical="center"/>
    </xf>
    <xf numFmtId="0" fontId="111" fillId="0" borderId="0" xfId="0" applyFont="1" applyAlignment="1">
      <alignment horizontal="left" vertical="top"/>
    </xf>
    <xf numFmtId="0" fontId="112" fillId="0" borderId="0" xfId="87" applyFont="1" applyAlignment="1">
      <alignment horizontal="center"/>
    </xf>
    <xf numFmtId="0" fontId="112" fillId="0" borderId="0" xfId="87" applyFont="1" applyAlignment="1">
      <alignment horizontal="center" vertical="center"/>
    </xf>
    <xf numFmtId="0" fontId="113" fillId="0" borderId="0" xfId="87" applyFont="1" applyAlignment="1">
      <alignment horizontal="center" vertical="center"/>
    </xf>
    <xf numFmtId="0" fontId="112" fillId="24" borderId="64" xfId="56" applyFont="1" applyFill="1" applyBorder="1" applyAlignment="1">
      <alignment horizontal="center" vertical="center"/>
    </xf>
    <xf numFmtId="0" fontId="112" fillId="24" borderId="52" xfId="56" applyFont="1" applyFill="1" applyBorder="1" applyAlignment="1">
      <alignment horizontal="center" vertical="center"/>
    </xf>
    <xf numFmtId="0" fontId="112" fillId="24" borderId="60" xfId="56" applyFont="1" applyFill="1" applyBorder="1" applyAlignment="1">
      <alignment horizontal="center" vertical="center"/>
    </xf>
    <xf numFmtId="0" fontId="112" fillId="0" borderId="100" xfId="88" applyFont="1" applyBorder="1" applyAlignment="1">
      <alignment horizontal="center" vertical="center"/>
    </xf>
    <xf numFmtId="0" fontId="112" fillId="0" borderId="102" xfId="88" applyFont="1" applyBorder="1" applyAlignment="1">
      <alignment horizontal="center" vertical="center"/>
    </xf>
    <xf numFmtId="0" fontId="112" fillId="0" borderId="100" xfId="88" applyFont="1" applyBorder="1" applyAlignment="1">
      <alignment horizontal="center" vertical="center" wrapText="1"/>
    </xf>
    <xf numFmtId="3" fontId="112" fillId="0" borderId="100" xfId="88" applyNumberFormat="1" applyFont="1" applyBorder="1" applyAlignment="1">
      <alignment horizontal="center" vertical="center" wrapText="1"/>
    </xf>
    <xf numFmtId="3" fontId="112" fillId="0" borderId="102" xfId="88" applyNumberFormat="1" applyFont="1" applyBorder="1" applyAlignment="1">
      <alignment horizontal="center" vertical="center"/>
    </xf>
    <xf numFmtId="3" fontId="112" fillId="0" borderId="101" xfId="88" applyNumberFormat="1" applyFont="1" applyBorder="1" applyAlignment="1">
      <alignment horizontal="center" vertical="center" wrapText="1"/>
    </xf>
    <xf numFmtId="3" fontId="112" fillId="0" borderId="103" xfId="88" applyNumberFormat="1" applyFont="1" applyBorder="1" applyAlignment="1">
      <alignment horizontal="center" vertical="center"/>
    </xf>
    <xf numFmtId="0" fontId="112" fillId="24" borderId="64" xfId="56" applyFont="1" applyFill="1" applyBorder="1" applyAlignment="1">
      <alignment horizontal="center" vertical="center" wrapText="1"/>
    </xf>
    <xf numFmtId="0" fontId="112" fillId="24" borderId="52" xfId="56" applyFont="1" applyFill="1" applyBorder="1" applyAlignment="1">
      <alignment horizontal="center" vertical="center" wrapText="1"/>
    </xf>
    <xf numFmtId="0" fontId="112" fillId="24" borderId="60" xfId="56" applyFont="1" applyFill="1" applyBorder="1" applyAlignment="1">
      <alignment horizontal="center" vertical="center" wrapText="1"/>
    </xf>
    <xf numFmtId="0" fontId="112" fillId="24" borderId="50" xfId="56" applyFont="1" applyFill="1" applyBorder="1" applyAlignment="1">
      <alignment horizontal="center" vertical="center"/>
    </xf>
    <xf numFmtId="0" fontId="112" fillId="24" borderId="105" xfId="56" applyFont="1" applyFill="1" applyBorder="1" applyAlignment="1">
      <alignment horizontal="center" vertical="center"/>
    </xf>
    <xf numFmtId="0" fontId="112" fillId="0" borderId="92" xfId="88" applyFont="1" applyBorder="1" applyAlignment="1">
      <alignment horizontal="center" vertical="center"/>
    </xf>
    <xf numFmtId="0" fontId="112" fillId="0" borderId="69" xfId="88" applyFont="1" applyBorder="1" applyAlignment="1">
      <alignment horizontal="center" vertical="center"/>
    </xf>
    <xf numFmtId="0" fontId="112" fillId="0" borderId="106" xfId="88" applyFont="1" applyBorder="1" applyAlignment="1">
      <alignment horizontal="center" vertical="center" wrapText="1"/>
    </xf>
    <xf numFmtId="3" fontId="112" fillId="0" borderId="106" xfId="88" applyNumberFormat="1" applyFont="1" applyBorder="1" applyAlignment="1">
      <alignment horizontal="center" vertical="center"/>
    </xf>
    <xf numFmtId="3" fontId="112" fillId="0" borderId="113" xfId="88" applyNumberFormat="1" applyFont="1" applyBorder="1" applyAlignment="1">
      <alignment horizontal="center" vertical="center" wrapText="1"/>
    </xf>
    <xf numFmtId="3" fontId="112" fillId="0" borderId="103" xfId="88" applyNumberFormat="1" applyFont="1" applyBorder="1" applyAlignment="1">
      <alignment horizontal="center" vertical="center" wrapText="1"/>
    </xf>
    <xf numFmtId="0" fontId="112" fillId="0" borderId="68" xfId="88" applyFont="1" applyBorder="1" applyAlignment="1">
      <alignment horizontal="center" vertical="center"/>
    </xf>
    <xf numFmtId="0" fontId="112" fillId="23" borderId="75" xfId="88" applyFont="1" applyFill="1" applyBorder="1" applyAlignment="1">
      <alignment horizontal="center" vertical="center"/>
    </xf>
    <xf numFmtId="0" fontId="112" fillId="23" borderId="12" xfId="88" applyFont="1" applyFill="1" applyBorder="1" applyAlignment="1">
      <alignment horizontal="center" vertical="center" wrapText="1"/>
    </xf>
    <xf numFmtId="0" fontId="112" fillId="23" borderId="12" xfId="88" applyFont="1" applyFill="1" applyBorder="1" applyAlignment="1">
      <alignment horizontal="center" vertical="center"/>
    </xf>
    <xf numFmtId="3" fontId="112" fillId="23" borderId="12" xfId="88" applyNumberFormat="1" applyFont="1" applyFill="1" applyBorder="1" applyAlignment="1">
      <alignment horizontal="center" vertical="center" wrapText="1"/>
    </xf>
    <xf numFmtId="3" fontId="112" fillId="23" borderId="72" xfId="88" applyNumberFormat="1" applyFont="1" applyFill="1" applyBorder="1" applyAlignment="1">
      <alignment horizontal="center" vertical="center" wrapText="1"/>
    </xf>
    <xf numFmtId="0" fontId="115" fillId="0" borderId="0" xfId="0" applyFont="1" applyAlignment="1">
      <alignment horizontal="center" wrapText="1"/>
    </xf>
    <xf numFmtId="0" fontId="48" fillId="0" borderId="79" xfId="46" applyFont="1" applyBorder="1" applyAlignment="1">
      <alignment horizontal="left"/>
    </xf>
    <xf numFmtId="0" fontId="48" fillId="0" borderId="42" xfId="46" applyFont="1" applyBorder="1" applyAlignment="1">
      <alignment horizontal="left"/>
    </xf>
    <xf numFmtId="0" fontId="48" fillId="0" borderId="13" xfId="46" applyFont="1" applyBorder="1" applyAlignment="1">
      <alignment horizontal="center" vertical="center"/>
    </xf>
    <xf numFmtId="0" fontId="48" fillId="0" borderId="11" xfId="46" applyFont="1" applyBorder="1" applyAlignment="1">
      <alignment horizontal="center" vertical="center"/>
    </xf>
    <xf numFmtId="0" fontId="48" fillId="0" borderId="59" xfId="46" applyFont="1" applyBorder="1" applyAlignment="1">
      <alignment horizontal="center" vertical="center"/>
    </xf>
    <xf numFmtId="3" fontId="41" fillId="0" borderId="59" xfId="46" applyNumberFormat="1" applyFont="1" applyBorder="1" applyAlignment="1">
      <alignment horizontal="right" vertical="center"/>
    </xf>
    <xf numFmtId="3" fontId="41" fillId="0" borderId="11" xfId="46" applyNumberFormat="1" applyFont="1" applyBorder="1" applyAlignment="1">
      <alignment horizontal="right" vertical="center"/>
    </xf>
    <xf numFmtId="0" fontId="41" fillId="0" borderId="68" xfId="46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123" fillId="0" borderId="79" xfId="46" applyFont="1" applyBorder="1" applyAlignment="1">
      <alignment horizontal="left"/>
    </xf>
    <xf numFmtId="0" fontId="123" fillId="0" borderId="42" xfId="46" applyFont="1" applyBorder="1" applyAlignment="1">
      <alignment horizontal="left"/>
    </xf>
    <xf numFmtId="0" fontId="51" fillId="0" borderId="0" xfId="89" applyFont="1" applyAlignment="1">
      <alignment horizontal="center" vertical="center"/>
    </xf>
    <xf numFmtId="0" fontId="51" fillId="0" borderId="0" xfId="89" applyFont="1" applyAlignment="1">
      <alignment horizontal="center"/>
    </xf>
    <xf numFmtId="0" fontId="19" fillId="0" borderId="0" xfId="46" applyFont="1"/>
    <xf numFmtId="0" fontId="10" fillId="0" borderId="0" xfId="0" applyFont="1"/>
    <xf numFmtId="0" fontId="41" fillId="0" borderId="10" xfId="46" applyFont="1" applyBorder="1" applyAlignment="1">
      <alignment horizontal="center" vertical="center" wrapText="1"/>
    </xf>
    <xf numFmtId="0" fontId="48" fillId="0" borderId="25" xfId="46" applyFont="1" applyBorder="1" applyAlignment="1">
      <alignment horizontal="center" vertical="center" wrapText="1"/>
    </xf>
    <xf numFmtId="0" fontId="41" fillId="0" borderId="13" xfId="46" applyFont="1" applyBorder="1" applyAlignment="1">
      <alignment horizontal="center" vertical="center" wrapText="1"/>
    </xf>
    <xf numFmtId="0" fontId="41" fillId="0" borderId="25" xfId="46" applyFont="1" applyBorder="1" applyAlignment="1">
      <alignment horizontal="center" vertical="center" wrapText="1"/>
    </xf>
    <xf numFmtId="0" fontId="48" fillId="0" borderId="69" xfId="46" applyFont="1" applyBorder="1" applyAlignment="1">
      <alignment horizontal="left"/>
    </xf>
    <xf numFmtId="0" fontId="48" fillId="0" borderId="43" xfId="46" applyFont="1" applyBorder="1" applyAlignment="1">
      <alignment horizontal="left"/>
    </xf>
    <xf numFmtId="0" fontId="62" fillId="0" borderId="0" xfId="53" applyFont="1" applyAlignment="1">
      <alignment horizontal="center" vertical="center"/>
    </xf>
    <xf numFmtId="0" fontId="70" fillId="0" borderId="40" xfId="53" applyFont="1" applyBorder="1" applyAlignment="1">
      <alignment horizontal="center" vertical="center" wrapText="1"/>
    </xf>
    <xf numFmtId="0" fontId="70" fillId="0" borderId="38" xfId="53" applyFont="1" applyBorder="1" applyAlignment="1">
      <alignment horizontal="center" vertical="center" wrapText="1"/>
    </xf>
    <xf numFmtId="0" fontId="70" fillId="0" borderId="31" xfId="53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9" fillId="0" borderId="74" xfId="53" applyFont="1" applyBorder="1" applyAlignment="1">
      <alignment horizontal="center" vertical="center" wrapText="1"/>
    </xf>
    <xf numFmtId="0" fontId="0" fillId="0" borderId="89" xfId="0" applyBorder="1" applyAlignment="1">
      <alignment horizontal="center" vertical="center"/>
    </xf>
    <xf numFmtId="0" fontId="68" fillId="0" borderId="0" xfId="53" applyFont="1" applyAlignment="1">
      <alignment horizontal="center" vertical="center"/>
    </xf>
    <xf numFmtId="0" fontId="70" fillId="0" borderId="14" xfId="53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0" fillId="0" borderId="44" xfId="53" applyFont="1" applyBorder="1" applyAlignment="1">
      <alignment horizontal="center" vertical="center" wrapText="1"/>
    </xf>
    <xf numFmtId="0" fontId="70" fillId="0" borderId="26" xfId="53" applyFont="1" applyBorder="1" applyAlignment="1">
      <alignment horizontal="center" vertical="center" wrapText="1"/>
    </xf>
    <xf numFmtId="0" fontId="70" fillId="0" borderId="32" xfId="53" applyFont="1" applyBorder="1" applyAlignment="1">
      <alignment horizontal="center" vertical="center" wrapText="1"/>
    </xf>
    <xf numFmtId="0" fontId="70" fillId="0" borderId="30" xfId="53" applyFont="1" applyBorder="1" applyAlignment="1">
      <alignment horizontal="center" vertical="center" wrapText="1"/>
    </xf>
    <xf numFmtId="0" fontId="70" fillId="0" borderId="62" xfId="53" applyFont="1" applyBorder="1" applyAlignment="1">
      <alignment horizontal="center" vertical="center" wrapText="1"/>
    </xf>
    <xf numFmtId="0" fontId="70" fillId="0" borderId="18" xfId="53" applyFont="1" applyBorder="1" applyAlignment="1">
      <alignment horizontal="center" vertical="center" wrapText="1"/>
    </xf>
    <xf numFmtId="0" fontId="70" fillId="0" borderId="21" xfId="53" applyFont="1" applyBorder="1" applyAlignment="1">
      <alignment horizontal="center" vertical="center" wrapText="1"/>
    </xf>
    <xf numFmtId="0" fontId="16" fillId="0" borderId="14" xfId="53" applyBorder="1" applyAlignment="1">
      <alignment horizontal="center" vertical="center" wrapText="1"/>
    </xf>
    <xf numFmtId="0" fontId="70" fillId="0" borderId="66" xfId="53" applyFont="1" applyBorder="1" applyAlignment="1">
      <alignment horizontal="center" vertical="center" wrapText="1"/>
    </xf>
    <xf numFmtId="0" fontId="70" fillId="0" borderId="67" xfId="53" applyFont="1" applyBorder="1" applyAlignment="1">
      <alignment horizontal="center" vertical="center" wrapText="1"/>
    </xf>
    <xf numFmtId="0" fontId="19" fillId="0" borderId="0" xfId="53" applyFont="1" applyAlignment="1">
      <alignment horizontal="center" vertical="center" wrapText="1"/>
    </xf>
    <xf numFmtId="0" fontId="69" fillId="0" borderId="0" xfId="53" applyFont="1" applyAlignment="1">
      <alignment horizontal="center" vertical="center"/>
    </xf>
    <xf numFmtId="0" fontId="69" fillId="0" borderId="0" xfId="53" applyFont="1" applyAlignment="1">
      <alignment horizontal="center"/>
    </xf>
    <xf numFmtId="0" fontId="10" fillId="0" borderId="0" xfId="0" applyFont="1" applyAlignment="1">
      <alignment horizontal="center" vertical="center" wrapText="1"/>
    </xf>
    <xf numFmtId="0" fontId="69" fillId="0" borderId="0" xfId="0" applyFont="1" applyAlignment="1">
      <alignment horizontal="center" wrapText="1"/>
    </xf>
    <xf numFmtId="0" fontId="69" fillId="0" borderId="0" xfId="0" applyFont="1" applyAlignment="1">
      <alignment horizontal="center"/>
    </xf>
    <xf numFmtId="49" fontId="44" fillId="0" borderId="13" xfId="51" applyNumberFormat="1" applyFont="1" applyBorder="1" applyAlignment="1">
      <alignment horizontal="center" vertical="center"/>
    </xf>
    <xf numFmtId="49" fontId="44" fillId="0" borderId="10" xfId="51" applyNumberFormat="1" applyFont="1" applyBorder="1" applyAlignment="1">
      <alignment horizontal="center" vertical="center"/>
    </xf>
    <xf numFmtId="49" fontId="44" fillId="0" borderId="11" xfId="51" applyNumberFormat="1" applyFont="1" applyBorder="1" applyAlignment="1">
      <alignment horizontal="center" vertical="center"/>
    </xf>
    <xf numFmtId="3" fontId="42" fillId="0" borderId="13" xfId="51" applyNumberFormat="1" applyFont="1" applyBorder="1" applyAlignment="1">
      <alignment vertical="center"/>
    </xf>
    <xf numFmtId="3" fontId="42" fillId="0" borderId="10" xfId="51" applyNumberFormat="1" applyFont="1" applyBorder="1" applyAlignment="1">
      <alignment vertical="center"/>
    </xf>
    <xf numFmtId="3" fontId="42" fillId="0" borderId="25" xfId="51" applyNumberFormat="1" applyFont="1" applyBorder="1" applyAlignment="1">
      <alignment vertical="center"/>
    </xf>
    <xf numFmtId="3" fontId="42" fillId="0" borderId="59" xfId="51" applyNumberFormat="1" applyFont="1" applyBorder="1" applyAlignment="1">
      <alignment vertical="center"/>
    </xf>
    <xf numFmtId="3" fontId="42" fillId="0" borderId="14" xfId="51" applyNumberFormat="1" applyFont="1" applyBorder="1" applyAlignment="1">
      <alignment vertical="center"/>
    </xf>
    <xf numFmtId="3" fontId="44" fillId="0" borderId="11" xfId="51" applyNumberFormat="1" applyFont="1" applyBorder="1" applyAlignment="1">
      <alignment vertical="center"/>
    </xf>
    <xf numFmtId="3" fontId="44" fillId="0" borderId="12" xfId="51" applyNumberFormat="1" applyFont="1" applyBorder="1" applyAlignment="1">
      <alignment vertical="center"/>
    </xf>
    <xf numFmtId="3" fontId="44" fillId="0" borderId="13" xfId="51" applyNumberFormat="1" applyFont="1" applyBorder="1" applyAlignment="1">
      <alignment vertical="center"/>
    </xf>
    <xf numFmtId="3" fontId="44" fillId="0" borderId="10" xfId="51" applyNumberFormat="1" applyFont="1" applyBorder="1" applyAlignment="1">
      <alignment vertical="center"/>
    </xf>
    <xf numFmtId="0" fontId="42" fillId="15" borderId="18" xfId="51" applyFont="1" applyFill="1" applyBorder="1" applyAlignment="1">
      <alignment horizontal="center" vertical="center" wrapText="1"/>
    </xf>
    <xf numFmtId="0" fontId="42" fillId="15" borderId="21" xfId="51" applyFont="1" applyFill="1" applyBorder="1" applyAlignment="1">
      <alignment horizontal="center" vertical="center" wrapText="1"/>
    </xf>
    <xf numFmtId="0" fontId="19" fillId="0" borderId="0" xfId="5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0" xfId="5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2" fillId="0" borderId="65" xfId="51" applyFont="1" applyBorder="1" applyAlignment="1">
      <alignment horizontal="center" vertical="center"/>
    </xf>
    <xf numFmtId="0" fontId="42" fillId="0" borderId="90" xfId="51" applyFont="1" applyBorder="1" applyAlignment="1">
      <alignment horizontal="center" vertical="center"/>
    </xf>
    <xf numFmtId="0" fontId="42" fillId="0" borderId="31" xfId="51" applyFont="1" applyBorder="1" applyAlignment="1">
      <alignment horizontal="center" vertical="center" wrapText="1"/>
    </xf>
    <xf numFmtId="0" fontId="42" fillId="0" borderId="14" xfId="51" applyFont="1" applyBorder="1" applyAlignment="1">
      <alignment horizontal="center" vertical="center" wrapText="1"/>
    </xf>
    <xf numFmtId="0" fontId="42" fillId="0" borderId="74" xfId="51" applyFont="1" applyBorder="1" applyAlignment="1">
      <alignment horizontal="center" vertical="center" wrapText="1"/>
    </xf>
    <xf numFmtId="0" fontId="42" fillId="0" borderId="89" xfId="51" applyFont="1" applyBorder="1" applyAlignment="1">
      <alignment horizontal="center" vertical="center" wrapText="1"/>
    </xf>
    <xf numFmtId="0" fontId="42" fillId="15" borderId="31" xfId="51" applyFont="1" applyFill="1" applyBorder="1" applyAlignment="1">
      <alignment horizontal="center" vertical="center" wrapText="1"/>
    </xf>
    <xf numFmtId="0" fontId="42" fillId="15" borderId="14" xfId="51" applyFont="1" applyFill="1" applyBorder="1" applyAlignment="1">
      <alignment horizontal="center" vertical="center" wrapText="1"/>
    </xf>
    <xf numFmtId="0" fontId="42" fillId="0" borderId="18" xfId="51" applyFont="1" applyBorder="1" applyAlignment="1">
      <alignment horizontal="center" vertical="center" wrapText="1"/>
    </xf>
    <xf numFmtId="0" fontId="42" fillId="0" borderId="21" xfId="51" applyFont="1" applyBorder="1" applyAlignment="1">
      <alignment horizontal="center" vertical="center" wrapText="1"/>
    </xf>
    <xf numFmtId="3" fontId="44" fillId="0" borderId="77" xfId="51" applyNumberFormat="1" applyFont="1" applyBorder="1" applyAlignment="1">
      <alignment vertical="center"/>
    </xf>
    <xf numFmtId="3" fontId="44" fillId="0" borderId="72" xfId="51" applyNumberFormat="1" applyFont="1" applyBorder="1" applyAlignment="1">
      <alignment vertical="center"/>
    </xf>
    <xf numFmtId="0" fontId="44" fillId="0" borderId="75" xfId="51" applyFont="1" applyBorder="1" applyAlignment="1">
      <alignment vertical="center" wrapText="1"/>
    </xf>
    <xf numFmtId="0" fontId="44" fillId="0" borderId="84" xfId="51" applyFont="1" applyBorder="1" applyAlignment="1">
      <alignment vertical="center" wrapText="1"/>
    </xf>
    <xf numFmtId="3" fontId="44" fillId="15" borderId="11" xfId="51" applyNumberFormat="1" applyFont="1" applyFill="1" applyBorder="1" applyAlignment="1">
      <alignment vertical="center"/>
    </xf>
    <xf numFmtId="3" fontId="44" fillId="15" borderId="12" xfId="51" applyNumberFormat="1" applyFont="1" applyFill="1" applyBorder="1" applyAlignment="1">
      <alignment vertical="center"/>
    </xf>
    <xf numFmtId="49" fontId="44" fillId="0" borderId="78" xfId="51" applyNumberFormat="1" applyFont="1" applyBorder="1" applyAlignment="1">
      <alignment horizontal="center" vertical="center"/>
    </xf>
    <xf numFmtId="49" fontId="44" fillId="0" borderId="76" xfId="51" applyNumberFormat="1" applyFont="1" applyBorder="1" applyAlignment="1">
      <alignment horizontal="center" vertical="center"/>
    </xf>
    <xf numFmtId="49" fontId="44" fillId="0" borderId="77" xfId="51" applyNumberFormat="1" applyFont="1" applyBorder="1" applyAlignment="1">
      <alignment horizontal="center" vertical="center"/>
    </xf>
    <xf numFmtId="49" fontId="44" fillId="15" borderId="13" xfId="51" applyNumberFormat="1" applyFont="1" applyFill="1" applyBorder="1" applyAlignment="1">
      <alignment horizontal="center" vertical="center"/>
    </xf>
    <xf numFmtId="49" fontId="44" fillId="15" borderId="10" xfId="51" applyNumberFormat="1" applyFont="1" applyFill="1" applyBorder="1" applyAlignment="1">
      <alignment horizontal="center" vertical="center"/>
    </xf>
    <xf numFmtId="49" fontId="44" fillId="15" borderId="11" xfId="51" applyNumberFormat="1" applyFont="1" applyFill="1" applyBorder="1" applyAlignment="1">
      <alignment horizontal="center" vertical="center"/>
    </xf>
    <xf numFmtId="3" fontId="42" fillId="0" borderId="12" xfId="51" applyNumberFormat="1" applyFont="1" applyBorder="1" applyAlignment="1">
      <alignment vertical="center"/>
    </xf>
    <xf numFmtId="3" fontId="42" fillId="0" borderId="34" xfId="51" applyNumberFormat="1" applyFont="1" applyBorder="1" applyAlignment="1">
      <alignment vertical="center"/>
    </xf>
    <xf numFmtId="3" fontId="42" fillId="0" borderId="72" xfId="51" applyNumberFormat="1" applyFont="1" applyBorder="1" applyAlignment="1">
      <alignment vertical="center"/>
    </xf>
    <xf numFmtId="3" fontId="42" fillId="0" borderId="115" xfId="51" applyNumberFormat="1" applyFont="1" applyBorder="1" applyAlignment="1">
      <alignment vertical="center"/>
    </xf>
    <xf numFmtId="0" fontId="42" fillId="0" borderId="116" xfId="51" applyFont="1" applyBorder="1" applyAlignment="1">
      <alignment vertical="center" wrapText="1"/>
    </xf>
    <xf numFmtId="0" fontId="42" fillId="0" borderId="75" xfId="51" applyFont="1" applyBorder="1" applyAlignment="1">
      <alignment vertical="center" wrapText="1"/>
    </xf>
    <xf numFmtId="0" fontId="42" fillId="0" borderId="90" xfId="51" applyFont="1" applyBorder="1" applyAlignment="1">
      <alignment vertical="center" wrapText="1"/>
    </xf>
    <xf numFmtId="3" fontId="42" fillId="0" borderId="37" xfId="51" applyNumberFormat="1" applyFont="1" applyBorder="1" applyAlignment="1">
      <alignment vertical="center"/>
    </xf>
    <xf numFmtId="3" fontId="42" fillId="0" borderId="21" xfId="51" applyNumberFormat="1" applyFont="1" applyBorder="1" applyAlignment="1">
      <alignment vertical="center"/>
    </xf>
    <xf numFmtId="3" fontId="42" fillId="0" borderId="111" xfId="51" applyNumberFormat="1" applyFont="1" applyBorder="1" applyAlignment="1">
      <alignment vertical="center"/>
    </xf>
    <xf numFmtId="3" fontId="42" fillId="0" borderId="67" xfId="51" applyNumberFormat="1" applyFont="1" applyBorder="1" applyAlignment="1">
      <alignment vertical="center"/>
    </xf>
    <xf numFmtId="0" fontId="42" fillId="0" borderId="114" xfId="51" applyFont="1" applyBorder="1" applyAlignment="1">
      <alignment vertical="center" wrapText="1"/>
    </xf>
    <xf numFmtId="3" fontId="42" fillId="15" borderId="12" xfId="51" applyNumberFormat="1" applyFont="1" applyFill="1" applyBorder="1" applyAlignment="1">
      <alignment vertical="center"/>
    </xf>
    <xf numFmtId="3" fontId="42" fillId="15" borderId="34" xfId="51" applyNumberFormat="1" applyFont="1" applyFill="1" applyBorder="1" applyAlignment="1">
      <alignment vertical="center"/>
    </xf>
    <xf numFmtId="3" fontId="42" fillId="15" borderId="37" xfId="51" applyNumberFormat="1" applyFont="1" applyFill="1" applyBorder="1" applyAlignment="1">
      <alignment vertical="center"/>
    </xf>
    <xf numFmtId="3" fontId="42" fillId="15" borderId="21" xfId="51" applyNumberFormat="1" applyFont="1" applyFill="1" applyBorder="1" applyAlignment="1">
      <alignment vertical="center"/>
    </xf>
    <xf numFmtId="0" fontId="20" fillId="0" borderId="64" xfId="90" applyFont="1" applyBorder="1" applyAlignment="1">
      <alignment horizontal="center" vertical="center"/>
    </xf>
    <xf numFmtId="0" fontId="20" fillId="0" borderId="45" xfId="90" applyFont="1" applyBorder="1" applyAlignment="1">
      <alignment horizontal="center" vertical="center"/>
    </xf>
    <xf numFmtId="0" fontId="10" fillId="0" borderId="0" xfId="90" applyFont="1" applyAlignment="1">
      <alignment horizontal="center"/>
    </xf>
    <xf numFmtId="0" fontId="10" fillId="0" borderId="88" xfId="90" applyFont="1" applyBorder="1" applyAlignment="1">
      <alignment horizontal="center" vertical="center"/>
    </xf>
    <xf numFmtId="0" fontId="10" fillId="0" borderId="91" xfId="90" applyFont="1" applyBorder="1" applyAlignment="1">
      <alignment horizontal="center" vertical="center"/>
    </xf>
    <xf numFmtId="0" fontId="10" fillId="0" borderId="31" xfId="90" applyFont="1" applyBorder="1" applyAlignment="1">
      <alignment horizontal="center" vertical="center"/>
    </xf>
    <xf numFmtId="0" fontId="10" fillId="0" borderId="14" xfId="90" applyFont="1" applyBorder="1" applyAlignment="1">
      <alignment horizontal="center" vertical="center"/>
    </xf>
    <xf numFmtId="0" fontId="10" fillId="0" borderId="31" xfId="90" applyFont="1" applyBorder="1" applyAlignment="1">
      <alignment horizontal="center" vertical="center" wrapText="1"/>
    </xf>
    <xf numFmtId="0" fontId="10" fillId="0" borderId="14" xfId="90" applyFont="1" applyBorder="1" applyAlignment="1">
      <alignment horizontal="center" vertical="center" wrapText="1"/>
    </xf>
    <xf numFmtId="0" fontId="10" fillId="0" borderId="74" xfId="90" applyFont="1" applyBorder="1" applyAlignment="1">
      <alignment horizontal="center" vertical="center" wrapText="1"/>
    </xf>
    <xf numFmtId="0" fontId="10" fillId="0" borderId="89" xfId="90" applyFont="1" applyBorder="1" applyAlignment="1">
      <alignment horizontal="center" vertical="center" wrapText="1"/>
    </xf>
  </cellXfs>
  <cellStyles count="91">
    <cellStyle name="20% - 1. jelölőszín" xfId="1" builtinId="30" customBuiltin="1"/>
    <cellStyle name="20% - 1. jelölőszín 2" xfId="57" xr:uid="{00000000-0005-0000-0000-000001000000}"/>
    <cellStyle name="20% - 2. jelölőszín" xfId="2" builtinId="34" customBuiltin="1"/>
    <cellStyle name="20% - 2. jelölőszín 2" xfId="58" xr:uid="{00000000-0005-0000-0000-000003000000}"/>
    <cellStyle name="20% - 3. jelölőszín" xfId="3" builtinId="38" customBuiltin="1"/>
    <cellStyle name="20% - 3. jelölőszín 2" xfId="59" xr:uid="{00000000-0005-0000-0000-000005000000}"/>
    <cellStyle name="20% - 4. jelölőszín" xfId="4" builtinId="42" customBuiltin="1"/>
    <cellStyle name="20% - 4. jelölőszín 2" xfId="60" xr:uid="{00000000-0005-0000-0000-000007000000}"/>
    <cellStyle name="20% - 5. jelölőszín" xfId="5" builtinId="46" customBuiltin="1"/>
    <cellStyle name="20% - 6. jelölőszín" xfId="6" builtinId="50" customBuiltin="1"/>
    <cellStyle name="20% - 6. jelölőszín 2" xfId="61" xr:uid="{00000000-0005-0000-0000-00000A000000}"/>
    <cellStyle name="40% - 1. jelölőszín" xfId="7" builtinId="31" customBuiltin="1"/>
    <cellStyle name="40% - 1. jelölőszín 2" xfId="62" xr:uid="{00000000-0005-0000-0000-00000C000000}"/>
    <cellStyle name="40% - 2. jelölőszín" xfId="8" builtinId="35" customBuiltin="1"/>
    <cellStyle name="40% - 3. jelölőszín" xfId="9" builtinId="39" customBuiltin="1"/>
    <cellStyle name="40% - 3. jelölőszín 2" xfId="63" xr:uid="{00000000-0005-0000-0000-00000F000000}"/>
    <cellStyle name="40% - 4. jelölőszín" xfId="10" builtinId="43" customBuiltin="1"/>
    <cellStyle name="40% - 4. jelölőszín 2" xfId="64" xr:uid="{00000000-0005-0000-0000-000011000000}"/>
    <cellStyle name="40% - 5. jelölőszín" xfId="11" builtinId="47" customBuiltin="1"/>
    <cellStyle name="40% - 6. jelölőszín" xfId="12" builtinId="51" customBuiltin="1"/>
    <cellStyle name="40% - 6. jelölőszín 2" xfId="65" xr:uid="{00000000-0005-0000-0000-000014000000}"/>
    <cellStyle name="60% - 1. jelölőszín" xfId="13" builtinId="32" customBuiltin="1"/>
    <cellStyle name="60% - 1. jelölőszín 2" xfId="66" xr:uid="{00000000-0005-0000-0000-000016000000}"/>
    <cellStyle name="60% - 2. jelölőszín" xfId="14" builtinId="36" customBuiltin="1"/>
    <cellStyle name="60% - 3. jelölőszín" xfId="15" builtinId="40" customBuiltin="1"/>
    <cellStyle name="60% - 3. jelölőszín 2" xfId="67" xr:uid="{00000000-0005-0000-0000-000019000000}"/>
    <cellStyle name="60% - 4. jelölőszín" xfId="16" builtinId="44" customBuiltin="1"/>
    <cellStyle name="60% - 4. jelölőszín 2" xfId="68" xr:uid="{00000000-0005-0000-0000-00001B000000}"/>
    <cellStyle name="60% - 5. jelölőszín" xfId="17" builtinId="48" customBuiltin="1"/>
    <cellStyle name="60% - 6. jelölőszín" xfId="18" builtinId="52" customBuiltin="1"/>
    <cellStyle name="60% - 6. jelölőszín 2" xfId="69" xr:uid="{00000000-0005-0000-0000-00001E000000}"/>
    <cellStyle name="Bevitel" xfId="19" builtinId="20" customBuiltin="1"/>
    <cellStyle name="Bevitel 2" xfId="70" xr:uid="{00000000-0005-0000-0000-000020000000}"/>
    <cellStyle name="Cím" xfId="20" builtinId="15" customBuiltin="1"/>
    <cellStyle name="Cím 2" xfId="71" xr:uid="{00000000-0005-0000-0000-000022000000}"/>
    <cellStyle name="Címsor 1" xfId="21" builtinId="16" customBuiltin="1"/>
    <cellStyle name="Címsor 1 2" xfId="72" xr:uid="{00000000-0005-0000-0000-000024000000}"/>
    <cellStyle name="Címsor 2" xfId="22" builtinId="17" customBuiltin="1"/>
    <cellStyle name="Címsor 2 2" xfId="73" xr:uid="{00000000-0005-0000-0000-000026000000}"/>
    <cellStyle name="Címsor 3" xfId="23" builtinId="18" customBuiltin="1"/>
    <cellStyle name="Címsor 3 2" xfId="74" xr:uid="{00000000-0005-0000-0000-000028000000}"/>
    <cellStyle name="Címsor 4" xfId="24" builtinId="19" customBuiltin="1"/>
    <cellStyle name="Címsor 4 2" xfId="75" xr:uid="{00000000-0005-0000-0000-00002A000000}"/>
    <cellStyle name="Ellenőrzőcella" xfId="25" builtinId="23" customBuiltin="1"/>
    <cellStyle name="Ezres" xfId="26" builtinId="3"/>
    <cellStyle name="Figyelmeztetés" xfId="27" builtinId="11" customBuiltin="1"/>
    <cellStyle name="Hivatkozott cella" xfId="28" builtinId="24" customBuiltin="1"/>
    <cellStyle name="Jegyzet" xfId="29" builtinId="10" customBuiltin="1"/>
    <cellStyle name="Jegyzet 2" xfId="76" xr:uid="{00000000-0005-0000-0000-000030000000}"/>
    <cellStyle name="Jó" xfId="30" builtinId="26" customBuiltin="1"/>
    <cellStyle name="Kimenet" xfId="31" builtinId="21" customBuiltin="1"/>
    <cellStyle name="Kimenet 2" xfId="77" xr:uid="{00000000-0005-0000-0000-000033000000}"/>
    <cellStyle name="Magyarázó szöveg" xfId="32" builtinId="53" customBuiltin="1"/>
    <cellStyle name="Normál" xfId="0" builtinId="0"/>
    <cellStyle name="Normál 2" xfId="33" xr:uid="{00000000-0005-0000-0000-000036000000}"/>
    <cellStyle name="Normál 2 2" xfId="78" xr:uid="{00000000-0005-0000-0000-000037000000}"/>
    <cellStyle name="Normál 3" xfId="56" xr:uid="{00000000-0005-0000-0000-000038000000}"/>
    <cellStyle name="Normál 4" xfId="81" xr:uid="{00000000-0005-0000-0000-000039000000}"/>
    <cellStyle name="Normál 4 2" xfId="90" xr:uid="{00000000-0005-0000-0000-00003A000000}"/>
    <cellStyle name="Normál_08_A_rszámadás 6.4. sz. mellékletek vagyonkimutatás" xfId="86" xr:uid="{00000000-0005-0000-0000-00003B000000}"/>
    <cellStyle name="Normál_08_A_rszámadás 6.4. sz. mellékletek vagyonkimutatás 2" xfId="87" xr:uid="{00000000-0005-0000-0000-00003C000000}"/>
    <cellStyle name="Normál_2.sz. melléklet javított" xfId="34" xr:uid="{00000000-0005-0000-0000-00003D000000}"/>
    <cellStyle name="Normál_2006évimozgástáblák" xfId="55" xr:uid="{00000000-0005-0000-0000-00003E000000}"/>
    <cellStyle name="Normál_2006évvégeteljesítés" xfId="83" xr:uid="{00000000-0005-0000-0000-00003F000000}"/>
    <cellStyle name="Normál_2007eredetiköltségvetés" xfId="47" xr:uid="{00000000-0005-0000-0000-000040000000}"/>
    <cellStyle name="Normál_2007zárszámadásjan18" xfId="82" xr:uid="{00000000-0005-0000-0000-000041000000}"/>
    <cellStyle name="Normál_2008éviI-XII.hóteljfebr11" xfId="84" xr:uid="{00000000-0005-0000-0000-000042000000}"/>
    <cellStyle name="Normál_2008évivéglegesköltségvetésfebr13" xfId="48" xr:uid="{00000000-0005-0000-0000-000043000000}"/>
    <cellStyle name="Normál_2010koltsegvetesjan13" xfId="49" xr:uid="{00000000-0005-0000-0000-000044000000}"/>
    <cellStyle name="Normál_2011évivéglegesteljesítésápr21" xfId="85" xr:uid="{00000000-0005-0000-0000-000045000000}"/>
    <cellStyle name="Normál_2011müködésifelhalmérlegfebr17" xfId="35" xr:uid="{00000000-0005-0000-0000-000046000000}"/>
    <cellStyle name="Normál_2012éviköltségvetésjan19este" xfId="36" xr:uid="{00000000-0005-0000-0000-000047000000}"/>
    <cellStyle name="Normál_2012éviköltségvetésjan19este 2" xfId="37" xr:uid="{00000000-0005-0000-0000-000048000000}"/>
    <cellStyle name="Normál_2012koncepcióhozhitel állomány" xfId="46" xr:uid="{00000000-0005-0000-0000-000049000000}"/>
    <cellStyle name="Normál_2012létszám tábla" xfId="50" xr:uid="{00000000-0005-0000-0000-00004A000000}"/>
    <cellStyle name="Normál_2014.évi költségvetés tervezés jan11" xfId="38" xr:uid="{00000000-0005-0000-0000-00004B000000}"/>
    <cellStyle name="Normál_3évsaját bevétel-2013" xfId="51" xr:uid="{00000000-0005-0000-0000-00004C000000}"/>
    <cellStyle name="Normál_Adósságállomány 2" xfId="89" xr:uid="{00000000-0005-0000-0000-00004D000000}"/>
    <cellStyle name="Normál_eus tábla" xfId="52" xr:uid="{00000000-0005-0000-0000-00004E000000}"/>
    <cellStyle name="Normal_KARSZJ3" xfId="39" xr:uid="{00000000-0005-0000-0000-00004F000000}"/>
    <cellStyle name="Normál_Kötelző feladatok" xfId="53" xr:uid="{00000000-0005-0000-0000-000050000000}"/>
    <cellStyle name="Normál_közvetett támogatás" xfId="54" xr:uid="{00000000-0005-0000-0000-000051000000}"/>
    <cellStyle name="Normal_KTRSZJ" xfId="40" xr:uid="{00000000-0005-0000-0000-000052000000}"/>
    <cellStyle name="Normál_vagyonkimutatás" xfId="88" xr:uid="{00000000-0005-0000-0000-000053000000}"/>
    <cellStyle name="Összesen" xfId="41" builtinId="25" customBuiltin="1"/>
    <cellStyle name="Összesen 2" xfId="79" xr:uid="{00000000-0005-0000-0000-000055000000}"/>
    <cellStyle name="Rossz" xfId="42" builtinId="27" customBuiltin="1"/>
    <cellStyle name="Semleges" xfId="43" builtinId="28" customBuiltin="1"/>
    <cellStyle name="Számítás" xfId="44" builtinId="22" customBuiltin="1"/>
    <cellStyle name="Számítás 2" xfId="80" xr:uid="{00000000-0005-0000-0000-000059000000}"/>
    <cellStyle name="Százalék" xfId="45" builtinId="5"/>
  </cellStyles>
  <dxfs count="0"/>
  <tableStyles count="0" defaultTableStyle="TableStyleMedium2" defaultPivotStyle="PivotStyleLight16"/>
  <colors>
    <mruColors>
      <color rgb="FF00B05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6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5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35" Type="http://schemas.openxmlformats.org/officeDocument/2006/relationships/externalLink" Target="externalLinks/externalLink8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3" name="Button 1" hidden="1">
              <a:extLst>
                <a:ext uri="{63B3BB69-23CF-44E3-9099-C40C66FF867C}">
                  <a14:compatExt spid="_x0000_s33793"/>
                </a:ext>
                <a:ext uri="{FF2B5EF4-FFF2-40B4-BE49-F238E27FC236}">
                  <a16:creationId xmlns:a16="http://schemas.microsoft.com/office/drawing/2014/main" id="{00000000-0008-0000-0300-000001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4" name="Button 2" hidden="1">
              <a:extLst>
                <a:ext uri="{63B3BB69-23CF-44E3-9099-C40C66FF867C}">
                  <a14:compatExt spid="_x0000_s33794"/>
                </a:ext>
                <a:ext uri="{FF2B5EF4-FFF2-40B4-BE49-F238E27FC236}">
                  <a16:creationId xmlns:a16="http://schemas.microsoft.com/office/drawing/2014/main" id="{00000000-0008-0000-0300-000002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5" name="Button 3" hidden="1">
              <a:extLst>
                <a:ext uri="{63B3BB69-23CF-44E3-9099-C40C66FF867C}">
                  <a14:compatExt spid="_x0000_s33795"/>
                </a:ext>
                <a:ext uri="{FF2B5EF4-FFF2-40B4-BE49-F238E27FC236}">
                  <a16:creationId xmlns:a16="http://schemas.microsoft.com/office/drawing/2014/main" id="{00000000-0008-0000-0300-000003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6" name="Button 4" hidden="1">
              <a:extLst>
                <a:ext uri="{63B3BB69-23CF-44E3-9099-C40C66FF867C}">
                  <a14:compatExt spid="_x0000_s33796"/>
                </a:ext>
                <a:ext uri="{FF2B5EF4-FFF2-40B4-BE49-F238E27FC236}">
                  <a16:creationId xmlns:a16="http://schemas.microsoft.com/office/drawing/2014/main" id="{00000000-0008-0000-0300-000004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7" name="Button 5" hidden="1">
              <a:extLst>
                <a:ext uri="{63B3BB69-23CF-44E3-9099-C40C66FF867C}">
                  <a14:compatExt spid="_x0000_s33797"/>
                </a:ext>
                <a:ext uri="{FF2B5EF4-FFF2-40B4-BE49-F238E27FC236}">
                  <a16:creationId xmlns:a16="http://schemas.microsoft.com/office/drawing/2014/main" id="{00000000-0008-0000-0300-000005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8" name="Button 6" hidden="1">
              <a:extLst>
                <a:ext uri="{63B3BB69-23CF-44E3-9099-C40C66FF867C}">
                  <a14:compatExt spid="_x0000_s33798"/>
                </a:ext>
                <a:ext uri="{FF2B5EF4-FFF2-40B4-BE49-F238E27FC236}">
                  <a16:creationId xmlns:a16="http://schemas.microsoft.com/office/drawing/2014/main" id="{00000000-0008-0000-0300-000006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799" name="Button 7" hidden="1">
              <a:extLst>
                <a:ext uri="{63B3BB69-23CF-44E3-9099-C40C66FF867C}">
                  <a14:compatExt spid="_x0000_s33799"/>
                </a:ext>
                <a:ext uri="{FF2B5EF4-FFF2-40B4-BE49-F238E27FC236}">
                  <a16:creationId xmlns:a16="http://schemas.microsoft.com/office/drawing/2014/main" id="{00000000-0008-0000-0300-000007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0" name="Button 8" hidden="1">
              <a:extLst>
                <a:ext uri="{63B3BB69-23CF-44E3-9099-C40C66FF867C}">
                  <a14:compatExt spid="_x0000_s33800"/>
                </a:ext>
                <a:ext uri="{FF2B5EF4-FFF2-40B4-BE49-F238E27FC236}">
                  <a16:creationId xmlns:a16="http://schemas.microsoft.com/office/drawing/2014/main" id="{00000000-0008-0000-0300-000008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1" name="Button 9" hidden="1">
              <a:extLst>
                <a:ext uri="{63B3BB69-23CF-44E3-9099-C40C66FF867C}">
                  <a14:compatExt spid="_x0000_s33801"/>
                </a:ext>
                <a:ext uri="{FF2B5EF4-FFF2-40B4-BE49-F238E27FC236}">
                  <a16:creationId xmlns:a16="http://schemas.microsoft.com/office/drawing/2014/main" id="{00000000-0008-0000-0300-000009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2" name="Button 10" hidden="1">
              <a:extLst>
                <a:ext uri="{63B3BB69-23CF-44E3-9099-C40C66FF867C}">
                  <a14:compatExt spid="_x0000_s33802"/>
                </a:ext>
                <a:ext uri="{FF2B5EF4-FFF2-40B4-BE49-F238E27FC236}">
                  <a16:creationId xmlns:a16="http://schemas.microsoft.com/office/drawing/2014/main" id="{00000000-0008-0000-0300-00000A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3" name="Button 11" hidden="1">
              <a:extLst>
                <a:ext uri="{63B3BB69-23CF-44E3-9099-C40C66FF867C}">
                  <a14:compatExt spid="_x0000_s33803"/>
                </a:ext>
                <a:ext uri="{FF2B5EF4-FFF2-40B4-BE49-F238E27FC236}">
                  <a16:creationId xmlns:a16="http://schemas.microsoft.com/office/drawing/2014/main" id="{00000000-0008-0000-0300-00000B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4" name="Button 12" hidden="1">
              <a:extLst>
                <a:ext uri="{63B3BB69-23CF-44E3-9099-C40C66FF867C}">
                  <a14:compatExt spid="_x0000_s33804"/>
                </a:ext>
                <a:ext uri="{FF2B5EF4-FFF2-40B4-BE49-F238E27FC236}">
                  <a16:creationId xmlns:a16="http://schemas.microsoft.com/office/drawing/2014/main" id="{00000000-0008-0000-0300-00000C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5" name="Button 13" hidden="1">
              <a:extLst>
                <a:ext uri="{63B3BB69-23CF-44E3-9099-C40C66FF867C}">
                  <a14:compatExt spid="_x0000_s33805"/>
                </a:ext>
                <a:ext uri="{FF2B5EF4-FFF2-40B4-BE49-F238E27FC236}">
                  <a16:creationId xmlns:a16="http://schemas.microsoft.com/office/drawing/2014/main" id="{00000000-0008-0000-0300-00000D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6" name="Button 14" hidden="1">
              <a:extLst>
                <a:ext uri="{63B3BB69-23CF-44E3-9099-C40C66FF867C}">
                  <a14:compatExt spid="_x0000_s33806"/>
                </a:ext>
                <a:ext uri="{FF2B5EF4-FFF2-40B4-BE49-F238E27FC236}">
                  <a16:creationId xmlns:a16="http://schemas.microsoft.com/office/drawing/2014/main" id="{00000000-0008-0000-0300-00000E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7" name="Button 15" hidden="1">
              <a:extLst>
                <a:ext uri="{63B3BB69-23CF-44E3-9099-C40C66FF867C}">
                  <a14:compatExt spid="_x0000_s33807"/>
                </a:ext>
                <a:ext uri="{FF2B5EF4-FFF2-40B4-BE49-F238E27FC236}">
                  <a16:creationId xmlns:a16="http://schemas.microsoft.com/office/drawing/2014/main" id="{00000000-0008-0000-0300-00000F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0</xdr:row>
          <xdr:rowOff>38100</xdr:rowOff>
        </xdr:from>
        <xdr:to>
          <xdr:col>0</xdr:col>
          <xdr:colOff>247650</xdr:colOff>
          <xdr:row>0</xdr:row>
          <xdr:rowOff>38100</xdr:rowOff>
        </xdr:to>
        <xdr:sp macro="" textlink="">
          <xdr:nvSpPr>
            <xdr:cNvPr id="33808" name="Button 16" hidden="1">
              <a:extLst>
                <a:ext uri="{63B3BB69-23CF-44E3-9099-C40C66FF867C}">
                  <a14:compatExt spid="_x0000_s33808"/>
                </a:ext>
                <a:ext uri="{FF2B5EF4-FFF2-40B4-BE49-F238E27FC236}">
                  <a16:creationId xmlns:a16="http://schemas.microsoft.com/office/drawing/2014/main" id="{00000000-0008-0000-0300-0000108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</xdr:col>
          <xdr:colOff>28575</xdr:colOff>
          <xdr:row>0</xdr:row>
          <xdr:rowOff>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  <a:ext uri="{FF2B5EF4-FFF2-40B4-BE49-F238E27FC236}">
                  <a16:creationId xmlns:a16="http://schemas.microsoft.com/office/drawing/2014/main" id="{00000000-0008-0000-0400-000001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0</xdr:row>
          <xdr:rowOff>0</xdr:rowOff>
        </xdr:from>
        <xdr:to>
          <xdr:col>1</xdr:col>
          <xdr:colOff>276225</xdr:colOff>
          <xdr:row>0</xdr:row>
          <xdr:rowOff>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  <a:ext uri="{FF2B5EF4-FFF2-40B4-BE49-F238E27FC236}">
                  <a16:creationId xmlns:a16="http://schemas.microsoft.com/office/drawing/2014/main" id="{00000000-0008-0000-0400-0000024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hu-HU" sz="1000" b="0" i="0" u="none" strike="noStrike" baseline="0">
                  <a:solidFill>
                    <a:srgbClr val="000000"/>
                  </a:solidFill>
                  <a:latin typeface="Arial CE"/>
                  <a:cs typeface="Arial CE"/>
                </a:rPr>
                <a:t>Futtat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Rendelet%20m&#243;dos&#237;t&#225;s\Rendelet%20m&#243;dos&#237;t&#225;s2010\rend.m&#243;d.010.12.%20h&#243;\Int&#233;zm&#233;nyi%20p&#233;nzf.t&#225;blai2010.12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2009.%20&#233;vi%20kv%20egy&#233;b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67\sys\Documents%20and%20Settings\FerencZsoltE\Asztal\Szakmai_ig&#233;nyek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FerencZsoltE\Asztal\Szakmai_ig&#233;nyek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9\KEMO%202009.%20&#233;vi%20k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soserver\kozos\Documents%20and%20Settings\IlonaM\Dokumentumok\Dokumentumok\AKV%202008\08%20k&#246;lts&#233;gvet&#233;s\2008.%20&#233;vi%20kv.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OZOS\Gl_riportok\Formazott_hide\02RIPOR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JBAKATS\SYS\KOZOS\Gl_riportok\Formazott_hide\06RIPOR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Összesen"/>
      <sheetName val="TGSZSZ"/>
      <sheetName val="Kórház"/>
      <sheetName val="Jávorka"/>
      <sheetName val="Zsigmondy"/>
      <sheetName val="Eötvös Szakk."/>
      <sheetName val="Széchenyi"/>
      <sheetName val="Kultsar"/>
      <sheetName val="Géza"/>
      <sheetName val="Alapy"/>
      <sheetName val="RubikE.Koll."/>
      <sheetName val="Erkel"/>
      <sheetName val="Óvoda,Ált.spec.isk"/>
      <sheetName val="Ped.és Gyermkv.Szaksz."/>
      <sheetName val="MERI"/>
      <sheetName val="Integrált szoc"/>
      <sheetName val="Múzeum"/>
      <sheetName val="Levéltár"/>
      <sheetName val="Könyvtár"/>
      <sheetName val="CSXLStore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isebbségi önk."/>
      <sheetName val="Kiadás"/>
      <sheetName val="Bevétel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ötelezettségek"/>
      <sheetName val="összes igény"/>
      <sheetName val="Eredeti tábla"/>
      <sheetName val="CSXLStore"/>
      <sheetName val="csxlDESheet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főmérleg"/>
      <sheetName val="1aMűköd. mérleg"/>
      <sheetName val="1bFelhalm. mérleg"/>
      <sheetName val="2Hivatali kv"/>
      <sheetName val="2aHivatal kiad"/>
      <sheetName val="2cCéltartalék"/>
      <sheetName val="6TISZK"/>
      <sheetName val="7Cigány"/>
      <sheetName val="8Német"/>
      <sheetName val="9Szlovák"/>
      <sheetName val="10intberuh-felúj"/>
      <sheetName val="11PM jogcím"/>
      <sheetName val="143éves terv"/>
      <sheetName val="15likviditás"/>
      <sheetName val="Kisebbségi önk."/>
      <sheetName val="Bevétel"/>
      <sheetName val="Kiadás"/>
      <sheetName val="CSXLStore"/>
      <sheetName val="csxlDESheet1"/>
      <sheetName val="csxlDESheet2"/>
      <sheetName val="csxlDESheet3"/>
      <sheetName val="csxlDESheet4"/>
      <sheetName val="csxlDESheet5"/>
      <sheetName val="csxlDESheet6"/>
      <sheetName val="csxlDESheet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gyhatározat mell."/>
      <sheetName val="Függ.tarj."/>
      <sheetName val="1fhiány lev."/>
      <sheetName val="2fSzékházbérlők"/>
      <sheetName val="3fáth.szerz. "/>
      <sheetName val="4forg.kép.ing."/>
      <sheetName val="5fhitelkorlát"/>
      <sheetName val="6fellátotti létsz"/>
      <sheetName val="7fnyugd.névs"/>
      <sheetName val="8fhitel-kötvény kamat"/>
      <sheetName val="Kvrendelet "/>
      <sheetName val="tartalomj"/>
      <sheetName val="1Főmérleg"/>
      <sheetName val="1aműk.mérleg"/>
      <sheetName val="1bFelhalm.mérleg"/>
      <sheetName val="2mérlegössz."/>
      <sheetName val="2aMérlegint"/>
      <sheetName val="2bMérleghiv"/>
      <sheetName val="3-aBevétel"/>
      <sheetName val="3-bKiadás"/>
      <sheetName val="3-cIntézmények"/>
      <sheetName val="3-dInt beruh-felúj"/>
      <sheetName val="3-eKEMÖBev"/>
      <sheetName val="4Megye bev-kiad"/>
      <sheetName val="4aPénzeszköz"/>
      <sheetName val="4bHiv.felúj "/>
      <sheetName val="5adósság-hitel "/>
      <sheetName val="6többéves felad.forrása "/>
      <sheetName val="7központi tám."/>
      <sheetName val="7aközponti tám."/>
      <sheetName val="8gördülő"/>
      <sheetName val="9ütemterv"/>
      <sheetName val="10Létszám"/>
      <sheetName val="11acigány"/>
      <sheetName val="11bszlovák"/>
      <sheetName val="11cnémet"/>
      <sheetName val="csxlDESheet1"/>
      <sheetName val="CSXLSto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2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6riport"/>
      <sheetName val="Munka2"/>
      <sheetName val="Munka3"/>
    </sheetNames>
    <definedNames>
      <definedName name="run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5" Type="http://schemas.openxmlformats.org/officeDocument/2006/relationships/ctrlProp" Target="../ctrlProps/ctrlProp18.xml"/><Relationship Id="rId4" Type="http://schemas.openxmlformats.org/officeDocument/2006/relationships/ctrlProp" Target="../ctrlProps/ctrlProp17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"/>
  <sheetViews>
    <sheetView tabSelected="1" view="pageBreakPreview" zoomScale="60" zoomScaleNormal="70" workbookViewId="0">
      <selection activeCell="S9" sqref="S9"/>
    </sheetView>
  </sheetViews>
  <sheetFormatPr defaultColWidth="9.140625" defaultRowHeight="12.75"/>
  <cols>
    <col min="1" max="1" width="60.28515625" style="50" customWidth="1"/>
    <col min="2" max="7" width="13" style="50" customWidth="1"/>
    <col min="8" max="8" width="52.42578125" style="50" customWidth="1"/>
    <col min="9" max="9" width="11.85546875" style="50" customWidth="1"/>
    <col min="10" max="11" width="12.28515625" style="50" customWidth="1"/>
    <col min="12" max="12" width="13.140625" style="50" customWidth="1"/>
    <col min="13" max="13" width="11.85546875" style="50" customWidth="1"/>
    <col min="14" max="14" width="11.5703125" style="50" customWidth="1"/>
    <col min="15" max="16384" width="9.140625" style="50"/>
  </cols>
  <sheetData>
    <row r="1" spans="1:14">
      <c r="A1" s="1744" t="s">
        <v>1524</v>
      </c>
      <c r="B1" s="1744"/>
      <c r="C1" s="1744"/>
      <c r="D1" s="1744"/>
      <c r="E1" s="1744"/>
      <c r="F1" s="1744"/>
      <c r="G1" s="1744"/>
      <c r="H1" s="1744"/>
      <c r="I1" s="1744"/>
      <c r="J1" s="1744"/>
      <c r="K1" s="1744"/>
      <c r="L1" s="1744"/>
      <c r="M1" s="1744"/>
      <c r="N1" s="1744"/>
    </row>
    <row r="2" spans="1:14" ht="12.75" customHeight="1">
      <c r="A2" s="1745" t="s">
        <v>70</v>
      </c>
      <c r="B2" s="1745"/>
      <c r="C2" s="1745"/>
      <c r="D2" s="1745"/>
      <c r="E2" s="1745"/>
      <c r="F2" s="1745"/>
      <c r="G2" s="1745"/>
      <c r="H2" s="1745"/>
      <c r="I2" s="1745"/>
      <c r="J2" s="1745"/>
      <c r="K2" s="1745"/>
      <c r="L2" s="1745"/>
      <c r="M2" s="1745"/>
      <c r="N2" s="1745"/>
    </row>
    <row r="3" spans="1:14" ht="12.75" customHeight="1">
      <c r="A3" s="447"/>
      <c r="B3" s="447"/>
      <c r="C3" s="447"/>
      <c r="D3" s="447"/>
      <c r="E3" s="447"/>
      <c r="F3" s="447"/>
      <c r="G3" s="447"/>
      <c r="H3" s="447"/>
    </row>
    <row r="4" spans="1:14" ht="12.75" customHeight="1">
      <c r="A4" s="398"/>
      <c r="B4" s="287"/>
      <c r="C4" s="287"/>
      <c r="D4" s="287"/>
      <c r="E4" s="287"/>
      <c r="F4" s="287"/>
      <c r="G4" s="287"/>
      <c r="H4" s="287"/>
      <c r="I4" s="288"/>
      <c r="J4" s="288"/>
      <c r="K4" s="288"/>
      <c r="M4" s="288"/>
      <c r="N4" s="1401" t="s">
        <v>1353</v>
      </c>
    </row>
    <row r="5" spans="1:14" ht="12.75" customHeight="1">
      <c r="A5" s="1748" t="s">
        <v>232</v>
      </c>
      <c r="B5" s="1746" t="s">
        <v>1016</v>
      </c>
      <c r="C5" s="1746" t="s">
        <v>1064</v>
      </c>
      <c r="D5" s="1746" t="s">
        <v>1085</v>
      </c>
      <c r="E5" s="1746" t="s">
        <v>1089</v>
      </c>
      <c r="F5" s="1746" t="s">
        <v>1116</v>
      </c>
      <c r="G5" s="1746" t="s">
        <v>1121</v>
      </c>
      <c r="H5" s="1748" t="s">
        <v>233</v>
      </c>
      <c r="I5" s="1746" t="s">
        <v>1016</v>
      </c>
      <c r="J5" s="1746" t="s">
        <v>1064</v>
      </c>
      <c r="K5" s="1746" t="s">
        <v>1085</v>
      </c>
      <c r="L5" s="1746" t="s">
        <v>1089</v>
      </c>
      <c r="M5" s="1746" t="s">
        <v>1116</v>
      </c>
      <c r="N5" s="1746" t="s">
        <v>1121</v>
      </c>
    </row>
    <row r="6" spans="1:14" ht="61.15" customHeight="1" thickBot="1">
      <c r="A6" s="1749"/>
      <c r="B6" s="1747"/>
      <c r="C6" s="1747"/>
      <c r="D6" s="1747"/>
      <c r="E6" s="1747"/>
      <c r="F6" s="1747"/>
      <c r="G6" s="1747"/>
      <c r="H6" s="1749"/>
      <c r="I6" s="1747"/>
      <c r="J6" s="1747"/>
      <c r="K6" s="1747"/>
      <c r="L6" s="1747"/>
      <c r="M6" s="1747"/>
      <c r="N6" s="1747"/>
    </row>
    <row r="7" spans="1:14" s="89" customFormat="1" thickTop="1">
      <c r="A7" s="289"/>
      <c r="B7" s="290"/>
      <c r="C7" s="290"/>
      <c r="D7" s="290"/>
      <c r="E7" s="290"/>
      <c r="F7" s="290"/>
      <c r="G7" s="290"/>
      <c r="H7" s="291" t="s">
        <v>234</v>
      </c>
      <c r="I7" s="196">
        <f>SUM('3.mell.'!C133)</f>
        <v>10611654</v>
      </c>
      <c r="J7" s="196">
        <f>SUM('3.mell.'!D133)</f>
        <v>10834270</v>
      </c>
      <c r="K7" s="196">
        <f>SUM('3.mell.'!E133)</f>
        <v>10993760</v>
      </c>
      <c r="L7" s="196">
        <f>SUM('3.mell.'!F133)</f>
        <v>11428463</v>
      </c>
      <c r="M7" s="196">
        <f>SUM('3.mell.'!G133)</f>
        <v>11447013</v>
      </c>
      <c r="N7" s="196">
        <f>SUM('3.mell.'!H133)</f>
        <v>11212681</v>
      </c>
    </row>
    <row r="8" spans="1:14" s="89" customFormat="1" ht="12">
      <c r="A8" s="242" t="s">
        <v>154</v>
      </c>
      <c r="B8" s="265">
        <f>SUM('2.mell. '!C214)</f>
        <v>4179621</v>
      </c>
      <c r="C8" s="265">
        <f>SUM('2.mell. '!D214)</f>
        <v>4610231</v>
      </c>
      <c r="D8" s="265">
        <f>SUM('2.mell. '!E214)</f>
        <v>4712365</v>
      </c>
      <c r="E8" s="265">
        <f>SUM('2.mell. '!F214)</f>
        <v>4824674</v>
      </c>
      <c r="F8" s="265">
        <f>SUM('2.mell. '!G214)</f>
        <v>4911388</v>
      </c>
      <c r="G8" s="265">
        <f>SUM('2.mell. '!H214)</f>
        <v>4908920</v>
      </c>
      <c r="H8" s="292" t="s">
        <v>271</v>
      </c>
      <c r="I8" s="196">
        <f>SUM('3.mell.'!C134)</f>
        <v>1387720</v>
      </c>
      <c r="J8" s="196">
        <f>SUM('3.mell.'!D134)</f>
        <v>1459903</v>
      </c>
      <c r="K8" s="196">
        <f>SUM('3.mell.'!E134)</f>
        <v>1480305</v>
      </c>
      <c r="L8" s="196">
        <f>SUM('3.mell.'!F134)</f>
        <v>1533390</v>
      </c>
      <c r="M8" s="196">
        <f>SUM('3.mell.'!G134)</f>
        <v>1551189</v>
      </c>
      <c r="N8" s="196">
        <f>SUM('3.mell.'!H134)</f>
        <v>1423960</v>
      </c>
    </row>
    <row r="9" spans="1:14" s="89" customFormat="1" ht="12">
      <c r="A9" s="242" t="s">
        <v>158</v>
      </c>
      <c r="B9" s="265">
        <f>SUM('2.mell. '!C17)</f>
        <v>0</v>
      </c>
      <c r="C9" s="265">
        <f>SUM('2.mell. '!D17)</f>
        <v>0</v>
      </c>
      <c r="D9" s="265">
        <f>SUM('2.mell. '!E17)</f>
        <v>0</v>
      </c>
      <c r="E9" s="265">
        <f>SUM('2.mell. '!F17)</f>
        <v>0</v>
      </c>
      <c r="F9" s="265">
        <f>SUM('2.mell. '!G17)</f>
        <v>0</v>
      </c>
      <c r="G9" s="265">
        <f>SUM('2.mell. '!H17)</f>
        <v>0</v>
      </c>
      <c r="H9" s="293" t="s">
        <v>235</v>
      </c>
      <c r="I9" s="294">
        <f>SUM('3.mell.'!C135)</f>
        <v>8807988</v>
      </c>
      <c r="J9" s="294">
        <f>SUM('3.mell.'!D135)</f>
        <v>11316679</v>
      </c>
      <c r="K9" s="294">
        <f>SUM('3.mell.'!E135)</f>
        <v>11594264</v>
      </c>
      <c r="L9" s="294">
        <f>SUM('3.mell.'!F135)</f>
        <v>12027313</v>
      </c>
      <c r="M9" s="294">
        <f>SUM('3.mell.'!G135)</f>
        <v>12265736</v>
      </c>
      <c r="N9" s="294">
        <f>SUM('3.mell.'!H135)</f>
        <v>9677548</v>
      </c>
    </row>
    <row r="10" spans="1:14" s="89" customFormat="1" ht="12">
      <c r="A10" s="242" t="s">
        <v>427</v>
      </c>
      <c r="B10" s="265">
        <f>SUM('2.mell. '!C217)</f>
        <v>2641465</v>
      </c>
      <c r="C10" s="265">
        <f>SUM('2.mell. '!D217)</f>
        <v>2682165</v>
      </c>
      <c r="D10" s="265">
        <f>SUM('2.mell. '!E217)</f>
        <v>2687165</v>
      </c>
      <c r="E10" s="265">
        <f>SUM('2.mell. '!F217)</f>
        <v>2702940</v>
      </c>
      <c r="F10" s="265">
        <f>SUM('2.mell. '!G217)</f>
        <v>2760273</v>
      </c>
      <c r="G10" s="265">
        <f>SUM('2.mell. '!H217)</f>
        <v>2760351</v>
      </c>
      <c r="H10" s="293" t="s">
        <v>72</v>
      </c>
      <c r="I10" s="294">
        <f>SUM('3.mell.'!C136)</f>
        <v>205345</v>
      </c>
      <c r="J10" s="294">
        <f>SUM('3.mell.'!D136)</f>
        <v>263297</v>
      </c>
      <c r="K10" s="294">
        <f>SUM('3.mell.'!E136)</f>
        <v>265344</v>
      </c>
      <c r="L10" s="294">
        <f>SUM('3.mell.'!F136)</f>
        <v>270344</v>
      </c>
      <c r="M10" s="294">
        <f>SUM('3.mell.'!G136)</f>
        <v>270344</v>
      </c>
      <c r="N10" s="294">
        <f>SUM('3.mell.'!H136)</f>
        <v>212672</v>
      </c>
    </row>
    <row r="11" spans="1:14" s="89" customFormat="1" ht="12">
      <c r="A11" s="242" t="s">
        <v>749</v>
      </c>
      <c r="B11" s="265">
        <f>SUM('2.mell. '!C216)</f>
        <v>0</v>
      </c>
      <c r="C11" s="265">
        <f>SUM('2.mell. '!D216)</f>
        <v>0</v>
      </c>
      <c r="D11" s="265">
        <f>SUM('2.mell. '!E216)</f>
        <v>0</v>
      </c>
      <c r="E11" s="265">
        <f>SUM('2.mell. '!F216)</f>
        <v>0</v>
      </c>
      <c r="F11" s="265">
        <f>SUM('2.mell. '!G216)</f>
        <v>0</v>
      </c>
      <c r="G11" s="265">
        <f>SUM('2.mell. '!H216)</f>
        <v>0</v>
      </c>
      <c r="H11" s="293"/>
      <c r="I11" s="294"/>
      <c r="J11" s="294"/>
      <c r="K11" s="294"/>
      <c r="L11" s="294"/>
      <c r="M11" s="294"/>
      <c r="N11" s="294"/>
    </row>
    <row r="12" spans="1:14" s="89" customFormat="1" ht="12">
      <c r="A12" s="242" t="s">
        <v>428</v>
      </c>
      <c r="B12" s="294">
        <f>SUM('2.mell. '!C218)</f>
        <v>0</v>
      </c>
      <c r="C12" s="294">
        <f>SUM('2.mell. '!D218)</f>
        <v>0</v>
      </c>
      <c r="D12" s="265">
        <f>SUM('2.mell. '!E218)</f>
        <v>0</v>
      </c>
      <c r="E12" s="265">
        <f>SUM('2.mell. '!F218)</f>
        <v>0</v>
      </c>
      <c r="F12" s="265">
        <f>SUM('2.mell. '!G218)</f>
        <v>0</v>
      </c>
      <c r="G12" s="265">
        <f>SUM('2.mell. '!H218)</f>
        <v>0</v>
      </c>
      <c r="H12" s="293" t="s">
        <v>71</v>
      </c>
      <c r="I12" s="294">
        <f>SUM('3.mell.'!C137)</f>
        <v>4842759</v>
      </c>
      <c r="J12" s="294">
        <f>SUM('3.mell.'!D137)</f>
        <v>5319316</v>
      </c>
      <c r="K12" s="294">
        <f>SUM('3.mell.'!E137)</f>
        <v>5579003</v>
      </c>
      <c r="L12" s="294">
        <f>SUM('3.mell.'!F137)</f>
        <v>5151942</v>
      </c>
      <c r="M12" s="294">
        <f>SUM('3.mell.'!G137)</f>
        <v>6653033</v>
      </c>
      <c r="N12" s="294">
        <f>SUM('3.mell.'!H137)</f>
        <v>4662076</v>
      </c>
    </row>
    <row r="13" spans="1:14" s="89" customFormat="1" ht="12">
      <c r="A13" s="67" t="s">
        <v>743</v>
      </c>
      <c r="B13" s="294">
        <f>SUM('2.mell. '!C219)</f>
        <v>0</v>
      </c>
      <c r="C13" s="294">
        <f>SUM('2.mell. '!D219)</f>
        <v>0</v>
      </c>
      <c r="D13" s="294">
        <f>SUM('2.mell. '!E219)</f>
        <v>0</v>
      </c>
      <c r="E13" s="294">
        <f>SUM('2.mell. '!F219)</f>
        <v>0</v>
      </c>
      <c r="F13" s="294">
        <f>SUM('2.mell. '!G219)</f>
        <v>0</v>
      </c>
      <c r="G13" s="294">
        <f>SUM('2.mell. '!H219)</f>
        <v>0</v>
      </c>
      <c r="H13" s="295" t="s">
        <v>373</v>
      </c>
      <c r="I13" s="272">
        <f>'10.mell. '!C12</f>
        <v>116739</v>
      </c>
      <c r="J13" s="272">
        <f>'10.mell. '!D12</f>
        <v>196301</v>
      </c>
      <c r="K13" s="272">
        <f>'10.mell. '!E12</f>
        <v>134926</v>
      </c>
      <c r="L13" s="272">
        <f>'10.mell. '!F12</f>
        <v>100000</v>
      </c>
      <c r="M13" s="272">
        <f>'10.mell. '!G12</f>
        <v>1416582</v>
      </c>
      <c r="N13" s="272">
        <f>'10.mell. '!H12</f>
        <v>0</v>
      </c>
    </row>
    <row r="14" spans="1:14" s="89" customFormat="1" thickBot="1">
      <c r="A14" s="67"/>
      <c r="B14" s="296"/>
      <c r="C14" s="296"/>
      <c r="D14" s="296"/>
      <c r="E14" s="296"/>
      <c r="F14" s="296"/>
      <c r="G14" s="296"/>
      <c r="H14" s="295" t="s">
        <v>760</v>
      </c>
      <c r="I14" s="272">
        <f>'10.mell. '!C14</f>
        <v>500000</v>
      </c>
      <c r="J14" s="272">
        <f>'10.mell. '!D19+'10.mell. '!D16</f>
        <v>500000</v>
      </c>
      <c r="K14" s="272">
        <f>'10.mell. '!E19+'10.mell. '!E16</f>
        <v>814917</v>
      </c>
      <c r="L14" s="272">
        <f>'10.mell. '!F19+'10.mell. '!F16</f>
        <v>387362</v>
      </c>
      <c r="M14" s="272">
        <f>'10.mell. '!G19+'10.mell. '!G16</f>
        <v>532170</v>
      </c>
      <c r="N14" s="272">
        <f>'10.mell. '!H19+'10.mell. '!H16</f>
        <v>0</v>
      </c>
    </row>
    <row r="15" spans="1:14" s="89" customFormat="1" thickBot="1">
      <c r="A15" s="297" t="s">
        <v>159</v>
      </c>
      <c r="B15" s="298">
        <f t="shared" ref="B15:G15" si="0">SUM(B8:B14)</f>
        <v>6821086</v>
      </c>
      <c r="C15" s="298">
        <f t="shared" si="0"/>
        <v>7292396</v>
      </c>
      <c r="D15" s="298">
        <f t="shared" si="0"/>
        <v>7399530</v>
      </c>
      <c r="E15" s="298">
        <f t="shared" si="0"/>
        <v>7527614</v>
      </c>
      <c r="F15" s="298">
        <f t="shared" si="0"/>
        <v>7671661</v>
      </c>
      <c r="G15" s="298">
        <f t="shared" si="0"/>
        <v>7669271</v>
      </c>
      <c r="H15" s="295"/>
      <c r="I15" s="272"/>
      <c r="J15" s="272"/>
      <c r="K15" s="272"/>
      <c r="L15" s="272"/>
      <c r="M15" s="272"/>
      <c r="N15" s="272"/>
    </row>
    <row r="16" spans="1:14" s="89" customFormat="1" ht="12">
      <c r="A16" s="299" t="s">
        <v>160</v>
      </c>
      <c r="B16" s="300">
        <f>SUM('2.mell. '!C221)</f>
        <v>7272555</v>
      </c>
      <c r="C16" s="300">
        <f>SUM('2.mell. '!D221)</f>
        <v>7272555</v>
      </c>
      <c r="D16" s="300">
        <f>SUM('2.mell. '!E221)</f>
        <v>7272555</v>
      </c>
      <c r="E16" s="300">
        <f>SUM('2.mell. '!F221)</f>
        <v>7272555</v>
      </c>
      <c r="F16" s="300">
        <f>SUM('2.mell. '!G221)</f>
        <v>7686639</v>
      </c>
      <c r="G16" s="300">
        <f>SUM('2.mell. '!H221)</f>
        <v>7686639</v>
      </c>
      <c r="H16" s="295"/>
      <c r="I16" s="272"/>
      <c r="J16" s="272"/>
      <c r="K16" s="272"/>
      <c r="L16" s="272"/>
      <c r="M16" s="272"/>
      <c r="N16" s="272"/>
    </row>
    <row r="17" spans="1:14" s="89" customFormat="1">
      <c r="A17" s="299" t="s">
        <v>161</v>
      </c>
      <c r="B17" s="196">
        <f>SUM('2.mell. '!C222)</f>
        <v>10057538</v>
      </c>
      <c r="C17" s="196">
        <f>SUM('2.mell. '!D222)</f>
        <v>10057538</v>
      </c>
      <c r="D17" s="196">
        <f>SUM('2.mell. '!E222)</f>
        <v>10057538</v>
      </c>
      <c r="E17" s="196">
        <f>SUM('2.mell. '!F222)</f>
        <v>10057538</v>
      </c>
      <c r="F17" s="196">
        <f>SUM('2.mell. '!G222)</f>
        <v>10321341</v>
      </c>
      <c r="G17" s="196">
        <f>SUM('2.mell. '!H222)</f>
        <v>10418364</v>
      </c>
      <c r="H17" s="301"/>
      <c r="I17" s="272"/>
      <c r="J17" s="272"/>
      <c r="K17" s="272"/>
      <c r="L17" s="272"/>
      <c r="M17" s="272"/>
      <c r="N17" s="272"/>
    </row>
    <row r="18" spans="1:14" s="89" customFormat="1" ht="13.5" thickBot="1">
      <c r="A18" s="302" t="s">
        <v>5</v>
      </c>
      <c r="B18" s="296">
        <f>SUM('2.mell. '!C223)</f>
        <v>1078041</v>
      </c>
      <c r="C18" s="296">
        <f>SUM('2.mell. '!D223)</f>
        <v>1078041</v>
      </c>
      <c r="D18" s="296">
        <f>SUM('2.mell. '!E223)</f>
        <v>1078041</v>
      </c>
      <c r="E18" s="296">
        <f>SUM('2.mell. '!F223)</f>
        <v>1078041</v>
      </c>
      <c r="F18" s="296">
        <f>SUM('2.mell. '!G223)</f>
        <v>1377013</v>
      </c>
      <c r="G18" s="296">
        <f>SUM('2.mell. '!H223)</f>
        <v>1408845</v>
      </c>
      <c r="H18" s="301"/>
      <c r="I18" s="272"/>
      <c r="J18" s="272"/>
      <c r="K18" s="272"/>
      <c r="L18" s="272"/>
      <c r="M18" s="272"/>
      <c r="N18" s="272"/>
    </row>
    <row r="19" spans="1:14" s="89" customFormat="1" ht="13.5" thickBot="1">
      <c r="A19" s="303" t="s">
        <v>167</v>
      </c>
      <c r="B19" s="304">
        <f t="shared" ref="B19" si="1">SUM(B16:B18)</f>
        <v>18408134</v>
      </c>
      <c r="C19" s="304">
        <f t="shared" ref="C19:D19" si="2">SUM(C16:C18)</f>
        <v>18408134</v>
      </c>
      <c r="D19" s="304">
        <f t="shared" si="2"/>
        <v>18408134</v>
      </c>
      <c r="E19" s="304">
        <f t="shared" ref="E19:F19" si="3">SUM(E16:E18)</f>
        <v>18408134</v>
      </c>
      <c r="F19" s="304">
        <f t="shared" si="3"/>
        <v>19384993</v>
      </c>
      <c r="G19" s="304">
        <f t="shared" ref="G19" si="4">SUM(G16:G18)</f>
        <v>19513848</v>
      </c>
      <c r="H19" s="301"/>
      <c r="I19" s="294"/>
      <c r="J19" s="294"/>
      <c r="K19" s="294"/>
      <c r="L19" s="294"/>
      <c r="M19" s="294"/>
      <c r="N19" s="294"/>
    </row>
    <row r="20" spans="1:14" s="89" customFormat="1">
      <c r="A20" s="305" t="s">
        <v>342</v>
      </c>
      <c r="B20" s="196">
        <f>SUM('2.mell. '!C225)</f>
        <v>50</v>
      </c>
      <c r="C20" s="196">
        <f>SUM('2.mell. '!D225)</f>
        <v>50</v>
      </c>
      <c r="D20" s="196">
        <f>SUM('2.mell. '!E225)</f>
        <v>776</v>
      </c>
      <c r="E20" s="196">
        <f>SUM('2.mell. '!F225)</f>
        <v>776</v>
      </c>
      <c r="F20" s="196">
        <f>SUM('2.mell. '!G225)</f>
        <v>976</v>
      </c>
      <c r="G20" s="196">
        <f>SUM('2.mell. '!H225)</f>
        <v>976</v>
      </c>
      <c r="H20" s="301"/>
      <c r="I20" s="272"/>
      <c r="J20" s="272"/>
      <c r="K20" s="272"/>
      <c r="L20" s="272"/>
      <c r="M20" s="272"/>
      <c r="N20" s="272"/>
    </row>
    <row r="21" spans="1:14" s="89" customFormat="1">
      <c r="A21" s="299" t="s">
        <v>168</v>
      </c>
      <c r="B21" s="196">
        <f>SUM('2.mell. '!C226)</f>
        <v>2408369</v>
      </c>
      <c r="C21" s="196">
        <f>SUM('2.mell. '!D226)</f>
        <v>2405869</v>
      </c>
      <c r="D21" s="196">
        <f>SUM('2.mell. '!E226)</f>
        <v>2435569</v>
      </c>
      <c r="E21" s="196">
        <f>SUM('2.mell. '!F226)</f>
        <v>2467697</v>
      </c>
      <c r="F21" s="196">
        <f>SUM('2.mell. '!G226)</f>
        <v>2654887</v>
      </c>
      <c r="G21" s="196">
        <f>SUM('2.mell. '!H226)</f>
        <v>2655734</v>
      </c>
      <c r="H21" s="301"/>
      <c r="I21" s="272"/>
      <c r="J21" s="272"/>
      <c r="K21" s="272"/>
      <c r="L21" s="272"/>
      <c r="M21" s="272"/>
      <c r="N21" s="272"/>
    </row>
    <row r="22" spans="1:14" s="89" customFormat="1">
      <c r="A22" s="242" t="s">
        <v>169</v>
      </c>
      <c r="B22" s="196">
        <f>SUM('2.mell. '!C227)</f>
        <v>212884</v>
      </c>
      <c r="C22" s="196">
        <f>SUM('2.mell. '!D227)</f>
        <v>212999</v>
      </c>
      <c r="D22" s="196">
        <f>SUM('2.mell. '!E227)</f>
        <v>220593</v>
      </c>
      <c r="E22" s="196">
        <f>SUM('2.mell. '!F227)</f>
        <v>222714</v>
      </c>
      <c r="F22" s="196">
        <f>SUM('2.mell. '!G227)</f>
        <v>243765</v>
      </c>
      <c r="G22" s="196">
        <f>SUM('2.mell. '!H227)</f>
        <v>243807</v>
      </c>
      <c r="H22" s="301"/>
      <c r="I22" s="272"/>
      <c r="J22" s="272"/>
      <c r="K22" s="272"/>
      <c r="L22" s="272"/>
      <c r="M22" s="272"/>
      <c r="N22" s="272"/>
    </row>
    <row r="23" spans="1:14" s="89" customFormat="1" ht="12">
      <c r="A23" s="242" t="s">
        <v>61</v>
      </c>
      <c r="B23" s="294">
        <f>SUM('2.mell. '!C228)</f>
        <v>0</v>
      </c>
      <c r="C23" s="294">
        <f>SUM('2.mell. '!D228)</f>
        <v>0</v>
      </c>
      <c r="D23" s="294">
        <f>SUM('2.mell. '!E228)</f>
        <v>0</v>
      </c>
      <c r="E23" s="294">
        <f>SUM('2.mell. '!F228)</f>
        <v>0</v>
      </c>
      <c r="F23" s="294">
        <f>SUM('2.mell. '!G228)</f>
        <v>0</v>
      </c>
      <c r="G23" s="294">
        <f>SUM('2.mell. '!H228)</f>
        <v>0</v>
      </c>
      <c r="H23" s="306"/>
      <c r="I23" s="386"/>
      <c r="J23" s="386"/>
      <c r="K23" s="386"/>
      <c r="L23" s="386"/>
      <c r="M23" s="386"/>
      <c r="N23" s="386"/>
    </row>
    <row r="24" spans="1:14" s="89" customFormat="1" ht="12">
      <c r="A24" s="242" t="s">
        <v>172</v>
      </c>
      <c r="B24" s="294">
        <f>SUM('2.mell. '!C229)</f>
        <v>196051</v>
      </c>
      <c r="C24" s="294">
        <f>SUM('2.mell. '!D229)</f>
        <v>198551</v>
      </c>
      <c r="D24" s="294">
        <f>SUM('2.mell. '!E229)</f>
        <v>198551</v>
      </c>
      <c r="E24" s="294">
        <f>SUM('2.mell. '!F229)</f>
        <v>198551</v>
      </c>
      <c r="F24" s="294">
        <f>SUM('2.mell. '!G229)</f>
        <v>250749</v>
      </c>
      <c r="G24" s="294">
        <f>SUM('2.mell. '!H229)</f>
        <v>249565</v>
      </c>
      <c r="H24" s="306"/>
      <c r="I24" s="386"/>
      <c r="J24" s="386"/>
      <c r="K24" s="386"/>
      <c r="L24" s="386"/>
      <c r="M24" s="386"/>
      <c r="N24" s="386"/>
    </row>
    <row r="25" spans="1:14" s="89" customFormat="1" ht="12">
      <c r="A25" s="242" t="s">
        <v>173</v>
      </c>
      <c r="B25" s="294">
        <f>SUM('2.mell. '!C230)</f>
        <v>681262</v>
      </c>
      <c r="C25" s="294">
        <f>SUM('2.mell. '!D230)</f>
        <v>1588381</v>
      </c>
      <c r="D25" s="294">
        <f>SUM('2.mell. '!E230)</f>
        <v>1588381</v>
      </c>
      <c r="E25" s="294">
        <f>SUM('2.mell. '!F230)</f>
        <v>1595229</v>
      </c>
      <c r="F25" s="294">
        <f>SUM('2.mell. '!G230)</f>
        <v>1704621</v>
      </c>
      <c r="G25" s="294">
        <f>SUM('2.mell. '!H230)</f>
        <v>1704902</v>
      </c>
      <c r="H25" s="307"/>
      <c r="I25" s="336"/>
      <c r="J25" s="336"/>
      <c r="K25" s="336"/>
      <c r="L25" s="336"/>
      <c r="M25" s="336"/>
      <c r="N25" s="336"/>
    </row>
    <row r="26" spans="1:14" s="89" customFormat="1" ht="12">
      <c r="A26" s="299" t="s">
        <v>174</v>
      </c>
      <c r="B26" s="294">
        <f>SUM('2.mell. '!C231)</f>
        <v>18000</v>
      </c>
      <c r="C26" s="294">
        <f>SUM('2.mell. '!D231)</f>
        <v>18000</v>
      </c>
      <c r="D26" s="294">
        <f>SUM('2.mell. '!E231)</f>
        <v>52357</v>
      </c>
      <c r="E26" s="294">
        <f>SUM('2.mell. '!F231)</f>
        <v>75977</v>
      </c>
      <c r="F26" s="294">
        <f>SUM('2.mell. '!G231)</f>
        <v>96890</v>
      </c>
      <c r="G26" s="294">
        <f>SUM('2.mell. '!H231)</f>
        <v>96890</v>
      </c>
      <c r="H26" s="307"/>
      <c r="I26" s="336"/>
      <c r="J26" s="336"/>
      <c r="K26" s="336"/>
      <c r="L26" s="336"/>
      <c r="M26" s="336"/>
      <c r="N26" s="336"/>
    </row>
    <row r="27" spans="1:14" s="89" customFormat="1" ht="12">
      <c r="A27" s="299" t="s">
        <v>343</v>
      </c>
      <c r="B27" s="294">
        <f>SUM('2.mell. '!C232)</f>
        <v>150000</v>
      </c>
      <c r="C27" s="294">
        <f>SUM('2.mell. '!D232)</f>
        <v>150000</v>
      </c>
      <c r="D27" s="294">
        <f>SUM('2.mell. '!E232)</f>
        <v>150004</v>
      </c>
      <c r="E27" s="294">
        <f>SUM('2.mell. '!F232)</f>
        <v>150004</v>
      </c>
      <c r="F27" s="294">
        <f>SUM('2.mell. '!G232)</f>
        <v>263496</v>
      </c>
      <c r="G27" s="294">
        <f>SUM('2.mell. '!H232)</f>
        <v>261685</v>
      </c>
      <c r="H27" s="307"/>
      <c r="I27" s="336"/>
      <c r="J27" s="336"/>
      <c r="K27" s="336"/>
      <c r="L27" s="336"/>
      <c r="M27" s="336"/>
      <c r="N27" s="336"/>
    </row>
    <row r="28" spans="1:14" s="89" customFormat="1" ht="12">
      <c r="A28" s="308" t="s">
        <v>366</v>
      </c>
      <c r="B28" s="294"/>
      <c r="C28" s="294"/>
      <c r="D28" s="294"/>
      <c r="E28" s="294"/>
      <c r="F28" s="294"/>
      <c r="G28" s="294"/>
      <c r="H28" s="307"/>
      <c r="I28" s="336"/>
      <c r="J28" s="336"/>
      <c r="K28" s="336"/>
      <c r="L28" s="336"/>
      <c r="M28" s="336"/>
      <c r="N28" s="336"/>
    </row>
    <row r="29" spans="1:14" s="89" customFormat="1" ht="12">
      <c r="A29" s="308" t="s">
        <v>1068</v>
      </c>
      <c r="B29" s="450">
        <f>'2.mell. '!C233</f>
        <v>0</v>
      </c>
      <c r="C29" s="450">
        <f>'2.mell. '!D233</f>
        <v>0</v>
      </c>
      <c r="D29" s="450">
        <f>'2.mell. '!E233</f>
        <v>296</v>
      </c>
      <c r="E29" s="450">
        <f>'2.mell. '!F233</f>
        <v>296</v>
      </c>
      <c r="F29" s="450">
        <f>'2.mell. '!G233</f>
        <v>376</v>
      </c>
      <c r="G29" s="450">
        <f>'2.mell. '!H233</f>
        <v>376</v>
      </c>
      <c r="H29" s="307"/>
      <c r="I29" s="336"/>
      <c r="J29" s="336"/>
      <c r="K29" s="336"/>
      <c r="L29" s="336"/>
      <c r="M29" s="336"/>
      <c r="N29" s="336"/>
    </row>
    <row r="30" spans="1:14" s="89" customFormat="1" thickBot="1">
      <c r="A30" s="302" t="s">
        <v>175</v>
      </c>
      <c r="B30" s="296">
        <f>SUM('2.mell. '!C234)</f>
        <v>71415</v>
      </c>
      <c r="C30" s="296">
        <f>SUM('2.mell. '!D234)</f>
        <v>3554115</v>
      </c>
      <c r="D30" s="296">
        <f>SUM('2.mell. '!E234)</f>
        <v>3569352</v>
      </c>
      <c r="E30" s="296">
        <f>SUM('2.mell. '!F234)</f>
        <v>3575450</v>
      </c>
      <c r="F30" s="296">
        <f>SUM('2.mell. '!G234)</f>
        <v>3609378</v>
      </c>
      <c r="G30" s="296">
        <f>SUM('2.mell. '!H234)</f>
        <v>3644841</v>
      </c>
      <c r="H30" s="307"/>
      <c r="I30" s="336"/>
      <c r="J30" s="336"/>
      <c r="K30" s="336"/>
      <c r="L30" s="336"/>
      <c r="M30" s="336"/>
      <c r="N30" s="336"/>
    </row>
    <row r="31" spans="1:14" s="89" customFormat="1" ht="13.5" thickBot="1">
      <c r="A31" s="303" t="s">
        <v>270</v>
      </c>
      <c r="B31" s="298">
        <f t="shared" ref="B31:G31" si="5">SUM(B20:B30)</f>
        <v>3738031</v>
      </c>
      <c r="C31" s="298">
        <f t="shared" si="5"/>
        <v>8127965</v>
      </c>
      <c r="D31" s="298">
        <f t="shared" si="5"/>
        <v>8215879</v>
      </c>
      <c r="E31" s="298">
        <f t="shared" si="5"/>
        <v>8286694</v>
      </c>
      <c r="F31" s="298">
        <f t="shared" si="5"/>
        <v>8825138</v>
      </c>
      <c r="G31" s="298">
        <f t="shared" si="5"/>
        <v>8858776</v>
      </c>
      <c r="H31" s="307"/>
      <c r="I31" s="336"/>
      <c r="J31" s="336"/>
      <c r="K31" s="336"/>
      <c r="L31" s="336"/>
      <c r="M31" s="336"/>
      <c r="N31" s="336"/>
    </row>
    <row r="32" spans="1:14" s="89" customFormat="1" thickBot="1">
      <c r="A32" s="309" t="s">
        <v>176</v>
      </c>
      <c r="B32" s="310">
        <f>SUM('2.mell. '!C236)</f>
        <v>0</v>
      </c>
      <c r="C32" s="310">
        <f>SUM('2.mell. '!D236)</f>
        <v>0</v>
      </c>
      <c r="D32" s="310">
        <f>SUM('2.mell. '!E236)</f>
        <v>44249</v>
      </c>
      <c r="E32" s="310">
        <f>SUM('2.mell. '!F236)</f>
        <v>47049</v>
      </c>
      <c r="F32" s="310">
        <f>SUM('2.mell. '!G236)</f>
        <v>57381</v>
      </c>
      <c r="G32" s="310">
        <f>SUM('2.mell. '!H236)</f>
        <v>16355</v>
      </c>
      <c r="H32" s="307"/>
      <c r="I32" s="336"/>
      <c r="J32" s="336"/>
      <c r="K32" s="336"/>
      <c r="L32" s="336"/>
      <c r="M32" s="336"/>
      <c r="N32" s="336"/>
    </row>
    <row r="33" spans="1:14" s="89" customFormat="1" ht="13.5" thickBot="1">
      <c r="A33" s="311" t="s">
        <v>177</v>
      </c>
      <c r="B33" s="312">
        <f t="shared" ref="B33" si="6">SUM(B32)</f>
        <v>0</v>
      </c>
      <c r="C33" s="312">
        <f t="shared" ref="C33:D33" si="7">SUM(C32)</f>
        <v>0</v>
      </c>
      <c r="D33" s="312">
        <f t="shared" si="7"/>
        <v>44249</v>
      </c>
      <c r="E33" s="312">
        <f t="shared" ref="E33:F33" si="8">SUM(E32)</f>
        <v>47049</v>
      </c>
      <c r="F33" s="312">
        <f t="shared" si="8"/>
        <v>57381</v>
      </c>
      <c r="G33" s="312">
        <f t="shared" ref="G33" si="9">SUM(G32)</f>
        <v>16355</v>
      </c>
      <c r="H33" s="313"/>
      <c r="I33" s="387"/>
      <c r="J33" s="387"/>
      <c r="K33" s="387"/>
      <c r="L33" s="387"/>
      <c r="M33" s="387"/>
      <c r="N33" s="387"/>
    </row>
    <row r="34" spans="1:14" s="89" customFormat="1" ht="17.25" thickTop="1" thickBot="1">
      <c r="A34" s="314" t="s">
        <v>44</v>
      </c>
      <c r="B34" s="315">
        <f t="shared" ref="B34" si="10">SUM(B33,B31,B19,B15)</f>
        <v>28967251</v>
      </c>
      <c r="C34" s="315">
        <f t="shared" ref="C34:D34" si="11">SUM(C33,C31,C19,C15)</f>
        <v>33828495</v>
      </c>
      <c r="D34" s="315">
        <f t="shared" si="11"/>
        <v>34067792</v>
      </c>
      <c r="E34" s="315">
        <f>SUM(E33,E31,E19,E15)</f>
        <v>34269491</v>
      </c>
      <c r="F34" s="315">
        <f>SUM(F33,F31,F19,F15)</f>
        <v>35939173</v>
      </c>
      <c r="G34" s="315">
        <f>SUM(G33,G31,G19,G15)</f>
        <v>36058250</v>
      </c>
      <c r="H34" s="316" t="s">
        <v>37</v>
      </c>
      <c r="I34" s="317">
        <f t="shared" ref="I34:N34" si="12">SUM(I7:I12)</f>
        <v>25855466</v>
      </c>
      <c r="J34" s="317">
        <f t="shared" si="12"/>
        <v>29193465</v>
      </c>
      <c r="K34" s="317">
        <f t="shared" si="12"/>
        <v>29912676</v>
      </c>
      <c r="L34" s="317">
        <f t="shared" si="12"/>
        <v>30411452</v>
      </c>
      <c r="M34" s="317">
        <f t="shared" si="12"/>
        <v>32187315</v>
      </c>
      <c r="N34" s="317">
        <f t="shared" si="12"/>
        <v>27188937</v>
      </c>
    </row>
    <row r="35" spans="1:14" s="89" customFormat="1" thickTop="1">
      <c r="A35" s="299" t="s">
        <v>178</v>
      </c>
      <c r="B35" s="318">
        <f>SUM('2.mell. '!C239)</f>
        <v>1500000</v>
      </c>
      <c r="C35" s="318">
        <f>SUM('2.mell. '!D239)</f>
        <v>1500000</v>
      </c>
      <c r="D35" s="318">
        <f>SUM('2.mell. '!E239)</f>
        <v>1500000</v>
      </c>
      <c r="E35" s="318">
        <f>SUM('2.mell. '!F239)</f>
        <v>1500000</v>
      </c>
      <c r="F35" s="318">
        <f>SUM('2.mell. '!G239)</f>
        <v>1500000</v>
      </c>
      <c r="G35" s="318">
        <f>SUM('2.mell. '!H239)</f>
        <v>750000</v>
      </c>
      <c r="H35" s="319"/>
      <c r="I35" s="320"/>
      <c r="J35" s="320"/>
      <c r="K35" s="320"/>
      <c r="L35" s="320"/>
      <c r="M35" s="320"/>
      <c r="N35" s="320"/>
    </row>
    <row r="36" spans="1:14" s="89" customFormat="1" ht="12">
      <c r="A36" s="242" t="s">
        <v>748</v>
      </c>
      <c r="B36" s="321">
        <f>SUM('2.mell. '!C240)</f>
        <v>0</v>
      </c>
      <c r="C36" s="321">
        <f>SUM('2.mell. '!D240)</f>
        <v>0</v>
      </c>
      <c r="D36" s="321">
        <f>SUM('2.mell. '!E240)</f>
        <v>0</v>
      </c>
      <c r="E36" s="321">
        <f>SUM('2.mell. '!F240)</f>
        <v>0</v>
      </c>
      <c r="F36" s="321">
        <f>SUM('2.mell. '!G240)</f>
        <v>0</v>
      </c>
      <c r="G36" s="321">
        <f>SUM('2.mell. '!H240)</f>
        <v>0</v>
      </c>
      <c r="H36" s="307"/>
      <c r="I36" s="322"/>
      <c r="J36" s="322"/>
      <c r="K36" s="322"/>
      <c r="L36" s="322"/>
      <c r="M36" s="322"/>
      <c r="N36" s="322"/>
    </row>
    <row r="37" spans="1:14" s="89" customFormat="1" ht="12">
      <c r="A37" s="242" t="s">
        <v>859</v>
      </c>
      <c r="B37" s="265">
        <f>SUM('2.mell. '!C241)</f>
        <v>0</v>
      </c>
      <c r="C37" s="265">
        <f>SUM('2.mell. '!D241)</f>
        <v>0</v>
      </c>
      <c r="D37" s="265">
        <f>SUM('2.mell. '!E241)</f>
        <v>0</v>
      </c>
      <c r="E37" s="265">
        <f>SUM('2.mell. '!F241)</f>
        <v>0</v>
      </c>
      <c r="F37" s="265">
        <f>SUM('2.mell. '!G241)</f>
        <v>0</v>
      </c>
      <c r="G37" s="265">
        <f>SUM('2.mell. '!H241)</f>
        <v>0</v>
      </c>
      <c r="H37" s="323" t="s">
        <v>190</v>
      </c>
      <c r="I37" s="294">
        <f>SUM('3.mell.'!C140)</f>
        <v>4607090</v>
      </c>
      <c r="J37" s="294">
        <f>SUM('3.mell.'!D140)</f>
        <v>5384399</v>
      </c>
      <c r="K37" s="294">
        <f>SUM('3.mell.'!E140)</f>
        <v>5405951</v>
      </c>
      <c r="L37" s="294">
        <f>SUM('3.mell.'!F140)</f>
        <v>5381322</v>
      </c>
      <c r="M37" s="294">
        <f>SUM('3.mell.'!G140)</f>
        <v>5427937</v>
      </c>
      <c r="N37" s="294">
        <f>SUM('3.mell.'!H140)</f>
        <v>2002404</v>
      </c>
    </row>
    <row r="38" spans="1:14" s="89" customFormat="1" ht="12">
      <c r="A38" s="242" t="s">
        <v>180</v>
      </c>
      <c r="B38" s="300">
        <f>SUM('2.mell. '!C242)</f>
        <v>0</v>
      </c>
      <c r="C38" s="300">
        <f>SUM('2.mell. '!D242)</f>
        <v>0</v>
      </c>
      <c r="D38" s="300">
        <f>SUM('2.mell. '!E242)</f>
        <v>0</v>
      </c>
      <c r="E38" s="300">
        <f>SUM('2.mell. '!F242)</f>
        <v>0</v>
      </c>
      <c r="F38" s="300">
        <f>SUM('2.mell. '!G242)</f>
        <v>0</v>
      </c>
      <c r="G38" s="300">
        <f>SUM('2.mell. '!H242)</f>
        <v>0</v>
      </c>
      <c r="H38" s="324" t="s">
        <v>191</v>
      </c>
      <c r="I38" s="294">
        <f>SUM('3.mell.'!C141)</f>
        <v>4027276</v>
      </c>
      <c r="J38" s="294">
        <f>SUM('3.mell.'!D141)</f>
        <v>8212690</v>
      </c>
      <c r="K38" s="294">
        <f>SUM('3.mell.'!E141)</f>
        <v>8545679</v>
      </c>
      <c r="L38" s="294">
        <f>SUM('3.mell.'!F141)</f>
        <v>8346783</v>
      </c>
      <c r="M38" s="294">
        <f>SUM('3.mell.'!G141)</f>
        <v>8277417</v>
      </c>
      <c r="N38" s="294">
        <f>SUM('3.mell.'!H141)</f>
        <v>2061051</v>
      </c>
    </row>
    <row r="39" spans="1:14" s="89" customFormat="1" thickBot="1">
      <c r="A39" s="242" t="s">
        <v>374</v>
      </c>
      <c r="B39" s="265">
        <f>SUM('2.mell. '!C243)</f>
        <v>0</v>
      </c>
      <c r="C39" s="265">
        <f>SUM('2.mell. '!D243)</f>
        <v>0</v>
      </c>
      <c r="D39" s="265">
        <f>SUM('2.mell. '!E243)</f>
        <v>0</v>
      </c>
      <c r="E39" s="265">
        <f>SUM('2.mell. '!F243)</f>
        <v>1530</v>
      </c>
      <c r="F39" s="265">
        <f>SUM('2.mell. '!G243)</f>
        <v>1530</v>
      </c>
      <c r="G39" s="265">
        <f>SUM('2.mell. '!H243)</f>
        <v>1530</v>
      </c>
      <c r="H39" s="323" t="s">
        <v>300</v>
      </c>
      <c r="I39" s="294">
        <f>SUM('3.mell.'!C142)</f>
        <v>1730691</v>
      </c>
      <c r="J39" s="294">
        <f>SUM('3.mell.'!D142)</f>
        <v>2316754</v>
      </c>
      <c r="K39" s="294">
        <f>SUM('3.mell.'!E142)</f>
        <v>2323694</v>
      </c>
      <c r="L39" s="294">
        <f>SUM('3.mell.'!F142)</f>
        <v>2554212</v>
      </c>
      <c r="M39" s="294">
        <f>SUM('3.mell.'!G142)</f>
        <v>2553612</v>
      </c>
      <c r="N39" s="294">
        <f>SUM('3.mell.'!H142)</f>
        <v>1736341</v>
      </c>
    </row>
    <row r="40" spans="1:14" s="89" customFormat="1" ht="13.5" thickBot="1">
      <c r="A40" s="303" t="s">
        <v>181</v>
      </c>
      <c r="B40" s="304">
        <f t="shared" ref="B40" si="13">SUM(B35:B39)</f>
        <v>1500000</v>
      </c>
      <c r="C40" s="304">
        <f t="shared" ref="C40:D40" si="14">SUM(C35:C39)</f>
        <v>1500000</v>
      </c>
      <c r="D40" s="304">
        <f t="shared" si="14"/>
        <v>1500000</v>
      </c>
      <c r="E40" s="304">
        <f t="shared" ref="E40:F40" si="15">SUM(E35:E39)</f>
        <v>1501530</v>
      </c>
      <c r="F40" s="304">
        <f t="shared" si="15"/>
        <v>1501530</v>
      </c>
      <c r="G40" s="304">
        <f t="shared" ref="G40" si="16">SUM(G35:G39)</f>
        <v>751530</v>
      </c>
      <c r="H40" s="325"/>
      <c r="I40" s="272"/>
      <c r="J40" s="272"/>
      <c r="K40" s="272"/>
      <c r="L40" s="272"/>
      <c r="M40" s="272"/>
      <c r="N40" s="272"/>
    </row>
    <row r="41" spans="1:14" s="89" customFormat="1" ht="12">
      <c r="A41" s="299" t="s">
        <v>182</v>
      </c>
      <c r="B41" s="326">
        <f>SUM('2.mell. '!C245)</f>
        <v>200000</v>
      </c>
      <c r="C41" s="326">
        <f>SUM('2.mell. '!D245)</f>
        <v>200000</v>
      </c>
      <c r="D41" s="326">
        <f>SUM('2.mell. '!E245)</f>
        <v>629867</v>
      </c>
      <c r="E41" s="326">
        <f>SUM('2.mell. '!F245)</f>
        <v>932407</v>
      </c>
      <c r="F41" s="326">
        <f>SUM('2.mell. '!G245)</f>
        <v>1013059</v>
      </c>
      <c r="G41" s="326">
        <f>SUM('2.mell. '!H245)</f>
        <v>1110158</v>
      </c>
      <c r="H41" s="338"/>
      <c r="I41" s="388"/>
      <c r="J41" s="388"/>
      <c r="K41" s="336"/>
      <c r="L41" s="336"/>
      <c r="M41" s="336"/>
      <c r="N41" s="336"/>
    </row>
    <row r="42" spans="1:14" s="89" customFormat="1" ht="12">
      <c r="A42" s="242" t="s">
        <v>188</v>
      </c>
      <c r="B42" s="294">
        <f>SUM('2.mell. '!C246)</f>
        <v>0</v>
      </c>
      <c r="C42" s="294">
        <f>SUM('2.mell. '!D246)</f>
        <v>0</v>
      </c>
      <c r="D42" s="294">
        <f>SUM('2.mell. '!E246)</f>
        <v>0</v>
      </c>
      <c r="E42" s="294">
        <f>SUM('2.mell. '!F246)</f>
        <v>0</v>
      </c>
      <c r="F42" s="294">
        <f>SUM('2.mell. '!G246)</f>
        <v>583</v>
      </c>
      <c r="G42" s="294">
        <f>SUM('2.mell. '!H246)</f>
        <v>583</v>
      </c>
      <c r="H42" s="307"/>
      <c r="I42" s="336"/>
      <c r="J42" s="336"/>
      <c r="K42" s="336"/>
      <c r="L42" s="336"/>
      <c r="M42" s="336"/>
      <c r="N42" s="336"/>
    </row>
    <row r="43" spans="1:14" s="89" customFormat="1" thickBot="1">
      <c r="A43" s="327" t="s">
        <v>365</v>
      </c>
      <c r="B43" s="328"/>
      <c r="C43" s="328"/>
      <c r="D43" s="328"/>
      <c r="E43" s="328"/>
      <c r="F43" s="328"/>
      <c r="G43" s="328"/>
      <c r="H43" s="307"/>
      <c r="I43" s="336"/>
      <c r="J43" s="336"/>
      <c r="K43" s="336"/>
      <c r="L43" s="336"/>
      <c r="M43" s="336"/>
      <c r="N43" s="336"/>
    </row>
    <row r="44" spans="1:14" s="89" customFormat="1" ht="13.5" thickBot="1">
      <c r="A44" s="303" t="s">
        <v>183</v>
      </c>
      <c r="B44" s="304">
        <f t="shared" ref="B44" si="17">SUM(B41:B42)</f>
        <v>200000</v>
      </c>
      <c r="C44" s="304">
        <f t="shared" ref="C44:D44" si="18">SUM(C41:C42)</f>
        <v>200000</v>
      </c>
      <c r="D44" s="304">
        <f t="shared" si="18"/>
        <v>629867</v>
      </c>
      <c r="E44" s="304">
        <f t="shared" ref="E44:F44" si="19">SUM(E41:E42)</f>
        <v>932407</v>
      </c>
      <c r="F44" s="304">
        <f t="shared" si="19"/>
        <v>1013642</v>
      </c>
      <c r="G44" s="304">
        <f t="shared" ref="G44" si="20">SUM(G41:G42)</f>
        <v>1110741</v>
      </c>
      <c r="H44" s="306"/>
      <c r="I44" s="389"/>
      <c r="J44" s="389"/>
      <c r="K44" s="336"/>
      <c r="L44" s="336"/>
      <c r="M44" s="336"/>
      <c r="N44" s="336"/>
    </row>
    <row r="45" spans="1:14" s="89" customFormat="1" ht="12.75" customHeight="1">
      <c r="A45" s="305" t="s">
        <v>332</v>
      </c>
      <c r="B45" s="326">
        <f>SUM('2.mell. '!C248)</f>
        <v>18000</v>
      </c>
      <c r="C45" s="326">
        <f>SUM('2.mell. '!D248)</f>
        <v>18000</v>
      </c>
      <c r="D45" s="326">
        <f>SUM('2.mell. '!E248)</f>
        <v>18000</v>
      </c>
      <c r="E45" s="326">
        <f>SUM('2.mell. '!F248)</f>
        <v>18000</v>
      </c>
      <c r="F45" s="326">
        <f>SUM('2.mell. '!G248)</f>
        <v>19439</v>
      </c>
      <c r="G45" s="326">
        <f>SUM('2.mell. '!H248)</f>
        <v>18568</v>
      </c>
      <c r="H45" s="329"/>
      <c r="I45" s="336"/>
      <c r="J45" s="336"/>
      <c r="K45" s="336"/>
      <c r="L45" s="336"/>
      <c r="M45" s="336"/>
      <c r="N45" s="336"/>
    </row>
    <row r="46" spans="1:14" s="89" customFormat="1" ht="12.75" customHeight="1" thickBot="1">
      <c r="A46" s="330" t="s">
        <v>185</v>
      </c>
      <c r="B46" s="296">
        <f>SUM('2.mell. '!C249+'2.mell. '!C250)</f>
        <v>0</v>
      </c>
      <c r="C46" s="296">
        <f>SUM('2.mell. '!D249+'2.mell. '!D250)</f>
        <v>10000</v>
      </c>
      <c r="D46" s="296">
        <f>SUM('2.mell. '!E249+'2.mell. '!E250)</f>
        <v>419899</v>
      </c>
      <c r="E46" s="296">
        <f>SUM('2.mell. '!F249+'2.mell. '!F250)</f>
        <v>419899</v>
      </c>
      <c r="F46" s="296">
        <f>SUM('2.mell. '!G249+'2.mell. '!G250)</f>
        <v>420055</v>
      </c>
      <c r="G46" s="296">
        <f>SUM('2.mell. '!H249+'2.mell. '!H250)</f>
        <v>410156</v>
      </c>
      <c r="H46" s="329"/>
      <c r="I46" s="386"/>
      <c r="J46" s="386"/>
      <c r="K46" s="336"/>
      <c r="L46" s="336"/>
      <c r="M46" s="336"/>
      <c r="N46" s="336"/>
    </row>
    <row r="47" spans="1:14" s="89" customFormat="1" ht="13.5" thickBot="1">
      <c r="A47" s="311" t="s">
        <v>186</v>
      </c>
      <c r="B47" s="312">
        <f t="shared" ref="B47:G47" si="21">SUM(B45:B46)</f>
        <v>18000</v>
      </c>
      <c r="C47" s="312">
        <f t="shared" si="21"/>
        <v>28000</v>
      </c>
      <c r="D47" s="312">
        <f t="shared" si="21"/>
        <v>437899</v>
      </c>
      <c r="E47" s="312">
        <f t="shared" si="21"/>
        <v>437899</v>
      </c>
      <c r="F47" s="312">
        <f t="shared" si="21"/>
        <v>439494</v>
      </c>
      <c r="G47" s="312">
        <f t="shared" si="21"/>
        <v>428724</v>
      </c>
      <c r="H47" s="331"/>
      <c r="I47" s="390"/>
      <c r="J47" s="390"/>
      <c r="K47" s="387"/>
      <c r="L47" s="387"/>
      <c r="M47" s="387"/>
      <c r="N47" s="387"/>
    </row>
    <row r="48" spans="1:14" s="89" customFormat="1" ht="20.25" customHeight="1" thickTop="1" thickBot="1">
      <c r="A48" s="332" t="s">
        <v>45</v>
      </c>
      <c r="B48" s="333">
        <f t="shared" ref="B48" si="22">SUM(B47,B44,B40)</f>
        <v>1718000</v>
      </c>
      <c r="C48" s="333">
        <f t="shared" ref="C48:D48" si="23">SUM(C47,C44,C40)</f>
        <v>1728000</v>
      </c>
      <c r="D48" s="333">
        <f t="shared" si="23"/>
        <v>2567766</v>
      </c>
      <c r="E48" s="333">
        <f t="shared" ref="E48:F48" si="24">SUM(E47,E44,E40)</f>
        <v>2871836</v>
      </c>
      <c r="F48" s="333">
        <f t="shared" si="24"/>
        <v>2954666</v>
      </c>
      <c r="G48" s="333">
        <f t="shared" ref="G48" si="25">SUM(G47,G44,G40)</f>
        <v>2290995</v>
      </c>
      <c r="H48" s="334" t="s">
        <v>43</v>
      </c>
      <c r="I48" s="335">
        <f t="shared" ref="I48:N48" si="26">SUM(I35:I39)</f>
        <v>10365057</v>
      </c>
      <c r="J48" s="335">
        <f t="shared" si="26"/>
        <v>15913843</v>
      </c>
      <c r="K48" s="335">
        <f t="shared" si="26"/>
        <v>16275324</v>
      </c>
      <c r="L48" s="335">
        <f t="shared" si="26"/>
        <v>16282317</v>
      </c>
      <c r="M48" s="335">
        <f t="shared" si="26"/>
        <v>16258966</v>
      </c>
      <c r="N48" s="335">
        <f t="shared" si="26"/>
        <v>5799796</v>
      </c>
    </row>
    <row r="49" spans="1:14" s="89" customFormat="1" ht="12.75" customHeight="1" thickTop="1">
      <c r="A49" s="299" t="s">
        <v>327</v>
      </c>
      <c r="B49" s="243">
        <f>SUM('2.mell. '!C253)</f>
        <v>138592</v>
      </c>
      <c r="C49" s="243">
        <f>SUM('2.mell. '!D253)</f>
        <v>2029108</v>
      </c>
      <c r="D49" s="243">
        <f>SUM('2.mell. '!E253)</f>
        <v>2030737</v>
      </c>
      <c r="E49" s="243">
        <f>SUM('2.mell. '!F253)</f>
        <v>2030737</v>
      </c>
      <c r="F49" s="243">
        <f>SUM('2.mell. '!G253)</f>
        <v>2030737</v>
      </c>
      <c r="G49" s="243">
        <f>SUM('2.mell. '!H253)</f>
        <v>2030737</v>
      </c>
      <c r="H49" s="242" t="s">
        <v>422</v>
      </c>
      <c r="I49" s="271">
        <f>'3.mell.'!C144</f>
        <v>0</v>
      </c>
      <c r="J49" s="271">
        <f>'3.mell.'!D144</f>
        <v>255701</v>
      </c>
      <c r="K49" s="271">
        <f>'3.mell.'!E144</f>
        <v>1390931</v>
      </c>
      <c r="L49" s="271">
        <f>'3.mell.'!F144</f>
        <v>1838270</v>
      </c>
      <c r="M49" s="271">
        <f>'3.mell.'!G144</f>
        <v>2117195</v>
      </c>
      <c r="N49" s="271">
        <f>'3.mell.'!H144</f>
        <v>1945734</v>
      </c>
    </row>
    <row r="50" spans="1:14" s="89" customFormat="1" ht="12.75" customHeight="1">
      <c r="A50" s="242" t="s">
        <v>422</v>
      </c>
      <c r="B50" s="356">
        <f>SUM('2.mell. '!C255)</f>
        <v>0</v>
      </c>
      <c r="C50" s="356">
        <f>SUM('2.mell. '!D255)</f>
        <v>255701</v>
      </c>
      <c r="D50" s="356">
        <f>SUM('2.mell. '!E255)</f>
        <v>1390931</v>
      </c>
      <c r="E50" s="356">
        <f>SUM('2.mell. '!F255)</f>
        <v>1838270</v>
      </c>
      <c r="F50" s="356">
        <f>SUM('2.mell. '!G255)</f>
        <v>2117195</v>
      </c>
      <c r="G50" s="356">
        <f>SUM('2.mell. '!H255)</f>
        <v>2117193</v>
      </c>
      <c r="H50" s="374" t="s">
        <v>349</v>
      </c>
      <c r="I50" s="243">
        <f>SUM('3.mell.'!C147)</f>
        <v>138592</v>
      </c>
      <c r="J50" s="243">
        <f>SUM('3.mell.'!D147)</f>
        <v>138592</v>
      </c>
      <c r="K50" s="243">
        <f>SUM('3.mell.'!E147)</f>
        <v>138592</v>
      </c>
      <c r="L50" s="243">
        <f>SUM('3.mell.'!F147)</f>
        <v>138592</v>
      </c>
      <c r="M50" s="243">
        <f>SUM('3.mell.'!G147)</f>
        <v>138592</v>
      </c>
      <c r="N50" s="243">
        <f>SUM('3.mell.'!H147)</f>
        <v>138592</v>
      </c>
    </row>
    <row r="51" spans="1:14" s="89" customFormat="1" ht="12.75" customHeight="1">
      <c r="A51" s="242" t="s">
        <v>355</v>
      </c>
      <c r="B51" s="294">
        <f>SUM('2.mell. '!C254)</f>
        <v>13247915</v>
      </c>
      <c r="C51" s="294">
        <f>SUM('2.mell. '!D254)</f>
        <v>14494193</v>
      </c>
      <c r="D51" s="294">
        <f>SUM('2.mell. '!E254)</f>
        <v>14620378</v>
      </c>
      <c r="E51" s="294">
        <f>SUM('2.mell. '!F254)</f>
        <v>15081258</v>
      </c>
      <c r="F51" s="294">
        <f>SUM('2.mell. '!G254)</f>
        <v>15144194</v>
      </c>
      <c r="G51" s="294">
        <f>SUM('2.mell. '!H254)</f>
        <v>13831839</v>
      </c>
      <c r="H51" s="336" t="s">
        <v>356</v>
      </c>
      <c r="I51" s="294">
        <f>SUM('3.mell.'!C145)</f>
        <v>13247915</v>
      </c>
      <c r="J51" s="294">
        <f>SUM('3.mell.'!D145)</f>
        <v>14494193</v>
      </c>
      <c r="K51" s="294">
        <f>SUM('3.mell.'!E145)</f>
        <v>14620378</v>
      </c>
      <c r="L51" s="294">
        <f>SUM('3.mell.'!F145)</f>
        <v>15081258</v>
      </c>
      <c r="M51" s="294">
        <f>SUM('3.mell.'!G145)</f>
        <v>15144194</v>
      </c>
      <c r="N51" s="294">
        <f>SUM('3.mell.'!H145)</f>
        <v>13831838</v>
      </c>
    </row>
    <row r="52" spans="1:14" s="89" customFormat="1" ht="12.75" customHeight="1">
      <c r="A52" s="242" t="s">
        <v>1107</v>
      </c>
      <c r="B52" s="294">
        <f>'2.mell. '!C256</f>
        <v>0</v>
      </c>
      <c r="C52" s="294">
        <f>'2.mell. '!D256</f>
        <v>0</v>
      </c>
      <c r="D52" s="294">
        <f>'2.mell. '!E256</f>
        <v>0</v>
      </c>
      <c r="E52" s="294">
        <f>'2.mell. '!F256</f>
        <v>0</v>
      </c>
      <c r="F52" s="294">
        <f>'2.mell. '!G256</f>
        <v>15500000</v>
      </c>
      <c r="G52" s="294">
        <f>'2.mell. '!H256</f>
        <v>4000000</v>
      </c>
      <c r="H52" s="323" t="s">
        <v>1106</v>
      </c>
      <c r="I52" s="294">
        <f>'3.mell.'!C146</f>
        <v>0</v>
      </c>
      <c r="J52" s="294">
        <f>'3.mell.'!D146</f>
        <v>0</v>
      </c>
      <c r="K52" s="294">
        <f>'3.mell.'!E146</f>
        <v>0</v>
      </c>
      <c r="L52" s="294">
        <f>'3.mell.'!F146</f>
        <v>0</v>
      </c>
      <c r="M52" s="294">
        <f>'3.mell.'!G146</f>
        <v>15500000</v>
      </c>
      <c r="N52" s="294">
        <f>'3.mell.'!H146</f>
        <v>15500000</v>
      </c>
    </row>
    <row r="53" spans="1:14" s="89" customFormat="1" ht="12.75" customHeight="1">
      <c r="A53" s="337" t="s">
        <v>755</v>
      </c>
      <c r="B53" s="294">
        <f>'2.mell. '!C257</f>
        <v>0</v>
      </c>
      <c r="C53" s="294">
        <f>'2.mell. '!D257</f>
        <v>0</v>
      </c>
      <c r="D53" s="294">
        <f>'2.mell. '!E257</f>
        <v>0</v>
      </c>
      <c r="E53" s="294">
        <f>'2.mell. '!F257</f>
        <v>0</v>
      </c>
      <c r="F53" s="294">
        <f>'2.mell. '!G257</f>
        <v>0</v>
      </c>
      <c r="G53" s="294">
        <f>'2.mell. '!H257</f>
        <v>0</v>
      </c>
      <c r="H53" s="323"/>
      <c r="I53" s="294"/>
      <c r="J53" s="294"/>
      <c r="K53" s="294"/>
      <c r="L53" s="294"/>
      <c r="M53" s="294"/>
      <c r="N53" s="294"/>
    </row>
    <row r="54" spans="1:14" s="89" customFormat="1" ht="12.75" customHeight="1" thickBot="1">
      <c r="A54" s="339" t="s">
        <v>752</v>
      </c>
      <c r="B54" s="340"/>
      <c r="C54" s="340"/>
      <c r="D54" s="340"/>
      <c r="E54" s="340"/>
      <c r="F54" s="340"/>
      <c r="G54" s="340">
        <v>28683814</v>
      </c>
      <c r="H54" s="339" t="s">
        <v>752</v>
      </c>
      <c r="I54" s="340"/>
      <c r="J54" s="340"/>
      <c r="K54" s="340"/>
      <c r="L54" s="340"/>
      <c r="M54" s="340"/>
      <c r="N54" s="340">
        <v>29385668</v>
      </c>
    </row>
    <row r="55" spans="1:14" s="89" customFormat="1" ht="15.75" thickTop="1" thickBot="1">
      <c r="A55" s="341" t="s">
        <v>38</v>
      </c>
      <c r="B55" s="317">
        <f t="shared" ref="B55:G55" si="27">SUM(B49:B54)</f>
        <v>13386507</v>
      </c>
      <c r="C55" s="317">
        <f t="shared" si="27"/>
        <v>16779002</v>
      </c>
      <c r="D55" s="317">
        <f t="shared" si="27"/>
        <v>18042046</v>
      </c>
      <c r="E55" s="317">
        <f t="shared" si="27"/>
        <v>18950265</v>
      </c>
      <c r="F55" s="317">
        <f t="shared" si="27"/>
        <v>34792126</v>
      </c>
      <c r="G55" s="317">
        <f t="shared" si="27"/>
        <v>50663583</v>
      </c>
      <c r="H55" s="341" t="s">
        <v>39</v>
      </c>
      <c r="I55" s="342">
        <f t="shared" ref="I55:N55" si="28">SUM(I49:I52)</f>
        <v>13386507</v>
      </c>
      <c r="J55" s="342">
        <f t="shared" si="28"/>
        <v>14888486</v>
      </c>
      <c r="K55" s="342">
        <f t="shared" si="28"/>
        <v>16149901</v>
      </c>
      <c r="L55" s="342">
        <f t="shared" si="28"/>
        <v>17058120</v>
      </c>
      <c r="M55" s="342">
        <f t="shared" si="28"/>
        <v>32899981</v>
      </c>
      <c r="N55" s="342">
        <f t="shared" si="28"/>
        <v>31416164</v>
      </c>
    </row>
    <row r="56" spans="1:14" s="89" customFormat="1" ht="13.5" thickTop="1" thickBot="1">
      <c r="A56" s="343" t="s">
        <v>327</v>
      </c>
      <c r="B56" s="344">
        <f>SUM('2.mell. '!C259)</f>
        <v>5535272</v>
      </c>
      <c r="C56" s="344">
        <f>SUM('2.mell. '!D259)</f>
        <v>7660297</v>
      </c>
      <c r="D56" s="344">
        <f>SUM('2.mell. '!E259)</f>
        <v>7660297</v>
      </c>
      <c r="E56" s="344">
        <f>SUM('2.mell. '!F259)</f>
        <v>7660297</v>
      </c>
      <c r="F56" s="344">
        <f>SUM('2.mell. '!G259)</f>
        <v>7660297</v>
      </c>
      <c r="G56" s="344">
        <f>SUM('2.mell. '!H259)</f>
        <v>7660297</v>
      </c>
      <c r="H56" s="345" t="s">
        <v>344</v>
      </c>
      <c r="I56" s="346">
        <f>SUM('3.mell.'!C149)</f>
        <v>0</v>
      </c>
      <c r="J56" s="346">
        <f>SUM('3.mell.'!D149)</f>
        <v>0</v>
      </c>
      <c r="K56" s="346">
        <f>SUM('3.mell.'!E149)</f>
        <v>0</v>
      </c>
      <c r="L56" s="346">
        <f>SUM('3.mell.'!F149)</f>
        <v>0</v>
      </c>
      <c r="M56" s="346">
        <f>SUM('3.mell.'!G149)</f>
        <v>0</v>
      </c>
      <c r="N56" s="346">
        <f>SUM('3.mell.'!H149)</f>
        <v>0</v>
      </c>
    </row>
    <row r="57" spans="1:14" s="89" customFormat="1" ht="16.5" customHeight="1" thickBot="1">
      <c r="A57" s="347" t="s">
        <v>187</v>
      </c>
      <c r="B57" s="315">
        <f t="shared" ref="B57" si="29">SUM(B56:B56)</f>
        <v>5535272</v>
      </c>
      <c r="C57" s="315">
        <f t="shared" ref="C57:D57" si="30">SUM(C56:C56)</f>
        <v>7660297</v>
      </c>
      <c r="D57" s="315">
        <f t="shared" si="30"/>
        <v>7660297</v>
      </c>
      <c r="E57" s="315">
        <f t="shared" ref="E57:F57" si="31">SUM(E56:E56)</f>
        <v>7660297</v>
      </c>
      <c r="F57" s="315">
        <f t="shared" si="31"/>
        <v>7660297</v>
      </c>
      <c r="G57" s="315">
        <f t="shared" ref="G57" si="32">SUM(G56:G56)</f>
        <v>7660297</v>
      </c>
      <c r="H57" s="316" t="s">
        <v>26</v>
      </c>
      <c r="I57" s="348">
        <f t="shared" ref="I57" si="33">SUM(I56:I56)</f>
        <v>0</v>
      </c>
      <c r="J57" s="348">
        <f t="shared" ref="J57:K57" si="34">SUM(J56:J56)</f>
        <v>0</v>
      </c>
      <c r="K57" s="348">
        <f t="shared" si="34"/>
        <v>0</v>
      </c>
      <c r="L57" s="348">
        <f t="shared" ref="L57:M57" si="35">SUM(L56:L56)</f>
        <v>0</v>
      </c>
      <c r="M57" s="348">
        <f t="shared" si="35"/>
        <v>0</v>
      </c>
      <c r="N57" s="348">
        <f t="shared" ref="N57" si="36">SUM(N56:N56)</f>
        <v>0</v>
      </c>
    </row>
    <row r="58" spans="1:14" s="89" customFormat="1" ht="14.25" thickTop="1" thickBot="1">
      <c r="A58" s="349"/>
      <c r="B58" s="315"/>
      <c r="C58" s="315"/>
      <c r="D58" s="315"/>
      <c r="E58" s="315"/>
      <c r="F58" s="315"/>
      <c r="G58" s="315"/>
      <c r="H58" s="350"/>
      <c r="I58" s="351"/>
      <c r="J58" s="351"/>
      <c r="K58" s="351"/>
      <c r="L58" s="351"/>
      <c r="M58" s="351"/>
      <c r="N58" s="351"/>
    </row>
    <row r="59" spans="1:14" s="89" customFormat="1" ht="20.25" customHeight="1" thickTop="1" thickBot="1">
      <c r="A59" s="194" t="s">
        <v>753</v>
      </c>
      <c r="B59" s="157">
        <f t="shared" ref="B59:F59" si="37">SUM(B34+B48+B56+B49+B52+B54+B50+B53)</f>
        <v>36359115</v>
      </c>
      <c r="C59" s="157">
        <f t="shared" si="37"/>
        <v>45501601</v>
      </c>
      <c r="D59" s="157">
        <f t="shared" si="37"/>
        <v>47717523</v>
      </c>
      <c r="E59" s="157">
        <f t="shared" si="37"/>
        <v>48670631</v>
      </c>
      <c r="F59" s="157">
        <f t="shared" si="37"/>
        <v>66202068</v>
      </c>
      <c r="G59" s="157">
        <f>SUM(G34+G48+G56+G49+G52+G50+G53)</f>
        <v>54157472</v>
      </c>
      <c r="H59" s="194" t="s">
        <v>754</v>
      </c>
      <c r="I59" s="157">
        <f t="shared" ref="I59:N59" si="38">SUM(I34+I48+I56+I50+I52)+I49</f>
        <v>36359115</v>
      </c>
      <c r="J59" s="157">
        <f t="shared" si="38"/>
        <v>45501601</v>
      </c>
      <c r="K59" s="157">
        <f t="shared" si="38"/>
        <v>47717523</v>
      </c>
      <c r="L59" s="157">
        <f t="shared" si="38"/>
        <v>48670631</v>
      </c>
      <c r="M59" s="157">
        <f t="shared" si="38"/>
        <v>66202068</v>
      </c>
      <c r="N59" s="157">
        <f t="shared" si="38"/>
        <v>50573059</v>
      </c>
    </row>
    <row r="60" spans="1:14" ht="15.75" thickTop="1">
      <c r="A60" s="352"/>
      <c r="B60" s="195"/>
      <c r="C60" s="195"/>
      <c r="D60" s="195"/>
      <c r="E60" s="195"/>
      <c r="F60" s="195"/>
      <c r="G60" s="195"/>
      <c r="J60" s="423"/>
      <c r="K60" s="423"/>
    </row>
    <row r="61" spans="1:14" ht="15">
      <c r="A61" s="352"/>
      <c r="B61" s="193"/>
      <c r="C61" s="193"/>
      <c r="D61" s="193"/>
      <c r="E61" s="193"/>
      <c r="F61" s="193"/>
      <c r="G61" s="193"/>
      <c r="L61" s="193"/>
      <c r="M61" s="193"/>
    </row>
    <row r="63" spans="1:14">
      <c r="L63" s="193"/>
    </row>
  </sheetData>
  <mergeCells count="16">
    <mergeCell ref="A1:N1"/>
    <mergeCell ref="A2:N2"/>
    <mergeCell ref="N5:N6"/>
    <mergeCell ref="M5:M6"/>
    <mergeCell ref="F5:F6"/>
    <mergeCell ref="L5:L6"/>
    <mergeCell ref="K5:K6"/>
    <mergeCell ref="J5:J6"/>
    <mergeCell ref="I5:I6"/>
    <mergeCell ref="A5:A6"/>
    <mergeCell ref="H5:H6"/>
    <mergeCell ref="B5:B6"/>
    <mergeCell ref="C5:C6"/>
    <mergeCell ref="D5:D6"/>
    <mergeCell ref="E5:E6"/>
    <mergeCell ref="G5:G6"/>
  </mergeCells>
  <phoneticPr fontId="18" type="noConversion"/>
  <printOptions horizontalCentered="1"/>
  <pageMargins left="0.78740157480314965" right="0.39370078740157483" top="0.39370078740157483" bottom="0.59055118110236227" header="0.51181102362204722" footer="0.31496062992125984"/>
  <pageSetup paperSize="9" scale="51" orientation="landscape" useFirstPageNumber="1" r:id="rId1"/>
  <headerFooter alignWithMargins="0">
    <oddFooter>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61"/>
  <sheetViews>
    <sheetView topLeftCell="A33" zoomScaleNormal="100" zoomScaleSheetLayoutView="90" workbookViewId="0">
      <selection activeCell="I4" sqref="I4"/>
    </sheetView>
  </sheetViews>
  <sheetFormatPr defaultColWidth="9.140625" defaultRowHeight="12"/>
  <cols>
    <col min="1" max="1" width="8.42578125" style="87" customWidth="1"/>
    <col min="2" max="2" width="72.140625" style="53" customWidth="1"/>
    <col min="3" max="8" width="13.28515625" style="53" customWidth="1"/>
    <col min="9" max="9" width="8.7109375" style="53" customWidth="1"/>
    <col min="10" max="10" width="12.42578125" style="53" customWidth="1"/>
    <col min="11" max="16384" width="9.140625" style="53"/>
  </cols>
  <sheetData>
    <row r="1" spans="1:10" ht="12.75">
      <c r="A1" s="1752" t="s">
        <v>1130</v>
      </c>
      <c r="B1" s="1752"/>
      <c r="C1" s="1753"/>
      <c r="D1" s="1753"/>
      <c r="E1" s="1753"/>
      <c r="F1" s="1753"/>
      <c r="G1" s="1753"/>
      <c r="H1" s="1753"/>
      <c r="I1" s="1754"/>
    </row>
    <row r="2" spans="1:10" ht="12.75">
      <c r="A2" s="1752" t="s">
        <v>965</v>
      </c>
      <c r="B2" s="1752"/>
      <c r="C2" s="1753"/>
      <c r="D2" s="1753"/>
      <c r="E2" s="1753"/>
      <c r="F2" s="1753"/>
      <c r="G2" s="1753"/>
      <c r="H2" s="1753"/>
      <c r="I2" s="1754"/>
    </row>
    <row r="3" spans="1:10" ht="12.75">
      <c r="A3" s="51"/>
      <c r="B3" s="52"/>
    </row>
    <row r="4" spans="1:10" ht="11.25" customHeight="1" thickBot="1">
      <c r="A4" s="51"/>
      <c r="B4" s="51"/>
      <c r="C4" s="54"/>
      <c r="D4" s="54"/>
      <c r="E4" s="54"/>
      <c r="F4" s="54"/>
      <c r="G4" s="54"/>
      <c r="H4" s="54"/>
      <c r="I4" s="1401" t="s">
        <v>1353</v>
      </c>
    </row>
    <row r="5" spans="1:10" s="55" customFormat="1" ht="19.5" customHeight="1">
      <c r="A5" s="1759" t="s">
        <v>138</v>
      </c>
      <c r="B5" s="1757" t="s">
        <v>129</v>
      </c>
      <c r="C5" s="1750" t="s">
        <v>1017</v>
      </c>
      <c r="D5" s="1750" t="s">
        <v>1061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55" t="s">
        <v>1129</v>
      </c>
    </row>
    <row r="6" spans="1:10" s="55" customFormat="1" ht="17.25" customHeight="1" thickBot="1">
      <c r="A6" s="1760"/>
      <c r="B6" s="1758"/>
      <c r="C6" s="1751"/>
      <c r="D6" s="1751"/>
      <c r="E6" s="1751"/>
      <c r="F6" s="1751"/>
      <c r="G6" s="1751"/>
      <c r="H6" s="1751"/>
      <c r="I6" s="1756"/>
    </row>
    <row r="7" spans="1:10" s="55" customFormat="1" ht="11.25" customHeight="1" thickBot="1">
      <c r="A7" s="931" t="s">
        <v>120</v>
      </c>
      <c r="B7" s="932" t="s">
        <v>121</v>
      </c>
      <c r="C7" s="933" t="s">
        <v>122</v>
      </c>
      <c r="D7" s="933" t="s">
        <v>419</v>
      </c>
      <c r="E7" s="933" t="s">
        <v>420</v>
      </c>
      <c r="F7" s="933" t="s">
        <v>429</v>
      </c>
      <c r="G7" s="933" t="s">
        <v>455</v>
      </c>
      <c r="H7" s="933" t="s">
        <v>378</v>
      </c>
      <c r="I7" s="934" t="s">
        <v>379</v>
      </c>
    </row>
    <row r="8" spans="1:10" s="57" customFormat="1" ht="16.5" customHeight="1">
      <c r="A8" s="935"/>
      <c r="B8" s="930" t="s">
        <v>267</v>
      </c>
      <c r="C8" s="204"/>
      <c r="D8" s="204"/>
      <c r="E8" s="204"/>
      <c r="F8" s="204"/>
      <c r="G8" s="204"/>
      <c r="H8" s="204"/>
      <c r="I8" s="936"/>
    </row>
    <row r="9" spans="1:10" ht="12" customHeight="1">
      <c r="A9" s="937"/>
      <c r="B9" s="59"/>
      <c r="C9" s="58"/>
      <c r="D9" s="58"/>
      <c r="E9" s="58"/>
      <c r="F9" s="58"/>
      <c r="G9" s="58"/>
      <c r="H9" s="58"/>
      <c r="I9" s="938"/>
    </row>
    <row r="10" spans="1:10" ht="12" customHeight="1">
      <c r="A10" s="939">
        <v>1010</v>
      </c>
      <c r="B10" s="72" t="s">
        <v>154</v>
      </c>
      <c r="C10" s="160">
        <f t="shared" ref="C10:H10" si="0">SUM(C11:C16)</f>
        <v>4179621</v>
      </c>
      <c r="D10" s="160">
        <f t="shared" si="0"/>
        <v>4610231</v>
      </c>
      <c r="E10" s="160">
        <f t="shared" si="0"/>
        <v>4712365</v>
      </c>
      <c r="F10" s="62">
        <f t="shared" si="0"/>
        <v>4824674</v>
      </c>
      <c r="G10" s="62">
        <f t="shared" si="0"/>
        <v>4911388</v>
      </c>
      <c r="H10" s="62">
        <f t="shared" si="0"/>
        <v>4908920</v>
      </c>
      <c r="I10" s="940">
        <f>H10/G10</f>
        <v>0.99949749439465996</v>
      </c>
      <c r="J10" s="87"/>
    </row>
    <row r="11" spans="1:10" ht="12" customHeight="1">
      <c r="A11" s="937">
        <v>1011</v>
      </c>
      <c r="B11" s="59" t="s">
        <v>155</v>
      </c>
      <c r="C11" s="159">
        <v>903394</v>
      </c>
      <c r="D11" s="159">
        <f>903394+33987</f>
        <v>937381</v>
      </c>
      <c r="E11" s="159">
        <f>903394+33987</f>
        <v>937381</v>
      </c>
      <c r="F11" s="58">
        <f>903394+33987</f>
        <v>937381</v>
      </c>
      <c r="G11" s="58">
        <f>903394+33987</f>
        <v>937381</v>
      </c>
      <c r="H11" s="58">
        <v>937381</v>
      </c>
      <c r="I11" s="941">
        <f>H11/G11</f>
        <v>1</v>
      </c>
      <c r="J11" s="87"/>
    </row>
    <row r="12" spans="1:10" ht="12" customHeight="1">
      <c r="A12" s="937">
        <v>1012</v>
      </c>
      <c r="B12" s="59" t="s">
        <v>156</v>
      </c>
      <c r="C12" s="172">
        <v>1654015</v>
      </c>
      <c r="D12" s="172">
        <v>1654015</v>
      </c>
      <c r="E12" s="172">
        <f>1654015+54368</f>
        <v>1708383</v>
      </c>
      <c r="F12" s="69">
        <f>1654015+54368+11278</f>
        <v>1719661</v>
      </c>
      <c r="G12" s="69">
        <f>1654015+54368+11278</f>
        <v>1719661</v>
      </c>
      <c r="H12" s="69">
        <v>1719661</v>
      </c>
      <c r="I12" s="941">
        <f>H12/G12</f>
        <v>1</v>
      </c>
      <c r="J12" s="87"/>
    </row>
    <row r="13" spans="1:10" ht="12" customHeight="1">
      <c r="A13" s="937">
        <v>1013</v>
      </c>
      <c r="B13" s="59" t="s">
        <v>345</v>
      </c>
      <c r="C13" s="69">
        <v>1592165</v>
      </c>
      <c r="D13" s="69">
        <f>1592165+61940</f>
        <v>1654105</v>
      </c>
      <c r="E13" s="69">
        <f>1654105+47766</f>
        <v>1701871</v>
      </c>
      <c r="F13" s="69">
        <f>1654105+47766+70220</f>
        <v>1772091</v>
      </c>
      <c r="G13" s="69">
        <f>1654105+47766+70220+86714</f>
        <v>1858805</v>
      </c>
      <c r="H13" s="69">
        <v>1858805</v>
      </c>
      <c r="I13" s="941">
        <f>H13/G13</f>
        <v>1</v>
      </c>
      <c r="J13" s="749"/>
    </row>
    <row r="14" spans="1:10" ht="12" customHeight="1">
      <c r="A14" s="937">
        <v>1014</v>
      </c>
      <c r="B14" s="59" t="s">
        <v>157</v>
      </c>
      <c r="C14" s="58">
        <v>30047</v>
      </c>
      <c r="D14" s="58">
        <f>30047+313826</f>
        <v>343873</v>
      </c>
      <c r="E14" s="58">
        <f>30047+313826</f>
        <v>343873</v>
      </c>
      <c r="F14" s="58">
        <f>30047+313826+30811</f>
        <v>374684</v>
      </c>
      <c r="G14" s="58">
        <f>30047+313826+30811</f>
        <v>374684</v>
      </c>
      <c r="H14" s="58">
        <v>374684</v>
      </c>
      <c r="I14" s="941">
        <f>H14/G14</f>
        <v>1</v>
      </c>
      <c r="J14" s="87"/>
    </row>
    <row r="15" spans="1:10" ht="12" customHeight="1">
      <c r="A15" s="937">
        <v>1015</v>
      </c>
      <c r="B15" s="59" t="s">
        <v>2</v>
      </c>
      <c r="C15" s="58"/>
      <c r="D15" s="58"/>
      <c r="E15" s="58"/>
      <c r="F15" s="58"/>
      <c r="G15" s="58"/>
      <c r="H15" s="58"/>
      <c r="I15" s="940"/>
      <c r="J15" s="87"/>
    </row>
    <row r="16" spans="1:10" ht="12" customHeight="1">
      <c r="A16" s="937">
        <v>1016</v>
      </c>
      <c r="B16" s="59" t="s">
        <v>3</v>
      </c>
      <c r="C16" s="159"/>
      <c r="D16" s="159">
        <v>20857</v>
      </c>
      <c r="E16" s="159">
        <v>20857</v>
      </c>
      <c r="F16" s="58">
        <v>20857</v>
      </c>
      <c r="G16" s="58">
        <v>20857</v>
      </c>
      <c r="H16" s="58">
        <v>18389</v>
      </c>
      <c r="I16" s="941">
        <f>H16/G16</f>
        <v>0.88167042240015348</v>
      </c>
      <c r="J16" s="87"/>
    </row>
    <row r="17" spans="1:10" ht="15" customHeight="1">
      <c r="A17" s="939">
        <v>1020</v>
      </c>
      <c r="B17" s="72" t="s">
        <v>158</v>
      </c>
      <c r="C17" s="159"/>
      <c r="D17" s="159"/>
      <c r="E17" s="159"/>
      <c r="F17" s="58"/>
      <c r="G17" s="58"/>
      <c r="H17" s="58"/>
      <c r="I17" s="940"/>
      <c r="J17" s="87"/>
    </row>
    <row r="18" spans="1:10" ht="15" customHeight="1">
      <c r="A18" s="939">
        <v>1029</v>
      </c>
      <c r="B18" s="72" t="s">
        <v>747</v>
      </c>
      <c r="C18" s="160">
        <v>0</v>
      </c>
      <c r="D18" s="160">
        <v>0</v>
      </c>
      <c r="E18" s="160">
        <v>0</v>
      </c>
      <c r="F18" s="62">
        <v>0</v>
      </c>
      <c r="G18" s="62">
        <v>0</v>
      </c>
      <c r="H18" s="62">
        <v>0</v>
      </c>
      <c r="I18" s="940"/>
      <c r="J18" s="87"/>
    </row>
    <row r="19" spans="1:10" ht="15" customHeight="1">
      <c r="A19" s="939">
        <v>1030</v>
      </c>
      <c r="B19" s="72" t="s">
        <v>317</v>
      </c>
      <c r="C19" s="160"/>
      <c r="D19" s="160"/>
      <c r="E19" s="160"/>
      <c r="F19" s="62"/>
      <c r="G19" s="62">
        <f>8005+1400</f>
        <v>9405</v>
      </c>
      <c r="H19" s="62">
        <v>9483</v>
      </c>
      <c r="I19" s="940"/>
      <c r="J19" s="749"/>
    </row>
    <row r="20" spans="1:10" ht="15" customHeight="1">
      <c r="A20" s="939">
        <v>1031</v>
      </c>
      <c r="B20" s="61" t="s">
        <v>426</v>
      </c>
      <c r="C20" s="160"/>
      <c r="D20" s="160"/>
      <c r="E20" s="160"/>
      <c r="F20" s="62"/>
      <c r="G20" s="62"/>
      <c r="H20" s="62"/>
      <c r="I20" s="940"/>
      <c r="J20" s="87"/>
    </row>
    <row r="21" spans="1:10" ht="15" customHeight="1" thickBot="1">
      <c r="A21" s="942">
        <v>1032</v>
      </c>
      <c r="B21" s="267" t="s">
        <v>826</v>
      </c>
      <c r="C21" s="247"/>
      <c r="D21" s="250"/>
      <c r="E21" s="250"/>
      <c r="F21" s="484"/>
      <c r="G21" s="484"/>
      <c r="H21" s="484"/>
      <c r="I21" s="943"/>
      <c r="J21" s="87"/>
    </row>
    <row r="22" spans="1:10" ht="16.5" customHeight="1" thickBot="1">
      <c r="A22" s="944"/>
      <c r="B22" s="106" t="s">
        <v>318</v>
      </c>
      <c r="C22" s="161">
        <f t="shared" ref="C22:H22" si="1">SUM(C10+C21+C20+C18+C19)</f>
        <v>4179621</v>
      </c>
      <c r="D22" s="248">
        <f t="shared" si="1"/>
        <v>4610231</v>
      </c>
      <c r="E22" s="248">
        <f t="shared" si="1"/>
        <v>4712365</v>
      </c>
      <c r="F22" s="77">
        <f t="shared" si="1"/>
        <v>4824674</v>
      </c>
      <c r="G22" s="77">
        <f t="shared" si="1"/>
        <v>4920793</v>
      </c>
      <c r="H22" s="77">
        <f t="shared" si="1"/>
        <v>4918403</v>
      </c>
      <c r="I22" s="732">
        <f>H22/G22</f>
        <v>0.99951430592589452</v>
      </c>
      <c r="J22" s="87"/>
    </row>
    <row r="23" spans="1:10" ht="12" customHeight="1">
      <c r="A23" s="945"/>
      <c r="B23" s="88"/>
      <c r="C23" s="244"/>
      <c r="D23" s="244"/>
      <c r="E23" s="244"/>
      <c r="F23" s="485"/>
      <c r="G23" s="485"/>
      <c r="H23" s="485"/>
      <c r="I23" s="946"/>
      <c r="J23" s="87"/>
    </row>
    <row r="24" spans="1:10" ht="12" customHeight="1">
      <c r="A24" s="947">
        <v>1040</v>
      </c>
      <c r="B24" s="61" t="s">
        <v>160</v>
      </c>
      <c r="C24" s="160">
        <f t="shared" ref="C24:D24" si="2">SUM(C25:C26)</f>
        <v>7272555</v>
      </c>
      <c r="D24" s="160">
        <f t="shared" si="2"/>
        <v>7272555</v>
      </c>
      <c r="E24" s="160">
        <f t="shared" ref="E24:F24" si="3">SUM(E25:E26)</f>
        <v>7272555</v>
      </c>
      <c r="F24" s="62">
        <f t="shared" si="3"/>
        <v>7272555</v>
      </c>
      <c r="G24" s="62">
        <f t="shared" ref="G24:H24" si="4">SUM(G25:G26)</f>
        <v>7686639</v>
      </c>
      <c r="H24" s="62">
        <f t="shared" si="4"/>
        <v>7686639</v>
      </c>
      <c r="I24" s="940">
        <f>H24/G24</f>
        <v>1</v>
      </c>
      <c r="J24" s="749"/>
    </row>
    <row r="25" spans="1:10" ht="12" customHeight="1">
      <c r="A25" s="948">
        <v>1041</v>
      </c>
      <c r="B25" s="67" t="s">
        <v>19</v>
      </c>
      <c r="C25" s="159">
        <v>6375549</v>
      </c>
      <c r="D25" s="159">
        <v>6375549</v>
      </c>
      <c r="E25" s="159">
        <v>6375549</v>
      </c>
      <c r="F25" s="58">
        <v>6375549</v>
      </c>
      <c r="G25" s="58">
        <f>6375549+583049</f>
        <v>6958598</v>
      </c>
      <c r="H25" s="58">
        <v>6958598</v>
      </c>
      <c r="I25" s="941">
        <f>H25/G25</f>
        <v>1</v>
      </c>
      <c r="J25" s="749"/>
    </row>
    <row r="26" spans="1:10" ht="12" customHeight="1">
      <c r="A26" s="948">
        <v>1042</v>
      </c>
      <c r="B26" s="67" t="s">
        <v>20</v>
      </c>
      <c r="C26" s="159">
        <v>897006</v>
      </c>
      <c r="D26" s="159">
        <v>897006</v>
      </c>
      <c r="E26" s="159">
        <v>897006</v>
      </c>
      <c r="F26" s="58">
        <v>897006</v>
      </c>
      <c r="G26" s="58">
        <f>897006-168965</f>
        <v>728041</v>
      </c>
      <c r="H26" s="58">
        <v>728041</v>
      </c>
      <c r="I26" s="941">
        <f>H26/G26</f>
        <v>1</v>
      </c>
      <c r="J26" s="749"/>
    </row>
    <row r="27" spans="1:10" ht="12" customHeight="1">
      <c r="A27" s="949">
        <v>1050</v>
      </c>
      <c r="B27" s="63" t="s">
        <v>161</v>
      </c>
      <c r="C27" s="160">
        <f t="shared" ref="C27:D27" si="5">SUM(C28:C30)</f>
        <v>10057538</v>
      </c>
      <c r="D27" s="160">
        <f t="shared" si="5"/>
        <v>10057538</v>
      </c>
      <c r="E27" s="160">
        <f t="shared" ref="E27:F27" si="6">SUM(E28:E30)</f>
        <v>10057538</v>
      </c>
      <c r="F27" s="62">
        <f t="shared" si="6"/>
        <v>10057538</v>
      </c>
      <c r="G27" s="62">
        <f t="shared" ref="G27:H27" si="7">SUM(G28:G30)</f>
        <v>10321341</v>
      </c>
      <c r="H27" s="62">
        <f t="shared" si="7"/>
        <v>10418364</v>
      </c>
      <c r="I27" s="940">
        <f>H27/G27</f>
        <v>1.0094002320047366</v>
      </c>
      <c r="J27" s="87"/>
    </row>
    <row r="28" spans="1:10" ht="12.75" customHeight="1">
      <c r="A28" s="950">
        <v>1051</v>
      </c>
      <c r="B28" s="59" t="s">
        <v>133</v>
      </c>
      <c r="C28" s="159">
        <v>9357538</v>
      </c>
      <c r="D28" s="159">
        <v>9357538</v>
      </c>
      <c r="E28" s="159">
        <v>9357538</v>
      </c>
      <c r="F28" s="58">
        <v>9357538</v>
      </c>
      <c r="G28" s="58">
        <f>9357538+133743</f>
        <v>9491281</v>
      </c>
      <c r="H28" s="58">
        <v>9588304</v>
      </c>
      <c r="I28" s="941">
        <f>H28/G28</f>
        <v>1.0102223293146626</v>
      </c>
      <c r="J28" s="749"/>
    </row>
    <row r="29" spans="1:10" ht="12.75" customHeight="1">
      <c r="A29" s="950">
        <v>1052</v>
      </c>
      <c r="B29" s="71" t="s">
        <v>319</v>
      </c>
      <c r="C29" s="159"/>
      <c r="D29" s="159"/>
      <c r="E29" s="159"/>
      <c r="F29" s="58"/>
      <c r="G29" s="750"/>
      <c r="H29" s="750"/>
      <c r="I29" s="940"/>
      <c r="J29" s="87"/>
    </row>
    <row r="30" spans="1:10" ht="12.75" customHeight="1">
      <c r="A30" s="950">
        <v>1053</v>
      </c>
      <c r="B30" s="66" t="s">
        <v>131</v>
      </c>
      <c r="C30" s="159">
        <v>700000</v>
      </c>
      <c r="D30" s="159">
        <v>700000</v>
      </c>
      <c r="E30" s="159">
        <v>700000</v>
      </c>
      <c r="F30" s="58">
        <v>700000</v>
      </c>
      <c r="G30" s="58">
        <f>700000+130060</f>
        <v>830060</v>
      </c>
      <c r="H30" s="58">
        <v>830060</v>
      </c>
      <c r="I30" s="941">
        <f>H30/G30</f>
        <v>1</v>
      </c>
      <c r="J30" s="749"/>
    </row>
    <row r="31" spans="1:10" ht="12" customHeight="1">
      <c r="A31" s="949">
        <v>1070</v>
      </c>
      <c r="B31" s="63" t="s">
        <v>135</v>
      </c>
      <c r="C31" s="160">
        <f t="shared" ref="C31:H31" si="8">SUM(C32:C42)</f>
        <v>1036541</v>
      </c>
      <c r="D31" s="160">
        <f t="shared" si="8"/>
        <v>1036541</v>
      </c>
      <c r="E31" s="160">
        <f t="shared" si="8"/>
        <v>1036541</v>
      </c>
      <c r="F31" s="62">
        <f t="shared" si="8"/>
        <v>1036541</v>
      </c>
      <c r="G31" s="62">
        <f t="shared" si="8"/>
        <v>1347534</v>
      </c>
      <c r="H31" s="62">
        <f t="shared" si="8"/>
        <v>1379200</v>
      </c>
      <c r="I31" s="940">
        <f>H31/G31</f>
        <v>1.0234992215409777</v>
      </c>
      <c r="J31" s="87"/>
    </row>
    <row r="32" spans="1:10" ht="12" customHeight="1">
      <c r="A32" s="950">
        <v>1071</v>
      </c>
      <c r="B32" s="67" t="s">
        <v>162</v>
      </c>
      <c r="C32" s="159">
        <v>2000</v>
      </c>
      <c r="D32" s="159">
        <v>2000</v>
      </c>
      <c r="E32" s="159">
        <v>2000</v>
      </c>
      <c r="F32" s="58">
        <v>2000</v>
      </c>
      <c r="G32" s="58">
        <f>2000-1569</f>
        <v>431</v>
      </c>
      <c r="H32" s="58">
        <v>431</v>
      </c>
      <c r="I32" s="941">
        <f>H32/G32</f>
        <v>1</v>
      </c>
      <c r="J32" s="749"/>
    </row>
    <row r="33" spans="1:11" ht="12" customHeight="1">
      <c r="A33" s="950">
        <v>1072</v>
      </c>
      <c r="B33" s="67" t="s">
        <v>923</v>
      </c>
      <c r="C33" s="159"/>
      <c r="D33" s="159"/>
      <c r="E33" s="159"/>
      <c r="F33" s="58"/>
      <c r="G33" s="58">
        <v>4151</v>
      </c>
      <c r="H33" s="58">
        <v>4151</v>
      </c>
      <c r="I33" s="940"/>
      <c r="J33" s="749"/>
    </row>
    <row r="34" spans="1:11" ht="12" customHeight="1">
      <c r="A34" s="950">
        <v>1073</v>
      </c>
      <c r="B34" s="59" t="s">
        <v>163</v>
      </c>
      <c r="C34" s="159"/>
      <c r="D34" s="159"/>
      <c r="E34" s="159"/>
      <c r="F34" s="58"/>
      <c r="G34" s="58">
        <v>203686</v>
      </c>
      <c r="H34" s="58">
        <v>203686</v>
      </c>
      <c r="I34" s="940"/>
      <c r="J34" s="749"/>
    </row>
    <row r="35" spans="1:11" ht="12" customHeight="1">
      <c r="A35" s="950">
        <v>1074</v>
      </c>
      <c r="B35" s="59" t="s">
        <v>164</v>
      </c>
      <c r="C35" s="159"/>
      <c r="D35" s="159"/>
      <c r="E35" s="159"/>
      <c r="F35" s="58"/>
      <c r="G35" s="58"/>
      <c r="H35" s="58"/>
      <c r="I35" s="940"/>
      <c r="J35" s="87"/>
    </row>
    <row r="36" spans="1:11" ht="12" customHeight="1">
      <c r="A36" s="950">
        <v>1075</v>
      </c>
      <c r="B36" s="66" t="s">
        <v>320</v>
      </c>
      <c r="C36" s="159">
        <v>30000</v>
      </c>
      <c r="D36" s="159">
        <v>30000</v>
      </c>
      <c r="E36" s="159">
        <v>30000</v>
      </c>
      <c r="F36" s="58">
        <v>30000</v>
      </c>
      <c r="G36" s="58">
        <f>30000+28530</f>
        <v>58530</v>
      </c>
      <c r="H36" s="58">
        <v>58530</v>
      </c>
      <c r="I36" s="941">
        <f t="shared" ref="I36:I41" si="9">H36/G36</f>
        <v>1</v>
      </c>
      <c r="J36" s="749"/>
    </row>
    <row r="37" spans="1:11" ht="12" customHeight="1">
      <c r="A37" s="950">
        <v>1076</v>
      </c>
      <c r="B37" s="66" t="s">
        <v>321</v>
      </c>
      <c r="C37" s="159">
        <v>26641</v>
      </c>
      <c r="D37" s="159">
        <v>26641</v>
      </c>
      <c r="E37" s="159">
        <v>26641</v>
      </c>
      <c r="F37" s="58">
        <v>26641</v>
      </c>
      <c r="G37" s="58">
        <v>26641</v>
      </c>
      <c r="H37" s="58">
        <v>35972</v>
      </c>
      <c r="I37" s="941">
        <f t="shared" si="9"/>
        <v>1.3502496152546826</v>
      </c>
      <c r="J37" s="87"/>
    </row>
    <row r="38" spans="1:11" ht="12" customHeight="1">
      <c r="A38" s="950">
        <v>1077</v>
      </c>
      <c r="B38" s="71" t="s">
        <v>165</v>
      </c>
      <c r="C38" s="159">
        <v>565900</v>
      </c>
      <c r="D38" s="159">
        <v>565900</v>
      </c>
      <c r="E38" s="159">
        <v>565900</v>
      </c>
      <c r="F38" s="58">
        <v>565900</v>
      </c>
      <c r="G38" s="58">
        <f>565900+8500</f>
        <v>574400</v>
      </c>
      <c r="H38" s="58">
        <v>574401</v>
      </c>
      <c r="I38" s="941">
        <f t="shared" si="9"/>
        <v>1.0000017409470752</v>
      </c>
      <c r="J38" s="749"/>
    </row>
    <row r="39" spans="1:11" ht="12" customHeight="1">
      <c r="A39" s="950">
        <v>1078</v>
      </c>
      <c r="B39" s="67" t="s">
        <v>166</v>
      </c>
      <c r="C39" s="159">
        <v>5000</v>
      </c>
      <c r="D39" s="159">
        <v>5000</v>
      </c>
      <c r="E39" s="159">
        <v>5000</v>
      </c>
      <c r="F39" s="58">
        <v>5000</v>
      </c>
      <c r="G39" s="58">
        <f>5000+5897</f>
        <v>10897</v>
      </c>
      <c r="H39" s="58">
        <v>10897</v>
      </c>
      <c r="I39" s="941">
        <f t="shared" si="9"/>
        <v>1</v>
      </c>
      <c r="J39" s="749"/>
    </row>
    <row r="40" spans="1:11" ht="12" customHeight="1">
      <c r="A40" s="950">
        <v>1079</v>
      </c>
      <c r="B40" s="67" t="s">
        <v>339</v>
      </c>
      <c r="C40" s="159">
        <v>7000</v>
      </c>
      <c r="D40" s="159">
        <v>7000</v>
      </c>
      <c r="E40" s="159">
        <v>7000</v>
      </c>
      <c r="F40" s="58">
        <v>7000</v>
      </c>
      <c r="G40" s="58">
        <f>7000+5367</f>
        <v>12367</v>
      </c>
      <c r="H40" s="58">
        <v>12368</v>
      </c>
      <c r="I40" s="941">
        <f t="shared" si="9"/>
        <v>1.0000808603541684</v>
      </c>
      <c r="J40" s="749"/>
    </row>
    <row r="41" spans="1:11" ht="12" customHeight="1">
      <c r="A41" s="950">
        <v>1081</v>
      </c>
      <c r="B41" s="67" t="s">
        <v>722</v>
      </c>
      <c r="C41" s="159">
        <v>400000</v>
      </c>
      <c r="D41" s="159">
        <v>400000</v>
      </c>
      <c r="E41" s="170">
        <v>400000</v>
      </c>
      <c r="F41" s="486">
        <v>400000</v>
      </c>
      <c r="G41" s="486">
        <f>400000-7569</f>
        <v>392431</v>
      </c>
      <c r="H41" s="486">
        <v>414764</v>
      </c>
      <c r="I41" s="383">
        <f t="shared" si="9"/>
        <v>1.0569093675066445</v>
      </c>
      <c r="J41" s="749"/>
    </row>
    <row r="42" spans="1:11" ht="12" customHeight="1" thickBot="1">
      <c r="A42" s="948">
        <v>1211</v>
      </c>
      <c r="B42" s="67" t="s">
        <v>1101</v>
      </c>
      <c r="C42" s="159"/>
      <c r="D42" s="159"/>
      <c r="E42" s="170"/>
      <c r="F42" s="486"/>
      <c r="G42" s="486">
        <v>64000</v>
      </c>
      <c r="H42" s="486">
        <v>64000</v>
      </c>
      <c r="I42" s="973"/>
      <c r="J42" s="749"/>
    </row>
    <row r="43" spans="1:11" ht="17.25" customHeight="1" thickBot="1">
      <c r="A43" s="952"/>
      <c r="B43" s="151" t="s">
        <v>167</v>
      </c>
      <c r="C43" s="245">
        <f t="shared" ref="C43:H43" si="10">SUM(C24+C27+C31)</f>
        <v>18366634</v>
      </c>
      <c r="D43" s="245">
        <f t="shared" si="10"/>
        <v>18366634</v>
      </c>
      <c r="E43" s="245">
        <f t="shared" si="10"/>
        <v>18366634</v>
      </c>
      <c r="F43" s="355">
        <f t="shared" si="10"/>
        <v>18366634</v>
      </c>
      <c r="G43" s="355">
        <f t="shared" si="10"/>
        <v>19355514</v>
      </c>
      <c r="H43" s="355">
        <f t="shared" si="10"/>
        <v>19484203</v>
      </c>
      <c r="I43" s="732">
        <f>H43/G43</f>
        <v>1.0066486996935344</v>
      </c>
      <c r="J43" s="87"/>
    </row>
    <row r="44" spans="1:11" ht="12" customHeight="1">
      <c r="A44" s="950"/>
      <c r="B44" s="101"/>
      <c r="C44" s="244"/>
      <c r="D44" s="244"/>
      <c r="E44" s="244"/>
      <c r="F44" s="485"/>
      <c r="G44" s="485"/>
      <c r="H44" s="485"/>
      <c r="I44" s="946"/>
      <c r="J44" s="87"/>
    </row>
    <row r="45" spans="1:11" ht="12" customHeight="1">
      <c r="A45" s="949">
        <v>1090</v>
      </c>
      <c r="B45" s="107" t="s">
        <v>168</v>
      </c>
      <c r="C45" s="160">
        <f t="shared" ref="C45:H45" si="11">SUM(C46:C54)</f>
        <v>2140682</v>
      </c>
      <c r="D45" s="160">
        <f t="shared" si="11"/>
        <v>2140682</v>
      </c>
      <c r="E45" s="160">
        <f t="shared" si="11"/>
        <v>2140682</v>
      </c>
      <c r="F45" s="62">
        <f t="shared" si="11"/>
        <v>2140682</v>
      </c>
      <c r="G45" s="62">
        <f t="shared" si="11"/>
        <v>2306036</v>
      </c>
      <c r="H45" s="62">
        <f t="shared" si="11"/>
        <v>2306810</v>
      </c>
      <c r="I45" s="940">
        <f>H45/G45</f>
        <v>1.0003356409006625</v>
      </c>
      <c r="J45" s="87"/>
    </row>
    <row r="46" spans="1:11" ht="12" customHeight="1">
      <c r="A46" s="950">
        <v>1091</v>
      </c>
      <c r="B46" s="97" t="s">
        <v>817</v>
      </c>
      <c r="C46" s="172"/>
      <c r="D46" s="172"/>
      <c r="E46" s="172"/>
      <c r="F46" s="69"/>
      <c r="G46" s="69"/>
      <c r="H46" s="69"/>
      <c r="I46" s="940"/>
      <c r="J46" s="87"/>
    </row>
    <row r="47" spans="1:11" ht="12" customHeight="1">
      <c r="A47" s="950">
        <v>1092</v>
      </c>
      <c r="B47" s="67" t="s">
        <v>123</v>
      </c>
      <c r="C47" s="159">
        <v>1339600</v>
      </c>
      <c r="D47" s="159">
        <v>1339600</v>
      </c>
      <c r="E47" s="159">
        <v>1339600</v>
      </c>
      <c r="F47" s="58">
        <v>1339600</v>
      </c>
      <c r="G47" s="58">
        <f>1339600+118990</f>
        <v>1458590</v>
      </c>
      <c r="H47" s="58">
        <v>1458590</v>
      </c>
      <c r="I47" s="941">
        <f>H47/G47</f>
        <v>1</v>
      </c>
      <c r="J47" s="749"/>
      <c r="K47" s="87"/>
    </row>
    <row r="48" spans="1:11" ht="12" customHeight="1">
      <c r="A48" s="950">
        <v>1093</v>
      </c>
      <c r="B48" s="67" t="s">
        <v>362</v>
      </c>
      <c r="C48" s="159">
        <v>6000</v>
      </c>
      <c r="D48" s="159">
        <v>6000</v>
      </c>
      <c r="E48" s="159">
        <v>6000</v>
      </c>
      <c r="F48" s="58">
        <v>6000</v>
      </c>
      <c r="G48" s="58">
        <f>6000+2409</f>
        <v>8409</v>
      </c>
      <c r="H48" s="58">
        <v>8409</v>
      </c>
      <c r="I48" s="941">
        <f>H48/G48</f>
        <v>1</v>
      </c>
      <c r="J48" s="749"/>
    </row>
    <row r="49" spans="1:10" ht="12" customHeight="1">
      <c r="A49" s="950">
        <v>1094</v>
      </c>
      <c r="B49" s="67" t="s">
        <v>363</v>
      </c>
      <c r="C49" s="159">
        <v>25000</v>
      </c>
      <c r="D49" s="159">
        <v>25000</v>
      </c>
      <c r="E49" s="159">
        <v>25000</v>
      </c>
      <c r="F49" s="58">
        <v>25000</v>
      </c>
      <c r="G49" s="58">
        <f>25000-12810</f>
        <v>12190</v>
      </c>
      <c r="H49" s="58">
        <v>12190</v>
      </c>
      <c r="I49" s="941">
        <f>H49/G49</f>
        <v>1</v>
      </c>
      <c r="J49" s="749"/>
    </row>
    <row r="50" spans="1:10" ht="12" customHeight="1">
      <c r="A50" s="950">
        <v>1095</v>
      </c>
      <c r="B50" s="71" t="s">
        <v>250</v>
      </c>
      <c r="C50" s="159">
        <v>380000</v>
      </c>
      <c r="D50" s="159">
        <v>380000</v>
      </c>
      <c r="E50" s="159">
        <v>380000</v>
      </c>
      <c r="F50" s="58">
        <v>380000</v>
      </c>
      <c r="G50" s="58">
        <f>380000+37117</f>
        <v>417117</v>
      </c>
      <c r="H50" s="58">
        <v>417117</v>
      </c>
      <c r="I50" s="941">
        <f>H50/G50</f>
        <v>1</v>
      </c>
      <c r="J50" s="749"/>
    </row>
    <row r="51" spans="1:10" ht="12" customHeight="1">
      <c r="A51" s="950">
        <v>1096</v>
      </c>
      <c r="B51" s="71" t="s">
        <v>240</v>
      </c>
      <c r="C51" s="159">
        <v>350082</v>
      </c>
      <c r="D51" s="159">
        <v>350082</v>
      </c>
      <c r="E51" s="159">
        <v>350082</v>
      </c>
      <c r="F51" s="58">
        <v>350082</v>
      </c>
      <c r="G51" s="58">
        <f>350082+6042</f>
        <v>356124</v>
      </c>
      <c r="H51" s="58">
        <v>356124</v>
      </c>
      <c r="I51" s="941">
        <f>H51/G51</f>
        <v>1</v>
      </c>
      <c r="J51" s="749"/>
    </row>
    <row r="52" spans="1:10" ht="12" customHeight="1">
      <c r="A52" s="950">
        <v>1097</v>
      </c>
      <c r="B52" s="71" t="s">
        <v>0</v>
      </c>
      <c r="C52" s="159"/>
      <c r="D52" s="159"/>
      <c r="E52" s="159"/>
      <c r="F52" s="58"/>
      <c r="G52" s="58">
        <v>5057</v>
      </c>
      <c r="H52" s="58">
        <v>5057</v>
      </c>
      <c r="I52" s="941">
        <f t="shared" ref="I52:I53" si="12">H52/G52</f>
        <v>1</v>
      </c>
      <c r="J52" s="749"/>
    </row>
    <row r="53" spans="1:10" ht="12" customHeight="1">
      <c r="A53" s="950">
        <v>1098</v>
      </c>
      <c r="B53" s="71" t="s">
        <v>4</v>
      </c>
      <c r="C53" s="159"/>
      <c r="D53" s="159"/>
      <c r="E53" s="159"/>
      <c r="F53" s="58"/>
      <c r="G53" s="58">
        <v>14395</v>
      </c>
      <c r="H53" s="58">
        <v>14395</v>
      </c>
      <c r="I53" s="941">
        <f t="shared" si="12"/>
        <v>1</v>
      </c>
      <c r="J53" s="749"/>
    </row>
    <row r="54" spans="1:10" ht="12" customHeight="1">
      <c r="A54" s="950">
        <v>1099</v>
      </c>
      <c r="B54" s="71" t="s">
        <v>750</v>
      </c>
      <c r="C54" s="159">
        <v>40000</v>
      </c>
      <c r="D54" s="159">
        <v>40000</v>
      </c>
      <c r="E54" s="159">
        <v>40000</v>
      </c>
      <c r="F54" s="58">
        <v>40000</v>
      </c>
      <c r="G54" s="58">
        <f>40000-5846</f>
        <v>34154</v>
      </c>
      <c r="H54" s="58">
        <v>34928</v>
      </c>
      <c r="I54" s="941">
        <f>H54/G54</f>
        <v>1.0226620600808105</v>
      </c>
      <c r="J54" s="749"/>
    </row>
    <row r="55" spans="1:10" ht="12" customHeight="1">
      <c r="A55" s="949">
        <v>1100</v>
      </c>
      <c r="B55" s="107" t="s">
        <v>169</v>
      </c>
      <c r="C55" s="160">
        <f t="shared" ref="C55:D55" si="13">SUM(C56:C58)</f>
        <v>169500</v>
      </c>
      <c r="D55" s="160">
        <f t="shared" si="13"/>
        <v>169500</v>
      </c>
      <c r="E55" s="160">
        <f t="shared" ref="E55:F55" si="14">SUM(E56:E58)</f>
        <v>169500</v>
      </c>
      <c r="F55" s="62">
        <f t="shared" si="14"/>
        <v>169500</v>
      </c>
      <c r="G55" s="62">
        <f t="shared" ref="G55:H55" si="15">SUM(G56:G58)</f>
        <v>174819</v>
      </c>
      <c r="H55" s="62">
        <f t="shared" si="15"/>
        <v>174860</v>
      </c>
      <c r="I55" s="940">
        <f>H55/G55</f>
        <v>1.000234528283539</v>
      </c>
      <c r="J55" s="749"/>
    </row>
    <row r="56" spans="1:10" ht="12" customHeight="1">
      <c r="A56" s="950">
        <v>1101</v>
      </c>
      <c r="B56" s="71" t="s">
        <v>1</v>
      </c>
      <c r="C56" s="159">
        <v>10000</v>
      </c>
      <c r="D56" s="159">
        <v>10000</v>
      </c>
      <c r="E56" s="159">
        <v>10000</v>
      </c>
      <c r="F56" s="58">
        <v>10000</v>
      </c>
      <c r="G56" s="58">
        <f>10000-4326</f>
        <v>5674</v>
      </c>
      <c r="H56" s="58">
        <v>5715</v>
      </c>
      <c r="I56" s="941">
        <f>H56/G56</f>
        <v>1.0072259428974268</v>
      </c>
      <c r="J56" s="749"/>
    </row>
    <row r="57" spans="1:10" ht="12" customHeight="1">
      <c r="A57" s="950">
        <v>1102</v>
      </c>
      <c r="B57" s="67" t="s">
        <v>170</v>
      </c>
      <c r="C57" s="159">
        <v>90000</v>
      </c>
      <c r="D57" s="159">
        <v>90000</v>
      </c>
      <c r="E57" s="159">
        <v>90000</v>
      </c>
      <c r="F57" s="58">
        <v>90000</v>
      </c>
      <c r="G57" s="58">
        <f>90000-6006</f>
        <v>83994</v>
      </c>
      <c r="H57" s="58">
        <v>83994</v>
      </c>
      <c r="I57" s="941">
        <f>H57/G57</f>
        <v>1</v>
      </c>
      <c r="J57" s="749"/>
    </row>
    <row r="58" spans="1:10" ht="12" customHeight="1">
      <c r="A58" s="950">
        <v>1103</v>
      </c>
      <c r="B58" s="67" t="s">
        <v>171</v>
      </c>
      <c r="C58" s="159">
        <v>69500</v>
      </c>
      <c r="D58" s="159">
        <v>69500</v>
      </c>
      <c r="E58" s="159">
        <v>69500</v>
      </c>
      <c r="F58" s="58">
        <v>69500</v>
      </c>
      <c r="G58" s="58">
        <f>69500+15651</f>
        <v>85151</v>
      </c>
      <c r="H58" s="58">
        <v>85151</v>
      </c>
      <c r="I58" s="941">
        <f>H58/G58</f>
        <v>1</v>
      </c>
      <c r="J58" s="749"/>
    </row>
    <row r="59" spans="1:10" ht="12" customHeight="1">
      <c r="A59" s="949">
        <v>1105</v>
      </c>
      <c r="B59" s="72" t="s">
        <v>272</v>
      </c>
      <c r="C59" s="160"/>
      <c r="D59" s="160"/>
      <c r="E59" s="160"/>
      <c r="F59" s="62"/>
      <c r="G59" s="62"/>
      <c r="H59" s="62"/>
      <c r="I59" s="940"/>
      <c r="J59" s="749"/>
    </row>
    <row r="60" spans="1:10" ht="12" customHeight="1">
      <c r="A60" s="949">
        <v>1110</v>
      </c>
      <c r="B60" s="72" t="s">
        <v>172</v>
      </c>
      <c r="C60" s="159"/>
      <c r="D60" s="159"/>
      <c r="E60" s="159"/>
      <c r="F60" s="58"/>
      <c r="G60" s="58"/>
      <c r="H60" s="62">
        <v>6</v>
      </c>
      <c r="I60" s="940"/>
      <c r="J60" s="749"/>
    </row>
    <row r="61" spans="1:10" ht="12" customHeight="1">
      <c r="A61" s="949">
        <v>1120</v>
      </c>
      <c r="B61" s="72" t="s">
        <v>173</v>
      </c>
      <c r="C61" s="160">
        <f t="shared" ref="C61:D61" si="16">SUM(C62:C64)</f>
        <v>581792</v>
      </c>
      <c r="D61" s="160">
        <f t="shared" si="16"/>
        <v>1488911</v>
      </c>
      <c r="E61" s="160">
        <f t="shared" ref="E61:F61" si="17">SUM(E62:E64)</f>
        <v>1488911</v>
      </c>
      <c r="F61" s="62">
        <f t="shared" si="17"/>
        <v>1488911</v>
      </c>
      <c r="G61" s="62">
        <f t="shared" ref="G61:H61" si="18">SUM(G62:G64)</f>
        <v>1570762</v>
      </c>
      <c r="H61" s="62">
        <f t="shared" si="18"/>
        <v>1570973</v>
      </c>
      <c r="I61" s="940">
        <f>H61/G61</f>
        <v>1.0001343297074923</v>
      </c>
      <c r="J61" s="749"/>
    </row>
    <row r="62" spans="1:10" ht="12" customHeight="1">
      <c r="A62" s="950">
        <v>1121</v>
      </c>
      <c r="B62" s="59" t="s">
        <v>236</v>
      </c>
      <c r="C62" s="159">
        <v>21870</v>
      </c>
      <c r="D62" s="159">
        <f>21870+907119</f>
        <v>928989</v>
      </c>
      <c r="E62" s="159">
        <f>21870+907119</f>
        <v>928989</v>
      </c>
      <c r="F62" s="58">
        <f>21870+907119</f>
        <v>928989</v>
      </c>
      <c r="G62" s="58">
        <f>21870+907119+835</f>
        <v>929824</v>
      </c>
      <c r="H62" s="58">
        <v>930035</v>
      </c>
      <c r="I62" s="941">
        <f>H62/G62</f>
        <v>1.000226924665313</v>
      </c>
      <c r="J62" s="749"/>
    </row>
    <row r="63" spans="1:10" ht="12" customHeight="1">
      <c r="A63" s="950">
        <v>1122</v>
      </c>
      <c r="B63" s="59" t="s">
        <v>323</v>
      </c>
      <c r="C63" s="159">
        <v>221422</v>
      </c>
      <c r="D63" s="159">
        <v>221422</v>
      </c>
      <c r="E63" s="159">
        <v>221422</v>
      </c>
      <c r="F63" s="58">
        <v>221422</v>
      </c>
      <c r="G63" s="58">
        <f>221422+2831</f>
        <v>224253</v>
      </c>
      <c r="H63" s="58">
        <v>224254</v>
      </c>
      <c r="I63" s="941">
        <f>H63/G63</f>
        <v>1.0000044592491517</v>
      </c>
      <c r="J63" s="749"/>
    </row>
    <row r="64" spans="1:10" ht="12" customHeight="1">
      <c r="A64" s="950">
        <v>1123</v>
      </c>
      <c r="B64" s="66" t="s">
        <v>245</v>
      </c>
      <c r="C64" s="172">
        <v>338500</v>
      </c>
      <c r="D64" s="172">
        <v>338500</v>
      </c>
      <c r="E64" s="172">
        <v>338500</v>
      </c>
      <c r="F64" s="69">
        <v>338500</v>
      </c>
      <c r="G64" s="69">
        <f>338500+78185</f>
        <v>416685</v>
      </c>
      <c r="H64" s="69">
        <v>416684</v>
      </c>
      <c r="I64" s="941">
        <f>H64/G64</f>
        <v>0.99999760010559535</v>
      </c>
      <c r="J64" s="749"/>
    </row>
    <row r="65" spans="1:10" ht="12" customHeight="1">
      <c r="A65" s="949">
        <v>1130</v>
      </c>
      <c r="B65" s="63" t="s">
        <v>174</v>
      </c>
      <c r="C65" s="160"/>
      <c r="D65" s="160"/>
      <c r="E65" s="160"/>
      <c r="F65" s="62"/>
      <c r="G65" s="62"/>
      <c r="H65" s="62"/>
      <c r="I65" s="940"/>
      <c r="J65" s="749"/>
    </row>
    <row r="66" spans="1:10" ht="12" customHeight="1">
      <c r="A66" s="949">
        <v>1140</v>
      </c>
      <c r="B66" s="65" t="s">
        <v>343</v>
      </c>
      <c r="C66" s="160">
        <f t="shared" ref="C66:H66" si="19">C67</f>
        <v>150000</v>
      </c>
      <c r="D66" s="160">
        <f t="shared" si="19"/>
        <v>150000</v>
      </c>
      <c r="E66" s="160">
        <f t="shared" si="19"/>
        <v>150000</v>
      </c>
      <c r="F66" s="62">
        <f t="shared" si="19"/>
        <v>150000</v>
      </c>
      <c r="G66" s="62">
        <f t="shared" si="19"/>
        <v>263388</v>
      </c>
      <c r="H66" s="62">
        <f t="shared" si="19"/>
        <v>261574</v>
      </c>
      <c r="I66" s="940">
        <f>H66/G66</f>
        <v>0.99311282214831353</v>
      </c>
      <c r="J66" s="749"/>
    </row>
    <row r="67" spans="1:10" ht="12" customHeight="1">
      <c r="A67" s="950">
        <v>1141</v>
      </c>
      <c r="B67" s="67" t="s">
        <v>68</v>
      </c>
      <c r="C67" s="159">
        <v>150000</v>
      </c>
      <c r="D67" s="159">
        <v>150000</v>
      </c>
      <c r="E67" s="159">
        <v>150000</v>
      </c>
      <c r="F67" s="58">
        <v>150000</v>
      </c>
      <c r="G67" s="58">
        <f>150000+113388</f>
        <v>263388</v>
      </c>
      <c r="H67" s="58">
        <v>261574</v>
      </c>
      <c r="I67" s="941">
        <f>H67/G67</f>
        <v>0.99311282214831353</v>
      </c>
      <c r="J67" s="749"/>
    </row>
    <row r="68" spans="1:10" ht="12" customHeight="1">
      <c r="A68" s="949">
        <v>1152</v>
      </c>
      <c r="B68" s="72" t="s">
        <v>1068</v>
      </c>
      <c r="C68" s="160"/>
      <c r="D68" s="160"/>
      <c r="E68" s="160"/>
      <c r="F68" s="62"/>
      <c r="G68" s="62"/>
      <c r="H68" s="62"/>
      <c r="I68" s="940"/>
      <c r="J68" s="749"/>
    </row>
    <row r="69" spans="1:10" ht="12" customHeight="1">
      <c r="A69" s="939">
        <v>1150</v>
      </c>
      <c r="B69" s="72" t="s">
        <v>175</v>
      </c>
      <c r="C69" s="160">
        <v>10000</v>
      </c>
      <c r="D69" s="160">
        <f>10000+3482700</f>
        <v>3492700</v>
      </c>
      <c r="E69" s="160">
        <f>10000+3482700</f>
        <v>3492700</v>
      </c>
      <c r="F69" s="62">
        <f>10000+3482700</f>
        <v>3492700</v>
      </c>
      <c r="G69" s="62">
        <f>10000+3482700+16473</f>
        <v>3509173</v>
      </c>
      <c r="H69" s="62">
        <v>3544635</v>
      </c>
      <c r="I69" s="940">
        <f>H69/G69</f>
        <v>1.0101055148891207</v>
      </c>
      <c r="J69" s="749"/>
    </row>
    <row r="70" spans="1:10" ht="12" customHeight="1" thickBot="1">
      <c r="A70" s="944">
        <v>1151</v>
      </c>
      <c r="B70" s="152" t="s">
        <v>322</v>
      </c>
      <c r="C70" s="161">
        <v>30500</v>
      </c>
      <c r="D70" s="161">
        <v>30500</v>
      </c>
      <c r="E70" s="161">
        <v>30500</v>
      </c>
      <c r="F70" s="83">
        <v>30500</v>
      </c>
      <c r="G70" s="83">
        <f>30500+3028</f>
        <v>33528</v>
      </c>
      <c r="H70" s="83">
        <v>33528</v>
      </c>
      <c r="I70" s="943">
        <f>H70/G70</f>
        <v>1</v>
      </c>
      <c r="J70" s="749"/>
    </row>
    <row r="71" spans="1:10" ht="18.75" customHeight="1" thickBot="1">
      <c r="A71" s="952"/>
      <c r="B71" s="115" t="s">
        <v>270</v>
      </c>
      <c r="C71" s="245">
        <f t="shared" ref="C71:H71" si="20">SUM(C66+C69+C65+C61+C60+C55+C45+C59+C70)+C68</f>
        <v>3082474</v>
      </c>
      <c r="D71" s="245">
        <f t="shared" si="20"/>
        <v>7472293</v>
      </c>
      <c r="E71" s="245">
        <f t="shared" si="20"/>
        <v>7472293</v>
      </c>
      <c r="F71" s="355">
        <f t="shared" si="20"/>
        <v>7472293</v>
      </c>
      <c r="G71" s="355">
        <f t="shared" si="20"/>
        <v>7857706</v>
      </c>
      <c r="H71" s="355">
        <f t="shared" si="20"/>
        <v>7892386</v>
      </c>
      <c r="I71" s="732">
        <f>H71/G71</f>
        <v>1.0044135018541034</v>
      </c>
      <c r="J71" s="749"/>
    </row>
    <row r="72" spans="1:10" ht="12" customHeight="1">
      <c r="A72" s="953"/>
      <c r="B72" s="108"/>
      <c r="C72" s="244"/>
      <c r="D72" s="244"/>
      <c r="E72" s="244"/>
      <c r="F72" s="485"/>
      <c r="G72" s="485"/>
      <c r="H72" s="485"/>
      <c r="I72" s="946"/>
      <c r="J72" s="87"/>
    </row>
    <row r="73" spans="1:10" ht="15" customHeight="1">
      <c r="A73" s="948">
        <v>1160</v>
      </c>
      <c r="B73" s="67" t="s">
        <v>176</v>
      </c>
      <c r="C73" s="159"/>
      <c r="D73" s="159"/>
      <c r="E73" s="159"/>
      <c r="F73" s="58"/>
      <c r="G73" s="58">
        <f>3283+2158</f>
        <v>5441</v>
      </c>
      <c r="H73" s="58">
        <v>6191</v>
      </c>
      <c r="I73" s="941">
        <f>H73/G73</f>
        <v>1.1378423083991913</v>
      </c>
      <c r="J73" s="749"/>
    </row>
    <row r="74" spans="1:10" ht="15" customHeight="1">
      <c r="A74" s="948">
        <v>1160</v>
      </c>
      <c r="B74" s="67" t="s">
        <v>1099</v>
      </c>
      <c r="C74" s="159"/>
      <c r="D74" s="159"/>
      <c r="E74" s="159"/>
      <c r="F74" s="58"/>
      <c r="G74" s="58">
        <v>1700</v>
      </c>
      <c r="H74" s="58">
        <v>1500</v>
      </c>
      <c r="I74" s="941">
        <f>H74/G74</f>
        <v>0.88235294117647056</v>
      </c>
      <c r="J74" s="749"/>
    </row>
    <row r="75" spans="1:10" ht="15" customHeight="1">
      <c r="A75" s="948">
        <v>1160</v>
      </c>
      <c r="B75" s="67" t="s">
        <v>1100</v>
      </c>
      <c r="C75" s="159"/>
      <c r="D75" s="159"/>
      <c r="E75" s="159"/>
      <c r="F75" s="58"/>
      <c r="G75" s="58">
        <v>2582</v>
      </c>
      <c r="H75" s="58">
        <v>2582</v>
      </c>
      <c r="I75" s="941">
        <f>H75/G75</f>
        <v>1</v>
      </c>
      <c r="J75" s="749"/>
    </row>
    <row r="76" spans="1:10" ht="15" customHeight="1">
      <c r="A76" s="948">
        <v>1161</v>
      </c>
      <c r="B76" s="67" t="s">
        <v>409</v>
      </c>
      <c r="C76" s="159"/>
      <c r="D76" s="159"/>
      <c r="E76" s="159"/>
      <c r="F76" s="58"/>
      <c r="G76" s="58"/>
      <c r="H76" s="58"/>
      <c r="I76" s="940"/>
      <c r="J76" s="749"/>
    </row>
    <row r="77" spans="1:10" ht="15" customHeight="1">
      <c r="A77" s="948">
        <v>1162</v>
      </c>
      <c r="B77" s="67" t="s">
        <v>896</v>
      </c>
      <c r="C77" s="159">
        <v>0</v>
      </c>
      <c r="D77" s="159">
        <v>0</v>
      </c>
      <c r="E77" s="159">
        <v>41576</v>
      </c>
      <c r="F77" s="58">
        <v>41576</v>
      </c>
      <c r="G77" s="58">
        <v>41576</v>
      </c>
      <c r="H77" s="58">
        <v>0</v>
      </c>
      <c r="I77" s="941">
        <f>H77/G77</f>
        <v>0</v>
      </c>
      <c r="J77" s="749"/>
    </row>
    <row r="78" spans="1:10" ht="15" customHeight="1">
      <c r="A78" s="948">
        <v>1163</v>
      </c>
      <c r="B78" s="67" t="s">
        <v>796</v>
      </c>
      <c r="C78" s="159"/>
      <c r="D78" s="159"/>
      <c r="E78" s="159"/>
      <c r="F78" s="58"/>
      <c r="G78" s="58">
        <f>2000+62</f>
        <v>2062</v>
      </c>
      <c r="H78" s="58">
        <v>2062</v>
      </c>
      <c r="I78" s="941">
        <f>H78/G78</f>
        <v>1</v>
      </c>
      <c r="J78" s="749"/>
    </row>
    <row r="79" spans="1:10" ht="15" customHeight="1">
      <c r="A79" s="948">
        <v>1164</v>
      </c>
      <c r="B79" s="67" t="s">
        <v>1069</v>
      </c>
      <c r="C79" s="159">
        <v>0</v>
      </c>
      <c r="D79" s="159">
        <v>0</v>
      </c>
      <c r="E79" s="159">
        <v>2673</v>
      </c>
      <c r="F79" s="58">
        <v>2673</v>
      </c>
      <c r="G79" s="58">
        <f>2673-1378-178+103</f>
        <v>1220</v>
      </c>
      <c r="H79" s="58">
        <v>1220</v>
      </c>
      <c r="I79" s="941">
        <f>H79/G79</f>
        <v>1</v>
      </c>
      <c r="J79" s="749"/>
    </row>
    <row r="80" spans="1:10" ht="15" customHeight="1">
      <c r="A80" s="954">
        <v>1165</v>
      </c>
      <c r="B80" s="73" t="s">
        <v>745</v>
      </c>
      <c r="C80" s="359">
        <v>0</v>
      </c>
      <c r="D80" s="359">
        <v>0</v>
      </c>
      <c r="E80" s="359">
        <v>0</v>
      </c>
      <c r="F80" s="156">
        <v>0</v>
      </c>
      <c r="G80" s="156">
        <v>0</v>
      </c>
      <c r="H80" s="156">
        <v>0</v>
      </c>
      <c r="I80" s="940"/>
      <c r="J80" s="87"/>
    </row>
    <row r="81" spans="1:10" ht="15" customHeight="1" thickBot="1">
      <c r="A81" s="955">
        <v>1169</v>
      </c>
      <c r="B81" s="75" t="s">
        <v>828</v>
      </c>
      <c r="C81" s="236"/>
      <c r="D81" s="236"/>
      <c r="E81" s="236"/>
      <c r="F81" s="74"/>
      <c r="G81" s="74"/>
      <c r="H81" s="74"/>
      <c r="I81" s="943"/>
      <c r="J81" s="87"/>
    </row>
    <row r="82" spans="1:10" ht="18" customHeight="1" thickBot="1">
      <c r="A82" s="952"/>
      <c r="B82" s="106" t="s">
        <v>177</v>
      </c>
      <c r="C82" s="161">
        <f t="shared" ref="C82:H82" si="21">SUM(C73:C81)</f>
        <v>0</v>
      </c>
      <c r="D82" s="161">
        <f t="shared" si="21"/>
        <v>0</v>
      </c>
      <c r="E82" s="161">
        <f t="shared" si="21"/>
        <v>44249</v>
      </c>
      <c r="F82" s="83">
        <f t="shared" si="21"/>
        <v>44249</v>
      </c>
      <c r="G82" s="83">
        <f t="shared" si="21"/>
        <v>54581</v>
      </c>
      <c r="H82" s="83">
        <f t="shared" si="21"/>
        <v>13555</v>
      </c>
      <c r="I82" s="732">
        <f>H82/G82</f>
        <v>0.24834649420127883</v>
      </c>
      <c r="J82" s="87"/>
    </row>
    <row r="83" spans="1:10" ht="12" customHeight="1" thickBot="1">
      <c r="A83" s="952"/>
      <c r="B83" s="93"/>
      <c r="C83" s="246"/>
      <c r="D83" s="246"/>
      <c r="E83" s="246"/>
      <c r="F83" s="362"/>
      <c r="G83" s="362"/>
      <c r="H83" s="362"/>
      <c r="I83" s="732"/>
      <c r="J83" s="87"/>
    </row>
    <row r="84" spans="1:10" ht="18.75" customHeight="1" thickBot="1">
      <c r="A84" s="952"/>
      <c r="B84" s="109" t="s">
        <v>44</v>
      </c>
      <c r="C84" s="268">
        <f t="shared" ref="C84:H84" si="22">SUM(C71+C43+C22+C82)</f>
        <v>25628729</v>
      </c>
      <c r="D84" s="268">
        <f t="shared" si="22"/>
        <v>30449158</v>
      </c>
      <c r="E84" s="268">
        <f t="shared" si="22"/>
        <v>30595541</v>
      </c>
      <c r="F84" s="487">
        <f t="shared" si="22"/>
        <v>30707850</v>
      </c>
      <c r="G84" s="487">
        <f t="shared" si="22"/>
        <v>32188594</v>
      </c>
      <c r="H84" s="487">
        <f t="shared" si="22"/>
        <v>32308547</v>
      </c>
      <c r="I84" s="732">
        <f>H84/G84</f>
        <v>1.0037265684857188</v>
      </c>
      <c r="J84" s="87"/>
    </row>
    <row r="85" spans="1:10" ht="12" customHeight="1">
      <c r="A85" s="950"/>
      <c r="B85" s="102"/>
      <c r="C85" s="244"/>
      <c r="D85" s="244"/>
      <c r="E85" s="244"/>
      <c r="F85" s="485"/>
      <c r="G85" s="485"/>
      <c r="H85" s="485"/>
      <c r="I85" s="946"/>
      <c r="J85" s="87"/>
    </row>
    <row r="86" spans="1:10" ht="12" customHeight="1">
      <c r="A86" s="939">
        <v>1165</v>
      </c>
      <c r="B86" s="72" t="s">
        <v>977</v>
      </c>
      <c r="C86" s="160">
        <v>1500000</v>
      </c>
      <c r="D86" s="160">
        <v>1500000</v>
      </c>
      <c r="E86" s="160">
        <v>1500000</v>
      </c>
      <c r="F86" s="62">
        <v>1500000</v>
      </c>
      <c r="G86" s="62">
        <v>1500000</v>
      </c>
      <c r="H86" s="62">
        <v>750000</v>
      </c>
      <c r="I86" s="940">
        <f>H86/G86</f>
        <v>0.5</v>
      </c>
      <c r="J86" s="87"/>
    </row>
    <row r="87" spans="1:10" ht="12" customHeight="1">
      <c r="A87" s="939">
        <v>1166</v>
      </c>
      <c r="B87" s="72" t="s">
        <v>747</v>
      </c>
      <c r="C87" s="160">
        <v>0</v>
      </c>
      <c r="D87" s="160">
        <v>0</v>
      </c>
      <c r="E87" s="160">
        <v>0</v>
      </c>
      <c r="F87" s="62">
        <v>0</v>
      </c>
      <c r="G87" s="62">
        <v>0</v>
      </c>
      <c r="H87" s="62">
        <v>0</v>
      </c>
      <c r="I87" s="940"/>
      <c r="J87" s="87"/>
    </row>
    <row r="88" spans="1:10" ht="12" customHeight="1">
      <c r="A88" s="939">
        <v>1170</v>
      </c>
      <c r="B88" s="61" t="s">
        <v>179</v>
      </c>
      <c r="C88" s="160"/>
      <c r="D88" s="160"/>
      <c r="E88" s="160"/>
      <c r="F88" s="62"/>
      <c r="G88" s="62"/>
      <c r="H88" s="62"/>
      <c r="I88" s="940"/>
      <c r="J88" s="87"/>
    </row>
    <row r="89" spans="1:10" ht="12" customHeight="1">
      <c r="A89" s="939">
        <v>1180</v>
      </c>
      <c r="B89" s="78" t="s">
        <v>305</v>
      </c>
      <c r="C89" s="160">
        <f t="shared" ref="C89:H89" si="23">SUM(C90:C92)</f>
        <v>0</v>
      </c>
      <c r="D89" s="160">
        <f t="shared" si="23"/>
        <v>0</v>
      </c>
      <c r="E89" s="160">
        <f t="shared" si="23"/>
        <v>0</v>
      </c>
      <c r="F89" s="62">
        <f t="shared" si="23"/>
        <v>0</v>
      </c>
      <c r="G89" s="62">
        <f t="shared" si="23"/>
        <v>0</v>
      </c>
      <c r="H89" s="62">
        <f t="shared" si="23"/>
        <v>0</v>
      </c>
      <c r="I89" s="940"/>
      <c r="J89" s="87"/>
    </row>
    <row r="90" spans="1:10" ht="12" customHeight="1">
      <c r="A90" s="948">
        <v>1182</v>
      </c>
      <c r="B90" s="67" t="s">
        <v>364</v>
      </c>
      <c r="C90" s="159"/>
      <c r="D90" s="159"/>
      <c r="E90" s="159"/>
      <c r="F90" s="58"/>
      <c r="G90" s="58"/>
      <c r="H90" s="58"/>
      <c r="I90" s="940"/>
      <c r="J90" s="87"/>
    </row>
    <row r="91" spans="1:10" ht="12" customHeight="1">
      <c r="A91" s="948">
        <v>1183</v>
      </c>
      <c r="B91" s="67" t="s">
        <v>385</v>
      </c>
      <c r="C91" s="159"/>
      <c r="D91" s="159"/>
      <c r="E91" s="159"/>
      <c r="F91" s="58"/>
      <c r="G91" s="58"/>
      <c r="H91" s="58"/>
      <c r="I91" s="940"/>
      <c r="J91" s="87"/>
    </row>
    <row r="92" spans="1:10" ht="12" customHeight="1">
      <c r="A92" s="948">
        <v>1186</v>
      </c>
      <c r="B92" s="67" t="s">
        <v>932</v>
      </c>
      <c r="C92" s="170"/>
      <c r="D92" s="170"/>
      <c r="E92" s="170"/>
      <c r="F92" s="486"/>
      <c r="G92" s="486"/>
      <c r="H92" s="486"/>
      <c r="I92" s="940"/>
      <c r="J92" s="87"/>
    </row>
    <row r="93" spans="1:10" ht="12" customHeight="1">
      <c r="A93" s="945">
        <v>1187</v>
      </c>
      <c r="B93" s="72" t="s">
        <v>927</v>
      </c>
      <c r="C93" s="250"/>
      <c r="D93" s="250"/>
      <c r="E93" s="250"/>
      <c r="F93" s="484"/>
      <c r="G93" s="484"/>
      <c r="H93" s="484"/>
      <c r="I93" s="940"/>
      <c r="J93" s="87"/>
    </row>
    <row r="94" spans="1:10" ht="12" customHeight="1" thickBot="1">
      <c r="A94" s="944">
        <v>1185</v>
      </c>
      <c r="B94" s="125" t="s">
        <v>346</v>
      </c>
      <c r="C94" s="247"/>
      <c r="D94" s="247"/>
      <c r="E94" s="247"/>
      <c r="F94" s="266"/>
      <c r="G94" s="266"/>
      <c r="H94" s="266"/>
      <c r="I94" s="943"/>
      <c r="J94" s="87"/>
    </row>
    <row r="95" spans="1:10" ht="15" customHeight="1" thickBot="1">
      <c r="A95" s="731"/>
      <c r="B95" s="93" t="s">
        <v>324</v>
      </c>
      <c r="C95" s="161">
        <f t="shared" ref="C95:H95" si="24">SUM(C88+C89+C86+C8+C745+C87)+C93+C94</f>
        <v>1500000</v>
      </c>
      <c r="D95" s="161">
        <f t="shared" si="24"/>
        <v>1500000</v>
      </c>
      <c r="E95" s="161">
        <f t="shared" si="24"/>
        <v>1500000</v>
      </c>
      <c r="F95" s="83">
        <f t="shared" si="24"/>
        <v>1500000</v>
      </c>
      <c r="G95" s="83">
        <f t="shared" si="24"/>
        <v>1500000</v>
      </c>
      <c r="H95" s="83">
        <f t="shared" si="24"/>
        <v>750000</v>
      </c>
      <c r="I95" s="732">
        <f>H95/G95</f>
        <v>0.5</v>
      </c>
      <c r="J95" s="87"/>
    </row>
    <row r="96" spans="1:10" ht="12" customHeight="1">
      <c r="A96" s="949"/>
      <c r="B96" s="71"/>
      <c r="C96" s="244"/>
      <c r="D96" s="244"/>
      <c r="E96" s="244"/>
      <c r="F96" s="485"/>
      <c r="G96" s="485"/>
      <c r="H96" s="485"/>
      <c r="I96" s="946"/>
      <c r="J96" s="87"/>
    </row>
    <row r="97" spans="1:10" ht="12" customHeight="1">
      <c r="A97" s="939">
        <v>1190</v>
      </c>
      <c r="B97" s="65" t="s">
        <v>182</v>
      </c>
      <c r="C97" s="160">
        <f t="shared" ref="C97:D97" si="25">SUM(C98+C99+C100)</f>
        <v>200000</v>
      </c>
      <c r="D97" s="160">
        <f t="shared" si="25"/>
        <v>200000</v>
      </c>
      <c r="E97" s="160">
        <f t="shared" ref="E97:F97" si="26">SUM(E98+E99+E100)</f>
        <v>629867</v>
      </c>
      <c r="F97" s="62">
        <f t="shared" si="26"/>
        <v>932407</v>
      </c>
      <c r="G97" s="62">
        <f t="shared" ref="G97:H97" si="27">SUM(G98+G99+G100)</f>
        <v>1013059</v>
      </c>
      <c r="H97" s="62">
        <f t="shared" si="27"/>
        <v>1110158</v>
      </c>
      <c r="I97" s="940">
        <f t="shared" ref="I97:I102" si="28">H97/G97</f>
        <v>1.0958473297211713</v>
      </c>
      <c r="J97" s="87"/>
    </row>
    <row r="98" spans="1:10" ht="12" customHeight="1">
      <c r="A98" s="948">
        <v>1191</v>
      </c>
      <c r="B98" s="59" t="s">
        <v>368</v>
      </c>
      <c r="C98" s="159"/>
      <c r="D98" s="159"/>
      <c r="E98" s="159"/>
      <c r="F98" s="58"/>
      <c r="G98" s="58">
        <v>27255</v>
      </c>
      <c r="H98" s="58">
        <v>39378</v>
      </c>
      <c r="I98" s="941">
        <f t="shared" si="28"/>
        <v>1.444799119427628</v>
      </c>
      <c r="J98" s="749"/>
    </row>
    <row r="99" spans="1:10" ht="12" customHeight="1">
      <c r="A99" s="948">
        <v>1194</v>
      </c>
      <c r="B99" s="59" t="s">
        <v>134</v>
      </c>
      <c r="C99" s="159"/>
      <c r="D99" s="159"/>
      <c r="E99" s="159">
        <v>429867</v>
      </c>
      <c r="F99" s="58">
        <f>429867+302540</f>
        <v>732407</v>
      </c>
      <c r="G99" s="58">
        <f>429867+302540+3995</f>
        <v>736402</v>
      </c>
      <c r="H99" s="58">
        <v>842765</v>
      </c>
      <c r="I99" s="941">
        <f t="shared" si="28"/>
        <v>1.1444360553067483</v>
      </c>
      <c r="J99" s="749"/>
    </row>
    <row r="100" spans="1:10" ht="12" customHeight="1" thickBot="1">
      <c r="A100" s="948">
        <v>1195</v>
      </c>
      <c r="B100" s="59" t="s">
        <v>223</v>
      </c>
      <c r="C100" s="170">
        <v>200000</v>
      </c>
      <c r="D100" s="170">
        <v>200000</v>
      </c>
      <c r="E100" s="170">
        <v>200000</v>
      </c>
      <c r="F100" s="486">
        <v>200000</v>
      </c>
      <c r="G100" s="486">
        <f>200000+49402</f>
        <v>249402</v>
      </c>
      <c r="H100" s="486">
        <v>228015</v>
      </c>
      <c r="I100" s="951">
        <f t="shared" si="28"/>
        <v>0.91424687853345199</v>
      </c>
      <c r="J100" s="749"/>
    </row>
    <row r="101" spans="1:10" ht="15.75" customHeight="1" thickBot="1">
      <c r="A101" s="731"/>
      <c r="B101" s="115" t="s">
        <v>183</v>
      </c>
      <c r="C101" s="248">
        <f t="shared" ref="C101:D101" si="29">SUM(C97)</f>
        <v>200000</v>
      </c>
      <c r="D101" s="248">
        <f t="shared" si="29"/>
        <v>200000</v>
      </c>
      <c r="E101" s="248">
        <f t="shared" ref="E101:F101" si="30">SUM(E97)</f>
        <v>629867</v>
      </c>
      <c r="F101" s="77">
        <f t="shared" si="30"/>
        <v>932407</v>
      </c>
      <c r="G101" s="77">
        <f t="shared" ref="G101:H101" si="31">SUM(G97)</f>
        <v>1013059</v>
      </c>
      <c r="H101" s="77">
        <f t="shared" si="31"/>
        <v>1110158</v>
      </c>
      <c r="I101" s="732">
        <f t="shared" si="28"/>
        <v>1.0958473297211713</v>
      </c>
      <c r="J101" s="87"/>
    </row>
    <row r="102" spans="1:10" ht="12" customHeight="1">
      <c r="A102" s="939">
        <v>1200</v>
      </c>
      <c r="B102" s="72" t="s">
        <v>347</v>
      </c>
      <c r="C102" s="249">
        <f t="shared" ref="C102:H102" si="32">SUM(C103:C104)</f>
        <v>15000</v>
      </c>
      <c r="D102" s="249">
        <f t="shared" si="32"/>
        <v>15000</v>
      </c>
      <c r="E102" s="249">
        <f t="shared" si="32"/>
        <v>15000</v>
      </c>
      <c r="F102" s="64">
        <f t="shared" si="32"/>
        <v>15000</v>
      </c>
      <c r="G102" s="64">
        <f t="shared" si="32"/>
        <v>16439</v>
      </c>
      <c r="H102" s="64">
        <f t="shared" si="32"/>
        <v>16439</v>
      </c>
      <c r="I102" s="946">
        <f t="shared" si="28"/>
        <v>1</v>
      </c>
      <c r="J102" s="87"/>
    </row>
    <row r="103" spans="1:10" ht="12" customHeight="1">
      <c r="A103" s="948">
        <v>1201</v>
      </c>
      <c r="B103" s="59" t="s">
        <v>246</v>
      </c>
      <c r="C103" s="244"/>
      <c r="D103" s="244"/>
      <c r="E103" s="244"/>
      <c r="F103" s="485"/>
      <c r="G103" s="485"/>
      <c r="H103" s="485"/>
      <c r="I103" s="940"/>
      <c r="J103" s="87"/>
    </row>
    <row r="104" spans="1:10" ht="12" customHeight="1">
      <c r="A104" s="948">
        <v>1202</v>
      </c>
      <c r="B104" s="59" t="s">
        <v>247</v>
      </c>
      <c r="C104" s="159">
        <v>15000</v>
      </c>
      <c r="D104" s="159">
        <v>15000</v>
      </c>
      <c r="E104" s="159">
        <v>15000</v>
      </c>
      <c r="F104" s="58">
        <v>15000</v>
      </c>
      <c r="G104" s="58">
        <f>15000+1439</f>
        <v>16439</v>
      </c>
      <c r="H104" s="58">
        <v>16439</v>
      </c>
      <c r="I104" s="941">
        <f>H104/G104</f>
        <v>1</v>
      </c>
      <c r="J104" s="749"/>
    </row>
    <row r="105" spans="1:10" ht="12" customHeight="1">
      <c r="A105" s="939">
        <v>1209</v>
      </c>
      <c r="B105" s="72" t="s">
        <v>896</v>
      </c>
      <c r="C105" s="160"/>
      <c r="D105" s="160"/>
      <c r="E105" s="172">
        <v>9899</v>
      </c>
      <c r="F105" s="69">
        <v>9899</v>
      </c>
      <c r="G105" s="69">
        <v>9899</v>
      </c>
      <c r="H105" s="69">
        <v>0</v>
      </c>
      <c r="I105" s="941">
        <f>H105/G105</f>
        <v>0</v>
      </c>
      <c r="J105" s="87"/>
    </row>
    <row r="106" spans="1:10" ht="12" customHeight="1">
      <c r="A106" s="939">
        <v>1210</v>
      </c>
      <c r="B106" s="72" t="s">
        <v>185</v>
      </c>
      <c r="C106" s="172"/>
      <c r="D106" s="172">
        <v>10000</v>
      </c>
      <c r="E106" s="172">
        <f>10000+400000</f>
        <v>410000</v>
      </c>
      <c r="F106" s="69">
        <f>10000+400000</f>
        <v>410000</v>
      </c>
      <c r="G106" s="69">
        <f>10000+400000+156</f>
        <v>410156</v>
      </c>
      <c r="H106" s="69">
        <v>410156</v>
      </c>
      <c r="I106" s="940">
        <f>H106/G106</f>
        <v>1</v>
      </c>
      <c r="J106" s="749"/>
    </row>
    <row r="107" spans="1:10" ht="12" customHeight="1" thickBot="1">
      <c r="A107" s="939">
        <v>1211</v>
      </c>
      <c r="B107" s="72" t="s">
        <v>288</v>
      </c>
      <c r="C107" s="250"/>
      <c r="D107" s="250"/>
      <c r="E107" s="250"/>
      <c r="F107" s="484"/>
      <c r="G107" s="484"/>
      <c r="H107" s="484"/>
      <c r="I107" s="943"/>
      <c r="J107" s="749"/>
    </row>
    <row r="108" spans="1:10" ht="15.75" customHeight="1" thickBot="1">
      <c r="A108" s="731"/>
      <c r="B108" s="93" t="s">
        <v>186</v>
      </c>
      <c r="C108" s="248">
        <f t="shared" ref="C108:H108" si="33">SUM(C102+C106+C107+C105)</f>
        <v>15000</v>
      </c>
      <c r="D108" s="248">
        <f t="shared" si="33"/>
        <v>25000</v>
      </c>
      <c r="E108" s="248">
        <f t="shared" si="33"/>
        <v>434899</v>
      </c>
      <c r="F108" s="77">
        <f t="shared" si="33"/>
        <v>434899</v>
      </c>
      <c r="G108" s="77">
        <f t="shared" si="33"/>
        <v>436494</v>
      </c>
      <c r="H108" s="77">
        <f t="shared" si="33"/>
        <v>426595</v>
      </c>
      <c r="I108" s="732">
        <f>H108/G108</f>
        <v>0.97732156684857063</v>
      </c>
      <c r="J108" s="87"/>
    </row>
    <row r="109" spans="1:10" ht="12" customHeight="1" thickBot="1">
      <c r="A109" s="731"/>
      <c r="B109" s="76"/>
      <c r="C109" s="199"/>
      <c r="D109" s="246"/>
      <c r="E109" s="246"/>
      <c r="F109" s="362"/>
      <c r="G109" s="362"/>
      <c r="H109" s="362"/>
      <c r="I109" s="732"/>
      <c r="J109" s="87"/>
    </row>
    <row r="110" spans="1:10" ht="24" customHeight="1" thickBot="1">
      <c r="A110" s="731"/>
      <c r="B110" s="112" t="s">
        <v>45</v>
      </c>
      <c r="C110" s="251">
        <f t="shared" ref="C110:H110" si="34">SUM(C95+C101+C108)</f>
        <v>1715000</v>
      </c>
      <c r="D110" s="251">
        <f t="shared" si="34"/>
        <v>1725000</v>
      </c>
      <c r="E110" s="251">
        <f t="shared" si="34"/>
        <v>2564766</v>
      </c>
      <c r="F110" s="363">
        <f t="shared" si="34"/>
        <v>2867306</v>
      </c>
      <c r="G110" s="363">
        <f t="shared" si="34"/>
        <v>2949553</v>
      </c>
      <c r="H110" s="363">
        <f t="shared" si="34"/>
        <v>2286753</v>
      </c>
      <c r="I110" s="732">
        <f>H110/G110</f>
        <v>0.77528798431491142</v>
      </c>
      <c r="J110" s="87"/>
    </row>
    <row r="111" spans="1:10" ht="12.75" customHeight="1">
      <c r="A111" s="956"/>
      <c r="B111" s="110"/>
      <c r="C111" s="244"/>
      <c r="D111" s="244"/>
      <c r="E111" s="244"/>
      <c r="F111" s="485"/>
      <c r="G111" s="485"/>
      <c r="H111" s="485"/>
      <c r="I111" s="946"/>
      <c r="J111" s="87"/>
    </row>
    <row r="112" spans="1:10" ht="12" customHeight="1">
      <c r="A112" s="948">
        <v>1215</v>
      </c>
      <c r="B112" s="67" t="s">
        <v>327</v>
      </c>
      <c r="C112" s="159">
        <v>138592</v>
      </c>
      <c r="D112" s="159">
        <f>138592+719929+799390</f>
        <v>1657911</v>
      </c>
      <c r="E112" s="159">
        <f>138592+719929+799390</f>
        <v>1657911</v>
      </c>
      <c r="F112" s="58">
        <f>138592+719929+799390</f>
        <v>1657911</v>
      </c>
      <c r="G112" s="58">
        <f>138592+719929+799390</f>
        <v>1657911</v>
      </c>
      <c r="H112" s="58">
        <v>1657911</v>
      </c>
      <c r="I112" s="941">
        <f>H112/G112</f>
        <v>1</v>
      </c>
      <c r="J112" s="87"/>
    </row>
    <row r="113" spans="1:10" ht="12" customHeight="1">
      <c r="A113" s="948">
        <v>1216</v>
      </c>
      <c r="B113" s="67" t="s">
        <v>313</v>
      </c>
      <c r="C113" s="159"/>
      <c r="D113" s="159"/>
      <c r="E113" s="159"/>
      <c r="F113" s="58"/>
      <c r="G113" s="58"/>
      <c r="H113" s="58">
        <v>28683814</v>
      </c>
      <c r="I113" s="941"/>
      <c r="J113" s="87"/>
    </row>
    <row r="114" spans="1:10" ht="12" customHeight="1">
      <c r="A114" s="948">
        <v>1218</v>
      </c>
      <c r="B114" s="67" t="s">
        <v>411</v>
      </c>
      <c r="C114" s="159"/>
      <c r="D114" s="159">
        <v>255701</v>
      </c>
      <c r="E114" s="159">
        <f>255701+1135230</f>
        <v>1390931</v>
      </c>
      <c r="F114" s="58">
        <f>255701+1135230+447339</f>
        <v>1838270</v>
      </c>
      <c r="G114" s="58">
        <f>255701+1135230+447339+171460+107465</f>
        <v>2117195</v>
      </c>
      <c r="H114" s="58">
        <v>2117193</v>
      </c>
      <c r="I114" s="941">
        <f>H114/G114</f>
        <v>0.99999905535389988</v>
      </c>
      <c r="J114" s="749"/>
    </row>
    <row r="115" spans="1:10" ht="12" customHeight="1" thickBot="1">
      <c r="A115" s="957">
        <v>1219</v>
      </c>
      <c r="B115" s="79" t="s">
        <v>1096</v>
      </c>
      <c r="C115" s="170"/>
      <c r="D115" s="170"/>
      <c r="E115" s="170"/>
      <c r="F115" s="486"/>
      <c r="G115" s="486">
        <v>15500000</v>
      </c>
      <c r="H115" s="486">
        <v>4000000</v>
      </c>
      <c r="I115" s="941">
        <f>H115/G115</f>
        <v>0.25806451612903225</v>
      </c>
      <c r="J115" s="749"/>
    </row>
    <row r="116" spans="1:10" ht="21.75" customHeight="1" thickBot="1">
      <c r="A116" s="731"/>
      <c r="B116" s="93" t="s">
        <v>27</v>
      </c>
      <c r="C116" s="248">
        <f>SUM(C112:C114)</f>
        <v>138592</v>
      </c>
      <c r="D116" s="248">
        <f>SUM(D112:D114)</f>
        <v>1913612</v>
      </c>
      <c r="E116" s="248">
        <f>SUM(E112:E114)</f>
        <v>3048842</v>
      </c>
      <c r="F116" s="77">
        <f>SUM(F112:F114)</f>
        <v>3496181</v>
      </c>
      <c r="G116" s="77">
        <f>SUM(G112:G115)</f>
        <v>19275106</v>
      </c>
      <c r="H116" s="77">
        <f>SUM(H112:H115)</f>
        <v>36458918</v>
      </c>
      <c r="I116" s="732">
        <f>H116/G116</f>
        <v>1.8915028534732832</v>
      </c>
      <c r="J116" s="87"/>
    </row>
    <row r="117" spans="1:10" ht="12" customHeight="1">
      <c r="A117" s="956"/>
      <c r="B117" s="95"/>
      <c r="C117" s="244"/>
      <c r="D117" s="244"/>
      <c r="E117" s="244"/>
      <c r="F117" s="485"/>
      <c r="G117" s="485"/>
      <c r="H117" s="485"/>
      <c r="I117" s="946"/>
      <c r="J117" s="87"/>
    </row>
    <row r="118" spans="1:10" ht="12" customHeight="1" thickBot="1">
      <c r="A118" s="948">
        <v>1221</v>
      </c>
      <c r="B118" s="75" t="s">
        <v>327</v>
      </c>
      <c r="C118" s="74">
        <v>5535272</v>
      </c>
      <c r="D118" s="74">
        <f>5535272+361565+1718404</f>
        <v>7615241</v>
      </c>
      <c r="E118" s="74">
        <f>5535272+361565+1718404</f>
        <v>7615241</v>
      </c>
      <c r="F118" s="74">
        <f>5535272+361565+1718404</f>
        <v>7615241</v>
      </c>
      <c r="G118" s="74">
        <f>5535272+361565+1718404</f>
        <v>7615241</v>
      </c>
      <c r="H118" s="74">
        <v>7615241</v>
      </c>
      <c r="I118" s="951">
        <f>H118/G118</f>
        <v>1</v>
      </c>
      <c r="J118" s="87"/>
    </row>
    <row r="119" spans="1:10" ht="18" customHeight="1" thickBot="1">
      <c r="A119" s="731"/>
      <c r="B119" s="361" t="s">
        <v>187</v>
      </c>
      <c r="C119" s="83">
        <f t="shared" ref="C119:G119" si="35">SUM(C118)</f>
        <v>5535272</v>
      </c>
      <c r="D119" s="83">
        <f t="shared" si="35"/>
        <v>7615241</v>
      </c>
      <c r="E119" s="83">
        <f t="shared" si="35"/>
        <v>7615241</v>
      </c>
      <c r="F119" s="83">
        <f t="shared" si="35"/>
        <v>7615241</v>
      </c>
      <c r="G119" s="83">
        <f t="shared" si="35"/>
        <v>7615241</v>
      </c>
      <c r="H119" s="83">
        <f>SUM(H118)</f>
        <v>7615241</v>
      </c>
      <c r="I119" s="732">
        <f>H119/G119</f>
        <v>1</v>
      </c>
      <c r="J119" s="87"/>
    </row>
    <row r="120" spans="1:10" ht="12" customHeight="1" thickBot="1">
      <c r="A120" s="731"/>
      <c r="B120" s="88"/>
      <c r="C120" s="362"/>
      <c r="D120" s="362"/>
      <c r="E120" s="362"/>
      <c r="F120" s="362"/>
      <c r="G120" s="362"/>
      <c r="H120" s="362"/>
      <c r="I120" s="732"/>
      <c r="J120" s="87"/>
    </row>
    <row r="121" spans="1:10" ht="16.5" customHeight="1" thickBot="1">
      <c r="A121" s="731"/>
      <c r="B121" s="111" t="s">
        <v>268</v>
      </c>
      <c r="C121" s="363">
        <f t="shared" ref="C121:H121" si="36">SUM(C119+C110+C84+C116)</f>
        <v>33017593</v>
      </c>
      <c r="D121" s="391">
        <f t="shared" si="36"/>
        <v>41703011</v>
      </c>
      <c r="E121" s="391">
        <f t="shared" si="36"/>
        <v>43824390</v>
      </c>
      <c r="F121" s="391">
        <f t="shared" si="36"/>
        <v>44686578</v>
      </c>
      <c r="G121" s="391">
        <f t="shared" si="36"/>
        <v>62028494</v>
      </c>
      <c r="H121" s="391">
        <f t="shared" si="36"/>
        <v>78669459</v>
      </c>
      <c r="I121" s="732">
        <f>H121/G121</f>
        <v>1.2682793652865407</v>
      </c>
      <c r="J121" s="87"/>
    </row>
    <row r="122" spans="1:10" ht="12" customHeight="1">
      <c r="A122" s="956"/>
      <c r="B122" s="88"/>
      <c r="C122" s="66"/>
      <c r="D122" s="66"/>
      <c r="E122" s="66"/>
      <c r="F122" s="66"/>
      <c r="G122" s="66"/>
      <c r="H122" s="66"/>
      <c r="I122" s="946"/>
      <c r="J122" s="87"/>
    </row>
    <row r="123" spans="1:10" ht="15.75" customHeight="1">
      <c r="A123" s="939"/>
      <c r="B123" s="364" t="s">
        <v>237</v>
      </c>
      <c r="C123" s="59"/>
      <c r="D123" s="59"/>
      <c r="E123" s="59"/>
      <c r="F123" s="59"/>
      <c r="G123" s="59"/>
      <c r="H123" s="59"/>
      <c r="I123" s="940"/>
      <c r="J123" s="87"/>
    </row>
    <row r="124" spans="1:10" ht="12" customHeight="1">
      <c r="A124" s="939"/>
      <c r="B124" s="113"/>
      <c r="C124" s="254"/>
      <c r="D124" s="254"/>
      <c r="E124" s="254"/>
      <c r="F124" s="449"/>
      <c r="G124" s="449"/>
      <c r="H124" s="449"/>
      <c r="I124" s="940"/>
      <c r="J124" s="87"/>
    </row>
    <row r="125" spans="1:10" ht="12" customHeight="1">
      <c r="A125" s="948">
        <v>1230</v>
      </c>
      <c r="B125" s="67" t="s">
        <v>158</v>
      </c>
      <c r="C125" s="253"/>
      <c r="D125" s="253"/>
      <c r="E125" s="253"/>
      <c r="F125" s="59"/>
      <c r="G125" s="59"/>
      <c r="H125" s="59"/>
      <c r="I125" s="941"/>
      <c r="J125" s="87"/>
    </row>
    <row r="126" spans="1:10" ht="12" customHeight="1" thickBot="1">
      <c r="A126" s="955">
        <v>1231</v>
      </c>
      <c r="B126" s="75" t="s">
        <v>317</v>
      </c>
      <c r="C126" s="200"/>
      <c r="D126" s="200"/>
      <c r="E126" s="200"/>
      <c r="F126" s="489"/>
      <c r="G126" s="489">
        <v>999</v>
      </c>
      <c r="H126" s="489">
        <v>999</v>
      </c>
      <c r="I126" s="941">
        <f t="shared" ref="I126" si="37">H126/G126</f>
        <v>1</v>
      </c>
      <c r="J126" s="749"/>
    </row>
    <row r="127" spans="1:10" ht="12" customHeight="1" thickBot="1">
      <c r="A127" s="731"/>
      <c r="B127" s="76" t="s">
        <v>325</v>
      </c>
      <c r="C127" s="248">
        <f t="shared" ref="C127:H127" si="38">SUM(C126)</f>
        <v>0</v>
      </c>
      <c r="D127" s="248">
        <f t="shared" si="38"/>
        <v>0</v>
      </c>
      <c r="E127" s="248">
        <f t="shared" si="38"/>
        <v>0</v>
      </c>
      <c r="F127" s="77">
        <f t="shared" si="38"/>
        <v>0</v>
      </c>
      <c r="G127" s="77">
        <f t="shared" si="38"/>
        <v>999</v>
      </c>
      <c r="H127" s="77">
        <f t="shared" si="38"/>
        <v>999</v>
      </c>
      <c r="I127" s="732">
        <f>H127/G127</f>
        <v>1</v>
      </c>
      <c r="J127" s="87"/>
    </row>
    <row r="128" spans="1:10" ht="12" customHeight="1">
      <c r="A128" s="939"/>
      <c r="B128" s="149" t="s">
        <v>135</v>
      </c>
      <c r="C128" s="249"/>
      <c r="D128" s="249"/>
      <c r="E128" s="249"/>
      <c r="F128" s="64"/>
      <c r="G128" s="64"/>
      <c r="H128" s="64"/>
      <c r="I128" s="946"/>
      <c r="J128" s="87"/>
    </row>
    <row r="129" spans="1:10" ht="12" customHeight="1">
      <c r="A129" s="948">
        <v>1205</v>
      </c>
      <c r="B129" s="97" t="s">
        <v>8</v>
      </c>
      <c r="C129" s="172">
        <v>1500</v>
      </c>
      <c r="D129" s="172">
        <v>1500</v>
      </c>
      <c r="E129" s="172">
        <v>1500</v>
      </c>
      <c r="F129" s="69">
        <v>1500</v>
      </c>
      <c r="G129" s="69">
        <f>1500+1714</f>
        <v>3214</v>
      </c>
      <c r="H129" s="69">
        <v>3346</v>
      </c>
      <c r="I129" s="941">
        <f t="shared" ref="I129:I135" si="39">H129/G129</f>
        <v>1.0410703173615432</v>
      </c>
      <c r="J129" s="749"/>
    </row>
    <row r="130" spans="1:10" ht="14.25" customHeight="1" thickBot="1">
      <c r="A130" s="959">
        <v>1206</v>
      </c>
      <c r="B130" s="124" t="s">
        <v>388</v>
      </c>
      <c r="C130" s="171">
        <v>40000</v>
      </c>
      <c r="D130" s="171">
        <v>40000</v>
      </c>
      <c r="E130" s="171">
        <v>40000</v>
      </c>
      <c r="F130" s="82">
        <v>40000</v>
      </c>
      <c r="G130" s="82">
        <f>40000-13735</f>
        <v>26265</v>
      </c>
      <c r="H130" s="82">
        <v>26299</v>
      </c>
      <c r="I130" s="951">
        <f t="shared" si="39"/>
        <v>1.001294498381877</v>
      </c>
      <c r="J130" s="749"/>
    </row>
    <row r="131" spans="1:10" ht="17.25" customHeight="1" thickBot="1">
      <c r="A131" s="959"/>
      <c r="B131" s="150" t="s">
        <v>167</v>
      </c>
      <c r="C131" s="255">
        <f t="shared" ref="C131:H131" si="40">SUM(C129:C130)</f>
        <v>41500</v>
      </c>
      <c r="D131" s="255">
        <f t="shared" si="40"/>
        <v>41500</v>
      </c>
      <c r="E131" s="255">
        <f t="shared" si="40"/>
        <v>41500</v>
      </c>
      <c r="F131" s="490">
        <f t="shared" si="40"/>
        <v>41500</v>
      </c>
      <c r="G131" s="490">
        <f t="shared" si="40"/>
        <v>29479</v>
      </c>
      <c r="H131" s="490">
        <f t="shared" si="40"/>
        <v>29645</v>
      </c>
      <c r="I131" s="960">
        <f t="shared" si="39"/>
        <v>1.0056311272431222</v>
      </c>
      <c r="J131" s="87"/>
    </row>
    <row r="132" spans="1:10" ht="12" customHeight="1">
      <c r="A132" s="949">
        <v>1240</v>
      </c>
      <c r="B132" s="107" t="s">
        <v>168</v>
      </c>
      <c r="C132" s="249">
        <f t="shared" ref="C132:D132" si="41">C133+C134</f>
        <v>10000</v>
      </c>
      <c r="D132" s="249">
        <f t="shared" si="41"/>
        <v>10000</v>
      </c>
      <c r="E132" s="249">
        <f t="shared" ref="E132:F132" si="42">E133+E134</f>
        <v>10000</v>
      </c>
      <c r="F132" s="64">
        <f t="shared" si="42"/>
        <v>10000</v>
      </c>
      <c r="G132" s="64">
        <f>G133+G134</f>
        <v>10229</v>
      </c>
      <c r="H132" s="64">
        <f>H133+H134</f>
        <v>10229</v>
      </c>
      <c r="I132" s="946">
        <f t="shared" si="39"/>
        <v>1</v>
      </c>
      <c r="J132" s="87"/>
    </row>
    <row r="133" spans="1:10" ht="12" customHeight="1">
      <c r="A133" s="948">
        <v>1241</v>
      </c>
      <c r="B133" s="67" t="s">
        <v>66</v>
      </c>
      <c r="C133" s="244">
        <v>10000</v>
      </c>
      <c r="D133" s="244">
        <v>10000</v>
      </c>
      <c r="E133" s="244">
        <v>10000</v>
      </c>
      <c r="F133" s="485">
        <v>10000</v>
      </c>
      <c r="G133" s="485">
        <f>10000+52</f>
        <v>10052</v>
      </c>
      <c r="H133" s="485">
        <v>10052</v>
      </c>
      <c r="I133" s="941">
        <f t="shared" si="39"/>
        <v>1</v>
      </c>
      <c r="J133" s="749"/>
    </row>
    <row r="134" spans="1:10" ht="12" customHeight="1">
      <c r="A134" s="948">
        <v>1242</v>
      </c>
      <c r="B134" s="67" t="s">
        <v>67</v>
      </c>
      <c r="C134" s="159"/>
      <c r="D134" s="159"/>
      <c r="E134" s="159"/>
      <c r="F134" s="58"/>
      <c r="G134" s="58">
        <v>177</v>
      </c>
      <c r="H134" s="58">
        <v>177</v>
      </c>
      <c r="I134" s="941">
        <f t="shared" si="39"/>
        <v>1</v>
      </c>
      <c r="J134" s="749"/>
    </row>
    <row r="135" spans="1:10" ht="12" customHeight="1">
      <c r="A135" s="948">
        <v>1250</v>
      </c>
      <c r="B135" s="97" t="s">
        <v>169</v>
      </c>
      <c r="C135" s="159">
        <v>25000</v>
      </c>
      <c r="D135" s="159">
        <v>25000</v>
      </c>
      <c r="E135" s="159">
        <v>25000</v>
      </c>
      <c r="F135" s="58">
        <v>25000</v>
      </c>
      <c r="G135" s="58">
        <f>25000+11635</f>
        <v>36635</v>
      </c>
      <c r="H135" s="58">
        <v>36635</v>
      </c>
      <c r="I135" s="941">
        <f t="shared" si="39"/>
        <v>1</v>
      </c>
      <c r="J135" s="749"/>
    </row>
    <row r="136" spans="1:10" ht="12" customHeight="1">
      <c r="A136" s="948">
        <v>1255</v>
      </c>
      <c r="B136" s="67" t="s">
        <v>172</v>
      </c>
      <c r="C136" s="159"/>
      <c r="D136" s="159"/>
      <c r="E136" s="159"/>
      <c r="F136" s="58"/>
      <c r="G136" s="58"/>
      <c r="H136" s="58"/>
      <c r="I136" s="941"/>
      <c r="J136" s="87"/>
    </row>
    <row r="137" spans="1:10" ht="12" customHeight="1">
      <c r="A137" s="948">
        <v>1260</v>
      </c>
      <c r="B137" s="67" t="s">
        <v>173</v>
      </c>
      <c r="C137" s="159">
        <v>9450</v>
      </c>
      <c r="D137" s="159">
        <v>9450</v>
      </c>
      <c r="E137" s="159">
        <v>9450</v>
      </c>
      <c r="F137" s="58">
        <v>9450</v>
      </c>
      <c r="G137" s="58">
        <f>9450+2104</f>
        <v>11554</v>
      </c>
      <c r="H137" s="58">
        <v>11554</v>
      </c>
      <c r="I137" s="941">
        <f>H137/G137</f>
        <v>1</v>
      </c>
      <c r="J137" s="749"/>
    </row>
    <row r="138" spans="1:10" ht="12" customHeight="1">
      <c r="A138" s="948">
        <v>1261</v>
      </c>
      <c r="B138" s="71" t="s">
        <v>174</v>
      </c>
      <c r="C138" s="159"/>
      <c r="D138" s="159"/>
      <c r="E138" s="159"/>
      <c r="F138" s="58"/>
      <c r="G138" s="58"/>
      <c r="H138" s="58"/>
      <c r="I138" s="941"/>
      <c r="J138" s="87"/>
    </row>
    <row r="139" spans="1:10" ht="12" customHeight="1">
      <c r="A139" s="948">
        <v>1262</v>
      </c>
      <c r="B139" s="66" t="s">
        <v>343</v>
      </c>
      <c r="C139" s="159"/>
      <c r="D139" s="159"/>
      <c r="E139" s="159"/>
      <c r="F139" s="58"/>
      <c r="G139" s="58">
        <v>16</v>
      </c>
      <c r="H139" s="58">
        <v>16</v>
      </c>
      <c r="I139" s="941">
        <f>H139/G139</f>
        <v>1</v>
      </c>
      <c r="J139" s="749"/>
    </row>
    <row r="140" spans="1:10" ht="12" customHeight="1">
      <c r="A140" s="957">
        <v>1263</v>
      </c>
      <c r="B140" s="449" t="s">
        <v>1067</v>
      </c>
      <c r="C140" s="170"/>
      <c r="D140" s="170"/>
      <c r="E140" s="170"/>
      <c r="F140" s="486"/>
      <c r="G140" s="486"/>
      <c r="H140" s="486"/>
      <c r="I140" s="961"/>
      <c r="J140" s="87"/>
    </row>
    <row r="141" spans="1:10" ht="12" customHeight="1" thickBot="1">
      <c r="A141" s="955">
        <v>1270</v>
      </c>
      <c r="B141" s="75" t="s">
        <v>175</v>
      </c>
      <c r="C141" s="200">
        <v>3000</v>
      </c>
      <c r="D141" s="200">
        <v>3000</v>
      </c>
      <c r="E141" s="200">
        <v>3000</v>
      </c>
      <c r="F141" s="489">
        <v>3000</v>
      </c>
      <c r="G141" s="489">
        <f>3000+1-2547</f>
        <v>454</v>
      </c>
      <c r="H141" s="489">
        <v>454</v>
      </c>
      <c r="I141" s="951">
        <f>H141/G141</f>
        <v>1</v>
      </c>
      <c r="J141" s="749"/>
    </row>
    <row r="142" spans="1:10" ht="16.5" customHeight="1" thickBot="1">
      <c r="A142" s="944"/>
      <c r="B142" s="93" t="s">
        <v>270</v>
      </c>
      <c r="C142" s="256">
        <f>SUM(C132+C135+C137+C139+C136+C141)+C138+C140</f>
        <v>47450</v>
      </c>
      <c r="D142" s="256">
        <f t="shared" ref="D142" si="43">SUM(D132+D135+D137+D139+D136+D141)+D138+D140</f>
        <v>47450</v>
      </c>
      <c r="E142" s="256">
        <f>SUM(E132+E135+E137+E139+E136+E141)+E138+E140</f>
        <v>47450</v>
      </c>
      <c r="F142" s="391">
        <f>SUM(F132+F135+F137+F139+F136+F141)+F138+F140</f>
        <v>47450</v>
      </c>
      <c r="G142" s="391">
        <f>SUM(G132+G135+G137+G139+G136+G141)+G138+G140</f>
        <v>58888</v>
      </c>
      <c r="H142" s="391">
        <f>SUM(H132+H135+H137+H139+H136+H141)+H138+H140</f>
        <v>58888</v>
      </c>
      <c r="I142" s="732">
        <f>H142/G142</f>
        <v>1</v>
      </c>
      <c r="J142" s="87"/>
    </row>
    <row r="143" spans="1:10" ht="12" customHeight="1">
      <c r="A143" s="956"/>
      <c r="B143" s="65"/>
      <c r="C143" s="252"/>
      <c r="D143" s="252"/>
      <c r="E143" s="252"/>
      <c r="F143" s="66"/>
      <c r="G143" s="66"/>
      <c r="H143" s="66"/>
      <c r="I143" s="946"/>
      <c r="J143" s="87"/>
    </row>
    <row r="144" spans="1:10" ht="12" customHeight="1" thickBot="1">
      <c r="A144" s="959">
        <v>1280</v>
      </c>
      <c r="B144" s="86" t="s">
        <v>176</v>
      </c>
      <c r="C144" s="257"/>
      <c r="D144" s="257"/>
      <c r="E144" s="257"/>
      <c r="F144" s="491"/>
      <c r="G144" s="491"/>
      <c r="H144" s="491"/>
      <c r="I144" s="943"/>
      <c r="J144" s="87"/>
    </row>
    <row r="145" spans="1:10" ht="15.75" customHeight="1" thickBot="1">
      <c r="A145" s="731"/>
      <c r="B145" s="106" t="s">
        <v>177</v>
      </c>
      <c r="C145" s="258"/>
      <c r="D145" s="258"/>
      <c r="E145" s="258"/>
      <c r="F145" s="492"/>
      <c r="G145" s="492"/>
      <c r="H145" s="492"/>
      <c r="I145" s="732"/>
      <c r="J145" s="87"/>
    </row>
    <row r="146" spans="1:10" ht="15.75" customHeight="1" thickBot="1">
      <c r="A146" s="731"/>
      <c r="B146" s="102"/>
      <c r="C146" s="258"/>
      <c r="D146" s="258"/>
      <c r="E146" s="258"/>
      <c r="F146" s="492"/>
      <c r="G146" s="492"/>
      <c r="H146" s="492"/>
      <c r="I146" s="732"/>
      <c r="J146" s="87"/>
    </row>
    <row r="147" spans="1:10" ht="15.75" customHeight="1" thickBot="1">
      <c r="A147" s="731"/>
      <c r="B147" s="109" t="s">
        <v>44</v>
      </c>
      <c r="C147" s="259">
        <f t="shared" ref="C147:H147" si="44">SUM(C142+C145+C127+C131)</f>
        <v>88950</v>
      </c>
      <c r="D147" s="259">
        <f t="shared" si="44"/>
        <v>88950</v>
      </c>
      <c r="E147" s="259">
        <f t="shared" si="44"/>
        <v>88950</v>
      </c>
      <c r="F147" s="493">
        <f t="shared" si="44"/>
        <v>88950</v>
      </c>
      <c r="G147" s="493">
        <f t="shared" si="44"/>
        <v>89366</v>
      </c>
      <c r="H147" s="493">
        <f t="shared" si="44"/>
        <v>89532</v>
      </c>
      <c r="I147" s="732">
        <f>H147/G147</f>
        <v>1.0018575297092853</v>
      </c>
      <c r="J147" s="87"/>
    </row>
    <row r="148" spans="1:10" ht="13.5" customHeight="1">
      <c r="A148" s="949"/>
      <c r="B148" s="102"/>
      <c r="C148" s="252"/>
      <c r="D148" s="252"/>
      <c r="E148" s="252"/>
      <c r="F148" s="66"/>
      <c r="G148" s="66"/>
      <c r="H148" s="66"/>
      <c r="I148" s="946"/>
      <c r="J148" s="87"/>
    </row>
    <row r="149" spans="1:10" ht="12" customHeight="1">
      <c r="A149" s="948">
        <v>1285</v>
      </c>
      <c r="B149" s="67" t="s">
        <v>178</v>
      </c>
      <c r="C149" s="253"/>
      <c r="D149" s="253"/>
      <c r="E149" s="253"/>
      <c r="F149" s="59"/>
      <c r="G149" s="59"/>
      <c r="H149" s="59"/>
      <c r="I149" s="940"/>
      <c r="J149" s="87"/>
    </row>
    <row r="150" spans="1:10" ht="12" customHeight="1" thickBot="1">
      <c r="A150" s="948">
        <v>1286</v>
      </c>
      <c r="B150" s="67" t="s">
        <v>346</v>
      </c>
      <c r="C150" s="257"/>
      <c r="D150" s="257"/>
      <c r="E150" s="257"/>
      <c r="F150" s="491"/>
      <c r="G150" s="491"/>
      <c r="H150" s="491"/>
      <c r="I150" s="943"/>
      <c r="J150" s="87"/>
    </row>
    <row r="151" spans="1:10" ht="16.5" customHeight="1" thickBot="1">
      <c r="A151" s="731"/>
      <c r="B151" s="93" t="s">
        <v>324</v>
      </c>
      <c r="C151" s="258"/>
      <c r="D151" s="258"/>
      <c r="E151" s="258"/>
      <c r="F151" s="492"/>
      <c r="G151" s="492"/>
      <c r="H151" s="492"/>
      <c r="I151" s="732"/>
      <c r="J151" s="87"/>
    </row>
    <row r="152" spans="1:10" ht="12.75" customHeight="1">
      <c r="A152" s="956"/>
      <c r="B152" s="108"/>
      <c r="C152" s="252"/>
      <c r="D152" s="252"/>
      <c r="E152" s="252"/>
      <c r="F152" s="66"/>
      <c r="G152" s="66"/>
      <c r="H152" s="66"/>
      <c r="I152" s="946"/>
      <c r="J152" s="87"/>
    </row>
    <row r="153" spans="1:10" ht="12.75" customHeight="1" thickBot="1">
      <c r="A153" s="955">
        <v>1290</v>
      </c>
      <c r="B153" s="75" t="s">
        <v>188</v>
      </c>
      <c r="C153" s="170"/>
      <c r="D153" s="170"/>
      <c r="E153" s="170"/>
      <c r="F153" s="486"/>
      <c r="G153" s="486">
        <v>583</v>
      </c>
      <c r="H153" s="486">
        <v>583</v>
      </c>
      <c r="I153" s="941">
        <f>H153/G153</f>
        <v>1</v>
      </c>
      <c r="J153" s="87"/>
    </row>
    <row r="154" spans="1:10" ht="16.5" customHeight="1" thickBot="1">
      <c r="A154" s="944"/>
      <c r="B154" s="106" t="s">
        <v>183</v>
      </c>
      <c r="C154" s="248">
        <f t="shared" ref="C154:H154" si="45">C153</f>
        <v>0</v>
      </c>
      <c r="D154" s="248">
        <f t="shared" si="45"/>
        <v>0</v>
      </c>
      <c r="E154" s="248">
        <f t="shared" si="45"/>
        <v>0</v>
      </c>
      <c r="F154" s="77">
        <f t="shared" si="45"/>
        <v>0</v>
      </c>
      <c r="G154" s="77">
        <f t="shared" si="45"/>
        <v>583</v>
      </c>
      <c r="H154" s="77">
        <f t="shared" si="45"/>
        <v>583</v>
      </c>
      <c r="I154" s="732">
        <f>H154/G154</f>
        <v>1</v>
      </c>
      <c r="J154" s="749"/>
    </row>
    <row r="155" spans="1:10" ht="9" customHeight="1">
      <c r="A155" s="956"/>
      <c r="B155" s="108"/>
      <c r="C155" s="252"/>
      <c r="D155" s="252"/>
      <c r="E155" s="252"/>
      <c r="F155" s="66"/>
      <c r="G155" s="66"/>
      <c r="H155" s="66"/>
      <c r="I155" s="946"/>
      <c r="J155" s="87"/>
    </row>
    <row r="156" spans="1:10" ht="12.95" customHeight="1">
      <c r="A156" s="939"/>
      <c r="B156" s="72" t="s">
        <v>326</v>
      </c>
      <c r="C156" s="253"/>
      <c r="D156" s="253"/>
      <c r="E156" s="253"/>
      <c r="F156" s="59"/>
      <c r="G156" s="59"/>
      <c r="H156" s="59"/>
      <c r="I156" s="940"/>
      <c r="J156" s="87"/>
    </row>
    <row r="157" spans="1:10" ht="13.5" customHeight="1" thickBot="1">
      <c r="A157" s="955">
        <v>1291</v>
      </c>
      <c r="B157" s="155" t="s">
        <v>42</v>
      </c>
      <c r="C157" s="170">
        <v>3000</v>
      </c>
      <c r="D157" s="170">
        <v>3000</v>
      </c>
      <c r="E157" s="170">
        <v>3000</v>
      </c>
      <c r="F157" s="486">
        <v>3000</v>
      </c>
      <c r="G157" s="486">
        <v>3000</v>
      </c>
      <c r="H157" s="486">
        <v>2129</v>
      </c>
      <c r="I157" s="951">
        <f>H157/G157</f>
        <v>0.70966666666666667</v>
      </c>
      <c r="J157" s="87"/>
    </row>
    <row r="158" spans="1:10" ht="16.5" customHeight="1" thickBot="1">
      <c r="A158" s="731"/>
      <c r="B158" s="93" t="s">
        <v>186</v>
      </c>
      <c r="C158" s="260">
        <f t="shared" ref="C158:D158" si="46">SUM(C157)</f>
        <v>3000</v>
      </c>
      <c r="D158" s="260">
        <f t="shared" si="46"/>
        <v>3000</v>
      </c>
      <c r="E158" s="260">
        <f t="shared" ref="E158:F158" si="47">SUM(E157)</f>
        <v>3000</v>
      </c>
      <c r="F158" s="494">
        <f t="shared" si="47"/>
        <v>3000</v>
      </c>
      <c r="G158" s="494">
        <f t="shared" ref="G158:H158" si="48">SUM(G157)</f>
        <v>3000</v>
      </c>
      <c r="H158" s="494">
        <f t="shared" si="48"/>
        <v>2129</v>
      </c>
      <c r="I158" s="732">
        <f>H158/G158</f>
        <v>0.70966666666666667</v>
      </c>
      <c r="J158" s="87"/>
    </row>
    <row r="159" spans="1:10" ht="12.75" customHeight="1">
      <c r="A159" s="956"/>
      <c r="B159" s="108"/>
      <c r="C159" s="244"/>
      <c r="D159" s="244"/>
      <c r="E159" s="244"/>
      <c r="F159" s="485"/>
      <c r="G159" s="485"/>
      <c r="H159" s="485"/>
      <c r="I159" s="946"/>
      <c r="J159" s="87"/>
    </row>
    <row r="160" spans="1:10" ht="12.75" customHeight="1">
      <c r="A160" s="948">
        <v>1292</v>
      </c>
      <c r="B160" s="67" t="s">
        <v>327</v>
      </c>
      <c r="C160" s="159"/>
      <c r="D160" s="159">
        <v>311859</v>
      </c>
      <c r="E160" s="159">
        <v>311859</v>
      </c>
      <c r="F160" s="58">
        <v>311859</v>
      </c>
      <c r="G160" s="58">
        <v>311859</v>
      </c>
      <c r="H160" s="58">
        <v>311859</v>
      </c>
      <c r="I160" s="940">
        <f>H160/G160</f>
        <v>1</v>
      </c>
      <c r="J160" s="87"/>
    </row>
    <row r="161" spans="1:10" ht="12.75" customHeight="1" thickBot="1">
      <c r="A161" s="948">
        <v>1293</v>
      </c>
      <c r="B161" s="67" t="s">
        <v>355</v>
      </c>
      <c r="C161" s="170">
        <v>3826948</v>
      </c>
      <c r="D161" s="170">
        <f>3826948-17840+82969</f>
        <v>3892077</v>
      </c>
      <c r="E161" s="170">
        <f>3826948-17840+82969</f>
        <v>3892077</v>
      </c>
      <c r="F161" s="486">
        <f>3826948-17840+82969+234804</f>
        <v>4126881</v>
      </c>
      <c r="G161" s="486">
        <f>3826948-17840+82969+234804+21315</f>
        <v>4148196</v>
      </c>
      <c r="H161" s="486">
        <v>3899511</v>
      </c>
      <c r="I161" s="951">
        <f>H161/G161</f>
        <v>0.94004984335359276</v>
      </c>
      <c r="J161" s="749"/>
    </row>
    <row r="162" spans="1:10" ht="17.25" customHeight="1" thickBot="1">
      <c r="A162" s="731"/>
      <c r="B162" s="93" t="s">
        <v>27</v>
      </c>
      <c r="C162" s="260">
        <f t="shared" ref="C162:H162" si="49">SUM(C160:C161)</f>
        <v>3826948</v>
      </c>
      <c r="D162" s="260">
        <f t="shared" si="49"/>
        <v>4203936</v>
      </c>
      <c r="E162" s="260">
        <f t="shared" si="49"/>
        <v>4203936</v>
      </c>
      <c r="F162" s="494">
        <f t="shared" si="49"/>
        <v>4438740</v>
      </c>
      <c r="G162" s="494">
        <f t="shared" si="49"/>
        <v>4460055</v>
      </c>
      <c r="H162" s="494">
        <f t="shared" si="49"/>
        <v>4211370</v>
      </c>
      <c r="I162" s="732">
        <f>H162/G162</f>
        <v>0.94424171899225462</v>
      </c>
      <c r="J162" s="87"/>
    </row>
    <row r="163" spans="1:10" ht="12" customHeight="1">
      <c r="A163" s="956"/>
      <c r="B163" s="98"/>
      <c r="C163" s="244"/>
      <c r="D163" s="244"/>
      <c r="E163" s="244"/>
      <c r="F163" s="485"/>
      <c r="G163" s="485"/>
      <c r="H163" s="485"/>
      <c r="I163" s="946"/>
      <c r="J163" s="87"/>
    </row>
    <row r="164" spans="1:10" ht="12" customHeight="1" thickBot="1">
      <c r="A164" s="948">
        <v>1294</v>
      </c>
      <c r="B164" s="67" t="s">
        <v>328</v>
      </c>
      <c r="C164" s="170"/>
      <c r="D164" s="170">
        <v>44556</v>
      </c>
      <c r="E164" s="170">
        <v>44556</v>
      </c>
      <c r="F164" s="486">
        <v>44556</v>
      </c>
      <c r="G164" s="486">
        <v>44556</v>
      </c>
      <c r="H164" s="486">
        <v>44556</v>
      </c>
      <c r="I164" s="943">
        <f>H164/G164</f>
        <v>1</v>
      </c>
      <c r="J164" s="87"/>
    </row>
    <row r="165" spans="1:10" ht="17.25" customHeight="1" thickBot="1">
      <c r="A165" s="731"/>
      <c r="B165" s="115" t="s">
        <v>187</v>
      </c>
      <c r="C165" s="248">
        <f t="shared" ref="C165:H165" si="50">C164</f>
        <v>0</v>
      </c>
      <c r="D165" s="248">
        <f t="shared" si="50"/>
        <v>44556</v>
      </c>
      <c r="E165" s="248">
        <f t="shared" si="50"/>
        <v>44556</v>
      </c>
      <c r="F165" s="77">
        <f t="shared" si="50"/>
        <v>44556</v>
      </c>
      <c r="G165" s="77">
        <f t="shared" si="50"/>
        <v>44556</v>
      </c>
      <c r="H165" s="77">
        <f t="shared" si="50"/>
        <v>44556</v>
      </c>
      <c r="I165" s="732">
        <f>H165/G165</f>
        <v>1</v>
      </c>
      <c r="J165" s="87"/>
    </row>
    <row r="166" spans="1:10" ht="12" customHeight="1" thickBot="1">
      <c r="A166" s="731"/>
      <c r="B166" s="68"/>
      <c r="C166" s="261"/>
      <c r="D166" s="261"/>
      <c r="E166" s="261"/>
      <c r="F166" s="495"/>
      <c r="G166" s="495"/>
      <c r="H166" s="495"/>
      <c r="I166" s="732"/>
      <c r="J166" s="87"/>
    </row>
    <row r="167" spans="1:10" ht="18" customHeight="1" thickBot="1">
      <c r="A167" s="731"/>
      <c r="B167" s="111" t="s">
        <v>269</v>
      </c>
      <c r="C167" s="363">
        <f t="shared" ref="C167:H167" si="51">SUM(C165+C162+C147+C154+C158)</f>
        <v>3918898</v>
      </c>
      <c r="D167" s="363">
        <f t="shared" si="51"/>
        <v>4340442</v>
      </c>
      <c r="E167" s="363">
        <f t="shared" si="51"/>
        <v>4340442</v>
      </c>
      <c r="F167" s="363">
        <f t="shared" si="51"/>
        <v>4575246</v>
      </c>
      <c r="G167" s="363">
        <f t="shared" si="51"/>
        <v>4597560</v>
      </c>
      <c r="H167" s="363">
        <f t="shared" si="51"/>
        <v>4348170</v>
      </c>
      <c r="I167" s="732">
        <f>H167/G167</f>
        <v>0.94575600970949814</v>
      </c>
      <c r="J167" s="749"/>
    </row>
    <row r="168" spans="1:10" ht="18" customHeight="1">
      <c r="A168" s="945"/>
      <c r="B168" s="269"/>
      <c r="C168" s="270"/>
      <c r="D168" s="270"/>
      <c r="E168" s="270"/>
      <c r="F168" s="496"/>
      <c r="G168" s="496"/>
      <c r="H168" s="496"/>
      <c r="I168" s="946"/>
      <c r="J168" s="87"/>
    </row>
    <row r="169" spans="1:10" s="55" customFormat="1" ht="15" customHeight="1">
      <c r="A169" s="939"/>
      <c r="B169" s="114" t="s">
        <v>798</v>
      </c>
      <c r="C169" s="160"/>
      <c r="D169" s="160"/>
      <c r="E169" s="160"/>
      <c r="F169" s="62"/>
      <c r="G169" s="62"/>
      <c r="H169" s="62"/>
      <c r="I169" s="940"/>
      <c r="J169" s="87"/>
    </row>
    <row r="170" spans="1:10" s="55" customFormat="1" ht="12.75" customHeight="1">
      <c r="A170" s="939"/>
      <c r="B170" s="116"/>
      <c r="C170" s="160"/>
      <c r="D170" s="160"/>
      <c r="E170" s="160"/>
      <c r="F170" s="62"/>
      <c r="G170" s="62"/>
      <c r="H170" s="62"/>
      <c r="I170" s="940"/>
      <c r="J170" s="87"/>
    </row>
    <row r="171" spans="1:10" s="55" customFormat="1">
      <c r="A171" s="948">
        <v>1400</v>
      </c>
      <c r="B171" s="67" t="s">
        <v>158</v>
      </c>
      <c r="C171" s="253"/>
      <c r="D171" s="253"/>
      <c r="E171" s="253"/>
      <c r="F171" s="59"/>
      <c r="G171" s="59"/>
      <c r="H171" s="59"/>
      <c r="I171" s="940"/>
      <c r="J171" s="87"/>
    </row>
    <row r="172" spans="1:10" s="55" customFormat="1" ht="12.75" thickBot="1">
      <c r="A172" s="955">
        <v>1401</v>
      </c>
      <c r="B172" s="75" t="s">
        <v>317</v>
      </c>
      <c r="C172" s="200">
        <f>'4.mell.'!C722</f>
        <v>2641465</v>
      </c>
      <c r="D172" s="200">
        <f>'4.mell.'!D722</f>
        <v>2682165</v>
      </c>
      <c r="E172" s="200">
        <f>'4.mell.'!E722</f>
        <v>2687165</v>
      </c>
      <c r="F172" s="489">
        <f>'4.mell.'!F722</f>
        <v>2702940</v>
      </c>
      <c r="G172" s="489">
        <f>'4.mell.'!G722</f>
        <v>2749869</v>
      </c>
      <c r="H172" s="489">
        <v>2749869</v>
      </c>
      <c r="I172" s="951">
        <f t="shared" ref="I172:I183" si="52">H172/G172</f>
        <v>1</v>
      </c>
      <c r="J172" s="87"/>
    </row>
    <row r="173" spans="1:10" s="55" customFormat="1" ht="12.75" thickBot="1">
      <c r="A173" s="731"/>
      <c r="B173" s="76" t="s">
        <v>325</v>
      </c>
      <c r="C173" s="161">
        <f t="shared" ref="C173:D173" si="53">SUM(C172)</f>
        <v>2641465</v>
      </c>
      <c r="D173" s="161">
        <f t="shared" si="53"/>
        <v>2682165</v>
      </c>
      <c r="E173" s="161">
        <f t="shared" ref="E173:F173" si="54">SUM(E172)</f>
        <v>2687165</v>
      </c>
      <c r="F173" s="83">
        <f t="shared" si="54"/>
        <v>2702940</v>
      </c>
      <c r="G173" s="83">
        <f t="shared" ref="G173:H173" si="55">SUM(G172)</f>
        <v>2749869</v>
      </c>
      <c r="H173" s="83">
        <f t="shared" si="55"/>
        <v>2749869</v>
      </c>
      <c r="I173" s="732">
        <f t="shared" si="52"/>
        <v>1</v>
      </c>
      <c r="J173" s="87"/>
    </row>
    <row r="174" spans="1:10" s="55" customFormat="1">
      <c r="A174" s="953">
        <v>1409</v>
      </c>
      <c r="B174" s="73" t="s">
        <v>312</v>
      </c>
      <c r="C174" s="249">
        <f>'4.mell.'!C724</f>
        <v>50</v>
      </c>
      <c r="D174" s="249">
        <f>'4.mell.'!D724</f>
        <v>50</v>
      </c>
      <c r="E174" s="249">
        <f>'4.mell.'!E724</f>
        <v>776</v>
      </c>
      <c r="F174" s="64">
        <f>'4.mell.'!F724</f>
        <v>776</v>
      </c>
      <c r="G174" s="64">
        <f>'4.mell.'!G724</f>
        <v>976</v>
      </c>
      <c r="H174" s="64">
        <v>976</v>
      </c>
      <c r="I174" s="946">
        <f t="shared" si="52"/>
        <v>1</v>
      </c>
      <c r="J174" s="87"/>
    </row>
    <row r="175" spans="1:10" s="55" customFormat="1">
      <c r="A175" s="949">
        <v>1410</v>
      </c>
      <c r="B175" s="107" t="s">
        <v>168</v>
      </c>
      <c r="C175" s="249">
        <f t="shared" ref="C175:D175" si="56">SUM(C176:C177)</f>
        <v>257687</v>
      </c>
      <c r="D175" s="249">
        <f t="shared" si="56"/>
        <v>255187</v>
      </c>
      <c r="E175" s="249">
        <f t="shared" ref="E175:F175" si="57">SUM(E176:E177)</f>
        <v>284887</v>
      </c>
      <c r="F175" s="64">
        <f t="shared" si="57"/>
        <v>317015</v>
      </c>
      <c r="G175" s="64">
        <f t="shared" ref="G175:H175" si="58">SUM(G176:G177)</f>
        <v>338622</v>
      </c>
      <c r="H175" s="64">
        <f t="shared" si="58"/>
        <v>338695</v>
      </c>
      <c r="I175" s="940">
        <f t="shared" si="52"/>
        <v>1.0002155796138468</v>
      </c>
      <c r="J175" s="87"/>
    </row>
    <row r="176" spans="1:10" s="55" customFormat="1">
      <c r="A176" s="948">
        <v>1411</v>
      </c>
      <c r="B176" s="67" t="s">
        <v>66</v>
      </c>
      <c r="C176" s="244">
        <f>SUM('4.mell.'!C726)</f>
        <v>170439</v>
      </c>
      <c r="D176" s="244">
        <f>SUM('4.mell.'!D726)</f>
        <v>167939</v>
      </c>
      <c r="E176" s="244">
        <f>SUM('4.mell.'!E726)</f>
        <v>196439</v>
      </c>
      <c r="F176" s="485">
        <f>SUM('4.mell.'!F726)</f>
        <v>216662</v>
      </c>
      <c r="G176" s="485">
        <f>SUM('4.mell.'!G726)</f>
        <v>218614</v>
      </c>
      <c r="H176" s="485">
        <v>235241</v>
      </c>
      <c r="I176" s="941">
        <f t="shared" si="52"/>
        <v>1.0760564282250908</v>
      </c>
      <c r="J176" s="87"/>
    </row>
    <row r="177" spans="1:10" s="55" customFormat="1">
      <c r="A177" s="948">
        <v>1412</v>
      </c>
      <c r="B177" s="67" t="s">
        <v>67</v>
      </c>
      <c r="C177" s="159">
        <f>SUM('4.mell.'!C727)</f>
        <v>87248</v>
      </c>
      <c r="D177" s="159">
        <f>SUM('4.mell.'!D727)</f>
        <v>87248</v>
      </c>
      <c r="E177" s="159">
        <f>SUM('4.mell.'!E727)</f>
        <v>88448</v>
      </c>
      <c r="F177" s="58">
        <f>SUM('4.mell.'!F727)</f>
        <v>100353</v>
      </c>
      <c r="G177" s="58">
        <f>SUM('4.mell.'!G727)</f>
        <v>120008</v>
      </c>
      <c r="H177" s="58">
        <v>103454</v>
      </c>
      <c r="I177" s="941">
        <f t="shared" si="52"/>
        <v>0.86205919605359638</v>
      </c>
      <c r="J177" s="87"/>
    </row>
    <row r="178" spans="1:10" s="55" customFormat="1">
      <c r="A178" s="948">
        <v>1420</v>
      </c>
      <c r="B178" s="97" t="s">
        <v>169</v>
      </c>
      <c r="C178" s="159">
        <f>SUM('4.mell.'!C728)</f>
        <v>18384</v>
      </c>
      <c r="D178" s="159">
        <f>SUM('4.mell.'!D728)</f>
        <v>18499</v>
      </c>
      <c r="E178" s="159">
        <f>SUM('4.mell.'!E728)</f>
        <v>26093</v>
      </c>
      <c r="F178" s="58">
        <f>SUM('4.mell.'!F728)</f>
        <v>28214</v>
      </c>
      <c r="G178" s="58">
        <f>SUM('4.mell.'!G728)</f>
        <v>32311</v>
      </c>
      <c r="H178" s="58">
        <v>32312</v>
      </c>
      <c r="I178" s="941">
        <f t="shared" si="52"/>
        <v>1.0000309492123425</v>
      </c>
      <c r="J178" s="87"/>
    </row>
    <row r="179" spans="1:10" s="55" customFormat="1">
      <c r="A179" s="948">
        <v>1421</v>
      </c>
      <c r="B179" s="67" t="s">
        <v>172</v>
      </c>
      <c r="C179" s="159">
        <f>SUM('4.mell.'!C729)</f>
        <v>196051</v>
      </c>
      <c r="D179" s="159">
        <f>SUM('4.mell.'!D729)</f>
        <v>198551</v>
      </c>
      <c r="E179" s="159">
        <f>SUM('4.mell.'!E729)</f>
        <v>198551</v>
      </c>
      <c r="F179" s="58">
        <f>SUM('4.mell.'!F729)</f>
        <v>198551</v>
      </c>
      <c r="G179" s="58">
        <f>SUM('4.mell.'!G729)</f>
        <v>250749</v>
      </c>
      <c r="H179" s="58">
        <v>249559</v>
      </c>
      <c r="I179" s="941">
        <f t="shared" si="52"/>
        <v>0.99525421836178807</v>
      </c>
      <c r="J179" s="87"/>
    </row>
    <row r="180" spans="1:10" s="55" customFormat="1">
      <c r="A180" s="948">
        <v>1422</v>
      </c>
      <c r="B180" s="67" t="s">
        <v>173</v>
      </c>
      <c r="C180" s="159">
        <f>SUM('4.mell.'!C730)</f>
        <v>90020</v>
      </c>
      <c r="D180" s="159">
        <f>SUM('4.mell.'!D730)</f>
        <v>90020</v>
      </c>
      <c r="E180" s="159">
        <f>SUM('4.mell.'!E730)</f>
        <v>90020</v>
      </c>
      <c r="F180" s="58">
        <f>SUM('4.mell.'!F730)</f>
        <v>96868</v>
      </c>
      <c r="G180" s="58">
        <f>SUM('4.mell.'!G730)</f>
        <v>122305</v>
      </c>
      <c r="H180" s="58">
        <v>122375</v>
      </c>
      <c r="I180" s="941">
        <f t="shared" si="52"/>
        <v>1.0005723396426964</v>
      </c>
      <c r="J180" s="87"/>
    </row>
    <row r="181" spans="1:10" s="55" customFormat="1">
      <c r="A181" s="948">
        <v>1423</v>
      </c>
      <c r="B181" s="71" t="s">
        <v>174</v>
      </c>
      <c r="C181" s="159">
        <f>SUM('4.mell.'!C731)</f>
        <v>18000</v>
      </c>
      <c r="D181" s="159">
        <f>SUM('4.mell.'!D731)</f>
        <v>18000</v>
      </c>
      <c r="E181" s="159">
        <f>SUM('4.mell.'!E731)</f>
        <v>52357</v>
      </c>
      <c r="F181" s="58">
        <f>SUM('4.mell.'!F731)</f>
        <v>75977</v>
      </c>
      <c r="G181" s="58">
        <f>SUM('4.mell.'!G731)</f>
        <v>96890</v>
      </c>
      <c r="H181" s="58">
        <v>96890</v>
      </c>
      <c r="I181" s="941">
        <f t="shared" si="52"/>
        <v>1</v>
      </c>
      <c r="J181" s="87"/>
    </row>
    <row r="182" spans="1:10" s="55" customFormat="1">
      <c r="A182" s="948">
        <v>1424</v>
      </c>
      <c r="B182" s="66" t="s">
        <v>343</v>
      </c>
      <c r="C182" s="159">
        <f>'4.mell.'!C732</f>
        <v>0</v>
      </c>
      <c r="D182" s="159">
        <f>'4.mell.'!D732</f>
        <v>0</v>
      </c>
      <c r="E182" s="159">
        <f>'4.mell.'!E732</f>
        <v>4</v>
      </c>
      <c r="F182" s="58">
        <f>'4.mell.'!F732</f>
        <v>4</v>
      </c>
      <c r="G182" s="58">
        <f>'4.mell.'!G732</f>
        <v>92</v>
      </c>
      <c r="H182" s="58">
        <v>95</v>
      </c>
      <c r="I182" s="941">
        <f t="shared" si="52"/>
        <v>1.0326086956521738</v>
      </c>
      <c r="J182" s="87"/>
    </row>
    <row r="183" spans="1:10" s="55" customFormat="1">
      <c r="A183" s="957">
        <v>1426</v>
      </c>
      <c r="B183" s="449" t="s">
        <v>1068</v>
      </c>
      <c r="C183" s="170">
        <f>'4.mell.'!C733</f>
        <v>0</v>
      </c>
      <c r="D183" s="170">
        <f>'4.mell.'!D733</f>
        <v>0</v>
      </c>
      <c r="E183" s="170">
        <f>'4.mell.'!E733</f>
        <v>296</v>
      </c>
      <c r="F183" s="486">
        <f>'4.mell.'!F733</f>
        <v>296</v>
      </c>
      <c r="G183" s="486">
        <f>'4.mell.'!G733</f>
        <v>376</v>
      </c>
      <c r="H183" s="486">
        <v>376</v>
      </c>
      <c r="I183" s="941">
        <f t="shared" si="52"/>
        <v>1</v>
      </c>
      <c r="J183" s="87"/>
    </row>
    <row r="184" spans="1:10" s="55" customFormat="1" ht="12.75" thickBot="1">
      <c r="A184" s="957">
        <v>1425</v>
      </c>
      <c r="B184" s="79" t="s">
        <v>175</v>
      </c>
      <c r="C184" s="170">
        <f>'4.mell.'!C734</f>
        <v>27915</v>
      </c>
      <c r="D184" s="170">
        <f>'4.mell.'!D734</f>
        <v>27915</v>
      </c>
      <c r="E184" s="170">
        <f>'4.mell.'!E734</f>
        <v>43152</v>
      </c>
      <c r="F184" s="486">
        <f>'4.mell.'!F734</f>
        <v>49250</v>
      </c>
      <c r="G184" s="486">
        <f>'4.mell.'!G734</f>
        <v>66223</v>
      </c>
      <c r="H184" s="486">
        <v>66224</v>
      </c>
      <c r="I184" s="961">
        <f>H184/G184</f>
        <v>1.0000151004937861</v>
      </c>
      <c r="J184" s="87"/>
    </row>
    <row r="185" spans="1:10" s="55" customFormat="1" ht="15.75" thickBot="1">
      <c r="A185" s="731"/>
      <c r="B185" s="93" t="s">
        <v>270</v>
      </c>
      <c r="C185" s="248">
        <f t="shared" ref="C185:H185" si="59">SUM(C175+C178+C180+C179+C184+C181+C174+C182)+C183</f>
        <v>608107</v>
      </c>
      <c r="D185" s="248">
        <f t="shared" si="59"/>
        <v>608222</v>
      </c>
      <c r="E185" s="248">
        <f t="shared" si="59"/>
        <v>696136</v>
      </c>
      <c r="F185" s="77">
        <f t="shared" si="59"/>
        <v>766951</v>
      </c>
      <c r="G185" s="77">
        <f t="shared" si="59"/>
        <v>908544</v>
      </c>
      <c r="H185" s="77">
        <f t="shared" si="59"/>
        <v>907502</v>
      </c>
      <c r="I185" s="732">
        <f>H185/G185</f>
        <v>0.99885311003099464</v>
      </c>
      <c r="J185" s="87"/>
    </row>
    <row r="186" spans="1:10" s="55" customFormat="1">
      <c r="A186" s="956"/>
      <c r="B186" s="65"/>
      <c r="C186" s="252"/>
      <c r="D186" s="252"/>
      <c r="E186" s="252"/>
      <c r="F186" s="66"/>
      <c r="G186" s="66"/>
      <c r="H186" s="66"/>
      <c r="I186" s="946"/>
      <c r="J186" s="87"/>
    </row>
    <row r="187" spans="1:10" s="55" customFormat="1" ht="12.75" thickBot="1">
      <c r="A187" s="959">
        <v>1430</v>
      </c>
      <c r="B187" s="86" t="s">
        <v>176</v>
      </c>
      <c r="C187" s="200">
        <f>'4.mell.'!C736</f>
        <v>0</v>
      </c>
      <c r="D187" s="200">
        <f>'4.mell.'!D736</f>
        <v>0</v>
      </c>
      <c r="E187" s="200">
        <f>'4.mell.'!E736</f>
        <v>0</v>
      </c>
      <c r="F187" s="489">
        <f>'4.mell.'!F736</f>
        <v>2800</v>
      </c>
      <c r="G187" s="489">
        <f>'4.mell.'!G736</f>
        <v>2800</v>
      </c>
      <c r="H187" s="489">
        <v>2800</v>
      </c>
      <c r="I187" s="941">
        <f t="shared" ref="I187" si="60">H187/G187</f>
        <v>1</v>
      </c>
      <c r="J187" s="87"/>
    </row>
    <row r="188" spans="1:10" s="55" customFormat="1" ht="15.75" thickBot="1">
      <c r="A188" s="731"/>
      <c r="B188" s="106" t="s">
        <v>177</v>
      </c>
      <c r="C188" s="248">
        <f t="shared" ref="C188:H188" si="61">C187</f>
        <v>0</v>
      </c>
      <c r="D188" s="248">
        <f t="shared" si="61"/>
        <v>0</v>
      </c>
      <c r="E188" s="248">
        <f t="shared" si="61"/>
        <v>0</v>
      </c>
      <c r="F188" s="77">
        <f t="shared" si="61"/>
        <v>2800</v>
      </c>
      <c r="G188" s="77">
        <f t="shared" si="61"/>
        <v>2800</v>
      </c>
      <c r="H188" s="77">
        <f t="shared" si="61"/>
        <v>2800</v>
      </c>
      <c r="I188" s="732">
        <f>H188/G188</f>
        <v>1</v>
      </c>
      <c r="J188" s="87"/>
    </row>
    <row r="189" spans="1:10" s="55" customFormat="1" ht="12" customHeight="1" thickBot="1">
      <c r="A189" s="731"/>
      <c r="B189" s="102"/>
      <c r="C189" s="258"/>
      <c r="D189" s="258"/>
      <c r="E189" s="258"/>
      <c r="F189" s="492"/>
      <c r="G189" s="492"/>
      <c r="H189" s="492"/>
      <c r="I189" s="732"/>
      <c r="J189" s="87"/>
    </row>
    <row r="190" spans="1:10" s="55" customFormat="1" ht="16.5" thickBot="1">
      <c r="A190" s="731"/>
      <c r="B190" s="109" t="s">
        <v>44</v>
      </c>
      <c r="C190" s="262">
        <f t="shared" ref="C190:H190" si="62">SUM(C185+C188+C173)</f>
        <v>3249572</v>
      </c>
      <c r="D190" s="262">
        <f t="shared" si="62"/>
        <v>3290387</v>
      </c>
      <c r="E190" s="262">
        <f t="shared" si="62"/>
        <v>3383301</v>
      </c>
      <c r="F190" s="497">
        <f t="shared" si="62"/>
        <v>3472691</v>
      </c>
      <c r="G190" s="497">
        <f t="shared" si="62"/>
        <v>3661213</v>
      </c>
      <c r="H190" s="497">
        <f t="shared" si="62"/>
        <v>3660171</v>
      </c>
      <c r="I190" s="732">
        <f>H190/G190</f>
        <v>0.99971539487049788</v>
      </c>
      <c r="J190" s="87"/>
    </row>
    <row r="191" spans="1:10" s="55" customFormat="1" ht="10.5" customHeight="1">
      <c r="A191" s="949"/>
      <c r="B191" s="154"/>
      <c r="C191" s="252"/>
      <c r="D191" s="252"/>
      <c r="E191" s="252"/>
      <c r="F191" s="66"/>
      <c r="G191" s="66"/>
      <c r="H191" s="66"/>
      <c r="I191" s="946"/>
      <c r="J191" s="87"/>
    </row>
    <row r="192" spans="1:10" s="55" customFormat="1">
      <c r="A192" s="948">
        <v>1435</v>
      </c>
      <c r="B192" s="67" t="s">
        <v>178</v>
      </c>
      <c r="C192" s="253"/>
      <c r="D192" s="253"/>
      <c r="E192" s="253"/>
      <c r="F192" s="59"/>
      <c r="G192" s="59"/>
      <c r="H192" s="59"/>
      <c r="I192" s="940"/>
      <c r="J192" s="87"/>
    </row>
    <row r="193" spans="1:10" s="55" customFormat="1" ht="12.75" thickBot="1">
      <c r="A193" s="948">
        <v>1436</v>
      </c>
      <c r="B193" s="67" t="s">
        <v>329</v>
      </c>
      <c r="C193" s="170">
        <f>'4.mell.'!C738</f>
        <v>0</v>
      </c>
      <c r="D193" s="170">
        <f>'4.mell.'!D738</f>
        <v>0</v>
      </c>
      <c r="E193" s="170">
        <f>'4.mell.'!E738</f>
        <v>0</v>
      </c>
      <c r="F193" s="486">
        <f>'4.mell.'!F738</f>
        <v>1530</v>
      </c>
      <c r="G193" s="486">
        <f>'4.mell.'!G738</f>
        <v>1530</v>
      </c>
      <c r="H193" s="486">
        <v>1530</v>
      </c>
      <c r="I193" s="941">
        <f t="shared" ref="I193" si="63">H193/G193</f>
        <v>1</v>
      </c>
      <c r="J193" s="87"/>
    </row>
    <row r="194" spans="1:10" s="55" customFormat="1" ht="15.75" thickBot="1">
      <c r="A194" s="731"/>
      <c r="B194" s="93" t="s">
        <v>324</v>
      </c>
      <c r="C194" s="248">
        <f t="shared" ref="C194:D194" si="64">SUM(C193)</f>
        <v>0</v>
      </c>
      <c r="D194" s="248">
        <f t="shared" si="64"/>
        <v>0</v>
      </c>
      <c r="E194" s="248">
        <f t="shared" ref="E194:F194" si="65">SUM(E193)</f>
        <v>0</v>
      </c>
      <c r="F194" s="77">
        <f t="shared" si="65"/>
        <v>1530</v>
      </c>
      <c r="G194" s="77">
        <f t="shared" ref="G194:H194" si="66">SUM(G193)</f>
        <v>1530</v>
      </c>
      <c r="H194" s="77">
        <f t="shared" si="66"/>
        <v>1530</v>
      </c>
      <c r="I194" s="732">
        <f>H194/G194</f>
        <v>1</v>
      </c>
      <c r="J194" s="87"/>
    </row>
    <row r="195" spans="1:10" s="55" customFormat="1" ht="9.9499999999999993" customHeight="1">
      <c r="A195" s="956"/>
      <c r="B195" s="108"/>
      <c r="C195" s="252"/>
      <c r="D195" s="252"/>
      <c r="E195" s="252"/>
      <c r="F195" s="66"/>
      <c r="G195" s="66"/>
      <c r="H195" s="66"/>
      <c r="I195" s="946"/>
      <c r="J195" s="87"/>
    </row>
    <row r="196" spans="1:10" s="55" customFormat="1" ht="12.75" thickBot="1">
      <c r="A196" s="955">
        <v>1440</v>
      </c>
      <c r="B196" s="75" t="s">
        <v>188</v>
      </c>
      <c r="C196" s="200">
        <f>SUM('4.mell.'!C740)</f>
        <v>0</v>
      </c>
      <c r="D196" s="200">
        <f>SUM('4.mell.'!D740)</f>
        <v>0</v>
      </c>
      <c r="E196" s="200">
        <f>SUM('4.mell.'!E740)</f>
        <v>0</v>
      </c>
      <c r="F196" s="489">
        <f>SUM('4.mell.'!F740)</f>
        <v>0</v>
      </c>
      <c r="G196" s="489">
        <f>SUM('4.mell.'!G740)</f>
        <v>0</v>
      </c>
      <c r="H196" s="489">
        <f>SUM('4.mell.'!H740)</f>
        <v>0</v>
      </c>
      <c r="I196" s="943"/>
      <c r="J196" s="87"/>
    </row>
    <row r="197" spans="1:10" s="55" customFormat="1" ht="15.75" thickBot="1">
      <c r="A197" s="944"/>
      <c r="B197" s="106" t="s">
        <v>183</v>
      </c>
      <c r="C197" s="248">
        <f t="shared" ref="C197:D197" si="67">SUM(C196)</f>
        <v>0</v>
      </c>
      <c r="D197" s="248">
        <f t="shared" si="67"/>
        <v>0</v>
      </c>
      <c r="E197" s="248">
        <f t="shared" ref="E197:F197" si="68">SUM(E196)</f>
        <v>0</v>
      </c>
      <c r="F197" s="77">
        <f t="shared" si="68"/>
        <v>0</v>
      </c>
      <c r="G197" s="77">
        <f t="shared" ref="G197:H197" si="69">SUM(G196)</f>
        <v>0</v>
      </c>
      <c r="H197" s="77">
        <f t="shared" si="69"/>
        <v>0</v>
      </c>
      <c r="I197" s="732"/>
      <c r="J197" s="87"/>
    </row>
    <row r="198" spans="1:10" s="55" customFormat="1" ht="15">
      <c r="A198" s="956"/>
      <c r="B198" s="108"/>
      <c r="C198" s="252"/>
      <c r="D198" s="252"/>
      <c r="E198" s="252"/>
      <c r="F198" s="66"/>
      <c r="G198" s="66"/>
      <c r="H198" s="66"/>
      <c r="I198" s="946"/>
      <c r="J198" s="87"/>
    </row>
    <row r="199" spans="1:10" s="55" customFormat="1" ht="12.75" thickBot="1">
      <c r="A199" s="957">
        <v>1445</v>
      </c>
      <c r="B199" s="79" t="s">
        <v>185</v>
      </c>
      <c r="C199" s="170">
        <f>'4.mell.'!C739</f>
        <v>0</v>
      </c>
      <c r="D199" s="170">
        <f>'4.mell.'!D739</f>
        <v>0</v>
      </c>
      <c r="E199" s="170">
        <f>'4.mell.'!E739</f>
        <v>0</v>
      </c>
      <c r="F199" s="486">
        <f>'4.mell.'!F739</f>
        <v>0</v>
      </c>
      <c r="G199" s="486">
        <f>'4.mell.'!G739</f>
        <v>0</v>
      </c>
      <c r="H199" s="486">
        <f>'4.mell.'!H739</f>
        <v>0</v>
      </c>
      <c r="I199" s="943"/>
      <c r="J199" s="87"/>
    </row>
    <row r="200" spans="1:10" s="55" customFormat="1" ht="15.75" thickBot="1">
      <c r="A200" s="731"/>
      <c r="B200" s="93" t="s">
        <v>186</v>
      </c>
      <c r="C200" s="248">
        <f t="shared" ref="C200:D200" si="70">SUM(C199)</f>
        <v>0</v>
      </c>
      <c r="D200" s="248">
        <f t="shared" si="70"/>
        <v>0</v>
      </c>
      <c r="E200" s="248">
        <f t="shared" ref="E200:F200" si="71">SUM(E199)</f>
        <v>0</v>
      </c>
      <c r="F200" s="77">
        <f t="shared" si="71"/>
        <v>0</v>
      </c>
      <c r="G200" s="77">
        <f t="shared" ref="G200:H200" si="72">SUM(G199)</f>
        <v>0</v>
      </c>
      <c r="H200" s="77">
        <f t="shared" si="72"/>
        <v>0</v>
      </c>
      <c r="I200" s="732"/>
      <c r="J200" s="87"/>
    </row>
    <row r="201" spans="1:10" s="55" customFormat="1" ht="15">
      <c r="A201" s="956"/>
      <c r="B201" s="108"/>
      <c r="C201" s="244"/>
      <c r="D201" s="244"/>
      <c r="E201" s="244"/>
      <c r="F201" s="485"/>
      <c r="G201" s="485"/>
      <c r="H201" s="485"/>
      <c r="I201" s="946"/>
      <c r="J201" s="87"/>
    </row>
    <row r="202" spans="1:10" s="55" customFormat="1" ht="12.75">
      <c r="A202" s="950">
        <v>1459</v>
      </c>
      <c r="B202" s="241" t="s">
        <v>341</v>
      </c>
      <c r="C202" s="244">
        <v>0</v>
      </c>
      <c r="D202" s="244">
        <v>0</v>
      </c>
      <c r="E202" s="244">
        <v>0</v>
      </c>
      <c r="F202" s="485">
        <v>0</v>
      </c>
      <c r="G202" s="485">
        <v>0</v>
      </c>
      <c r="H202" s="485">
        <v>0</v>
      </c>
      <c r="I202" s="940"/>
      <c r="J202" s="87"/>
    </row>
    <row r="203" spans="1:10" s="55" customFormat="1">
      <c r="A203" s="948">
        <v>1450</v>
      </c>
      <c r="B203" s="67" t="s">
        <v>327</v>
      </c>
      <c r="C203" s="159">
        <f>'4.mell.'!C742</f>
        <v>0</v>
      </c>
      <c r="D203" s="159">
        <f>'4.mell.'!D742</f>
        <v>59338</v>
      </c>
      <c r="E203" s="159">
        <f>'4.mell.'!E742</f>
        <v>60967</v>
      </c>
      <c r="F203" s="58">
        <f>'4.mell.'!F742</f>
        <v>60967</v>
      </c>
      <c r="G203" s="58">
        <f>'4.mell.'!G742</f>
        <v>60967</v>
      </c>
      <c r="H203" s="58">
        <v>60967</v>
      </c>
      <c r="I203" s="940">
        <f>H203/G203</f>
        <v>1</v>
      </c>
      <c r="J203" s="87"/>
    </row>
    <row r="204" spans="1:10" s="55" customFormat="1" ht="12.75" thickBot="1">
      <c r="A204" s="959">
        <v>1451</v>
      </c>
      <c r="B204" s="73" t="s">
        <v>355</v>
      </c>
      <c r="C204" s="199">
        <f>SUM('4.mell.'!C744+'4.mell.'!C745)</f>
        <v>9420967</v>
      </c>
      <c r="D204" s="199">
        <f>SUM('4.mell.'!D744+'4.mell.'!D745)</f>
        <v>10602116</v>
      </c>
      <c r="E204" s="199">
        <f>SUM('4.mell.'!E744+'4.mell.'!E745)</f>
        <v>10728301</v>
      </c>
      <c r="F204" s="488">
        <f>SUM('4.mell.'!F744+'4.mell.'!F745)</f>
        <v>10954377</v>
      </c>
      <c r="G204" s="488">
        <f>SUM('4.mell.'!G744+'4.mell.'!G745)</f>
        <v>10995998</v>
      </c>
      <c r="H204" s="488">
        <v>9932328</v>
      </c>
      <c r="I204" s="951">
        <f>H204/G204</f>
        <v>0.90326753424291273</v>
      </c>
      <c r="J204" s="749"/>
    </row>
    <row r="205" spans="1:10" s="55" customFormat="1" ht="15.75" thickBot="1">
      <c r="A205" s="731"/>
      <c r="B205" s="93" t="s">
        <v>27</v>
      </c>
      <c r="C205" s="248">
        <f t="shared" ref="C205:H205" si="73">SUM(C202:C204)</f>
        <v>9420967</v>
      </c>
      <c r="D205" s="248">
        <f t="shared" si="73"/>
        <v>10661454</v>
      </c>
      <c r="E205" s="248">
        <f t="shared" si="73"/>
        <v>10789268</v>
      </c>
      <c r="F205" s="77">
        <f t="shared" si="73"/>
        <v>11015344</v>
      </c>
      <c r="G205" s="77">
        <f t="shared" si="73"/>
        <v>11056965</v>
      </c>
      <c r="H205" s="77">
        <f t="shared" si="73"/>
        <v>9993295</v>
      </c>
      <c r="I205" s="732">
        <f>H205/G205</f>
        <v>0.90380090739185659</v>
      </c>
      <c r="J205" s="87"/>
    </row>
    <row r="206" spans="1:10" s="85" customFormat="1" ht="13.5" customHeight="1">
      <c r="A206" s="956"/>
      <c r="B206" s="98"/>
      <c r="C206" s="244"/>
      <c r="D206" s="244"/>
      <c r="E206" s="244"/>
      <c r="F206" s="485"/>
      <c r="G206" s="485"/>
      <c r="H206" s="485"/>
      <c r="I206" s="946"/>
      <c r="J206" s="87"/>
    </row>
    <row r="207" spans="1:10" s="85" customFormat="1" ht="13.5" thickBot="1">
      <c r="A207" s="948">
        <v>1455</v>
      </c>
      <c r="B207" s="79" t="s">
        <v>328</v>
      </c>
      <c r="C207" s="170">
        <f>'4.mell.'!C747</f>
        <v>0</v>
      </c>
      <c r="D207" s="170">
        <f>'4.mell.'!D747</f>
        <v>500</v>
      </c>
      <c r="E207" s="170">
        <f>'4.mell.'!E747</f>
        <v>500</v>
      </c>
      <c r="F207" s="486">
        <f>'4.mell.'!F747</f>
        <v>500</v>
      </c>
      <c r="G207" s="486">
        <f>'4.mell.'!G747</f>
        <v>500</v>
      </c>
      <c r="H207" s="486">
        <v>500</v>
      </c>
      <c r="I207" s="958">
        <f>H207/G207</f>
        <v>1</v>
      </c>
      <c r="J207" s="87"/>
    </row>
    <row r="208" spans="1:10" s="55" customFormat="1" ht="15.75" thickBot="1">
      <c r="A208" s="962"/>
      <c r="B208" s="733" t="s">
        <v>187</v>
      </c>
      <c r="C208" s="248">
        <f t="shared" ref="C208:D208" si="74">SUM(C207)</f>
        <v>0</v>
      </c>
      <c r="D208" s="248">
        <f t="shared" si="74"/>
        <v>500</v>
      </c>
      <c r="E208" s="248">
        <f t="shared" ref="E208:F208" si="75">SUM(E207)</f>
        <v>500</v>
      </c>
      <c r="F208" s="77">
        <f t="shared" si="75"/>
        <v>500</v>
      </c>
      <c r="G208" s="77">
        <f t="shared" ref="G208:H208" si="76">SUM(G207)</f>
        <v>500</v>
      </c>
      <c r="H208" s="77">
        <f t="shared" si="76"/>
        <v>500</v>
      </c>
      <c r="I208" s="732">
        <f>H208/G208</f>
        <v>1</v>
      </c>
      <c r="J208" s="87"/>
    </row>
    <row r="209" spans="1:10" s="55" customFormat="1" ht="12.75" thickBot="1">
      <c r="A209" s="731"/>
      <c r="B209" s="68"/>
      <c r="C209" s="246"/>
      <c r="D209" s="246"/>
      <c r="E209" s="246"/>
      <c r="F209" s="362"/>
      <c r="G209" s="362"/>
      <c r="H209" s="362"/>
      <c r="I209" s="732"/>
      <c r="J209" s="87"/>
    </row>
    <row r="210" spans="1:10" s="55" customFormat="1" ht="16.5" thickBot="1">
      <c r="A210" s="731"/>
      <c r="B210" s="111" t="s">
        <v>799</v>
      </c>
      <c r="C210" s="355">
        <f t="shared" ref="C210:H210" si="77">SUM(C208+C205+C190+C200+C194+C197)</f>
        <v>12670539</v>
      </c>
      <c r="D210" s="355">
        <f t="shared" si="77"/>
        <v>13952341</v>
      </c>
      <c r="E210" s="355">
        <f t="shared" si="77"/>
        <v>14173069</v>
      </c>
      <c r="F210" s="355">
        <f t="shared" si="77"/>
        <v>14490065</v>
      </c>
      <c r="G210" s="355">
        <f t="shared" si="77"/>
        <v>14720208</v>
      </c>
      <c r="H210" s="355">
        <f t="shared" si="77"/>
        <v>13655496</v>
      </c>
      <c r="I210" s="732">
        <f>H210/G210</f>
        <v>0.92767004379285944</v>
      </c>
      <c r="J210" s="749"/>
    </row>
    <row r="211" spans="1:10" s="85" customFormat="1" ht="12.75">
      <c r="A211" s="963"/>
      <c r="B211" s="90"/>
      <c r="C211" s="263"/>
      <c r="D211" s="263"/>
      <c r="E211" s="263"/>
      <c r="F211" s="498"/>
      <c r="G211" s="498"/>
      <c r="H211" s="498"/>
      <c r="I211" s="946"/>
      <c r="J211" s="87"/>
    </row>
    <row r="212" spans="1:10" s="85" customFormat="1" ht="17.25" customHeight="1">
      <c r="A212" s="964"/>
      <c r="B212" s="114" t="s">
        <v>800</v>
      </c>
      <c r="C212" s="264"/>
      <c r="D212" s="264"/>
      <c r="E212" s="264"/>
      <c r="F212" s="60"/>
      <c r="G212" s="60"/>
      <c r="H212" s="60"/>
      <c r="I212" s="940"/>
      <c r="J212" s="87"/>
    </row>
    <row r="213" spans="1:10" s="85" customFormat="1" ht="12.75">
      <c r="A213" s="964"/>
      <c r="B213" s="56"/>
      <c r="C213" s="264"/>
      <c r="D213" s="264"/>
      <c r="E213" s="264"/>
      <c r="F213" s="60"/>
      <c r="G213" s="60"/>
      <c r="H213" s="60"/>
      <c r="I213" s="940"/>
      <c r="J213" s="87"/>
    </row>
    <row r="214" spans="1:10" s="85" customFormat="1" ht="12.75">
      <c r="A214" s="948">
        <v>1500</v>
      </c>
      <c r="B214" s="67" t="s">
        <v>154</v>
      </c>
      <c r="C214" s="172">
        <f t="shared" ref="C214:H214" si="78">SUM(C10)</f>
        <v>4179621</v>
      </c>
      <c r="D214" s="172">
        <f t="shared" si="78"/>
        <v>4610231</v>
      </c>
      <c r="E214" s="172">
        <f t="shared" si="78"/>
        <v>4712365</v>
      </c>
      <c r="F214" s="69">
        <f t="shared" si="78"/>
        <v>4824674</v>
      </c>
      <c r="G214" s="69">
        <f t="shared" si="78"/>
        <v>4911388</v>
      </c>
      <c r="H214" s="69">
        <f t="shared" si="78"/>
        <v>4908920</v>
      </c>
      <c r="I214" s="941">
        <f>H214/G214</f>
        <v>0.99949749439465996</v>
      </c>
      <c r="J214" s="87"/>
    </row>
    <row r="215" spans="1:10" s="85" customFormat="1" ht="12.75">
      <c r="A215" s="948">
        <v>1501</v>
      </c>
      <c r="B215" s="67" t="s">
        <v>158</v>
      </c>
      <c r="C215" s="172">
        <f t="shared" ref="C215:G216" si="79">SUM(C17)</f>
        <v>0</v>
      </c>
      <c r="D215" s="172">
        <f t="shared" si="79"/>
        <v>0</v>
      </c>
      <c r="E215" s="172">
        <f t="shared" si="79"/>
        <v>0</v>
      </c>
      <c r="F215" s="69">
        <f t="shared" si="79"/>
        <v>0</v>
      </c>
      <c r="G215" s="69">
        <f t="shared" si="79"/>
        <v>0</v>
      </c>
      <c r="H215" s="69">
        <f t="shared" ref="H215" si="80">SUM(H17)</f>
        <v>0</v>
      </c>
      <c r="I215" s="940"/>
      <c r="J215" s="87"/>
    </row>
    <row r="216" spans="1:10" s="85" customFormat="1" ht="12.75">
      <c r="A216" s="948">
        <v>1502</v>
      </c>
      <c r="B216" s="67" t="s">
        <v>747</v>
      </c>
      <c r="C216" s="172">
        <f t="shared" si="79"/>
        <v>0</v>
      </c>
      <c r="D216" s="172">
        <f t="shared" si="79"/>
        <v>0</v>
      </c>
      <c r="E216" s="172">
        <f t="shared" si="79"/>
        <v>0</v>
      </c>
      <c r="F216" s="69">
        <f t="shared" si="79"/>
        <v>0</v>
      </c>
      <c r="G216" s="69">
        <f t="shared" si="79"/>
        <v>0</v>
      </c>
      <c r="H216" s="69">
        <f t="shared" ref="H216" si="81">SUM(H18)</f>
        <v>0</v>
      </c>
      <c r="I216" s="940"/>
      <c r="J216" s="87"/>
    </row>
    <row r="217" spans="1:10" s="85" customFormat="1" ht="12.75">
      <c r="A217" s="948">
        <v>1503</v>
      </c>
      <c r="B217" s="67" t="s">
        <v>317</v>
      </c>
      <c r="C217" s="172">
        <f t="shared" ref="C217:H217" si="82">SUM(C172+C19+C126)</f>
        <v>2641465</v>
      </c>
      <c r="D217" s="172">
        <f t="shared" si="82"/>
        <v>2682165</v>
      </c>
      <c r="E217" s="172">
        <f t="shared" si="82"/>
        <v>2687165</v>
      </c>
      <c r="F217" s="69">
        <f t="shared" si="82"/>
        <v>2702940</v>
      </c>
      <c r="G217" s="69">
        <f t="shared" si="82"/>
        <v>2760273</v>
      </c>
      <c r="H217" s="69">
        <f t="shared" si="82"/>
        <v>2760351</v>
      </c>
      <c r="I217" s="941">
        <f>H217/G217</f>
        <v>1.000028258074473</v>
      </c>
      <c r="J217" s="87"/>
    </row>
    <row r="218" spans="1:10" s="85" customFormat="1" ht="12.75">
      <c r="A218" s="948">
        <v>1504</v>
      </c>
      <c r="B218" s="67" t="s">
        <v>426</v>
      </c>
      <c r="C218" s="172">
        <f t="shared" ref="C218:G219" si="83">SUM(C20)</f>
        <v>0</v>
      </c>
      <c r="D218" s="172">
        <f t="shared" si="83"/>
        <v>0</v>
      </c>
      <c r="E218" s="172">
        <f t="shared" si="83"/>
        <v>0</v>
      </c>
      <c r="F218" s="69">
        <f t="shared" si="83"/>
        <v>0</v>
      </c>
      <c r="G218" s="69">
        <f t="shared" si="83"/>
        <v>0</v>
      </c>
      <c r="H218" s="69">
        <f t="shared" ref="H218" si="84">SUM(H20)</f>
        <v>0</v>
      </c>
      <c r="I218" s="940"/>
      <c r="J218" s="87"/>
    </row>
    <row r="219" spans="1:10" s="85" customFormat="1" ht="13.5" thickBot="1">
      <c r="A219" s="959">
        <v>1506</v>
      </c>
      <c r="B219" s="86" t="s">
        <v>746</v>
      </c>
      <c r="C219" s="237">
        <f t="shared" si="83"/>
        <v>0</v>
      </c>
      <c r="D219" s="237">
        <f t="shared" si="83"/>
        <v>0</v>
      </c>
      <c r="E219" s="237">
        <f t="shared" si="83"/>
        <v>0</v>
      </c>
      <c r="F219" s="103">
        <f t="shared" si="83"/>
        <v>0</v>
      </c>
      <c r="G219" s="103">
        <f t="shared" si="83"/>
        <v>0</v>
      </c>
      <c r="H219" s="103">
        <f t="shared" ref="H219" si="85">SUM(H21)</f>
        <v>0</v>
      </c>
      <c r="I219" s="943"/>
      <c r="J219" s="87"/>
    </row>
    <row r="220" spans="1:10" s="85" customFormat="1" ht="13.5" thickBot="1">
      <c r="A220" s="731"/>
      <c r="B220" s="80" t="s">
        <v>318</v>
      </c>
      <c r="C220" s="365">
        <f t="shared" ref="C220:H220" si="86">SUM(C214:C219)</f>
        <v>6821086</v>
      </c>
      <c r="D220" s="365">
        <f t="shared" si="86"/>
        <v>7292396</v>
      </c>
      <c r="E220" s="365">
        <f t="shared" si="86"/>
        <v>7399530</v>
      </c>
      <c r="F220" s="365">
        <f t="shared" si="86"/>
        <v>7527614</v>
      </c>
      <c r="G220" s="365">
        <f t="shared" si="86"/>
        <v>7671661</v>
      </c>
      <c r="H220" s="365">
        <f t="shared" si="86"/>
        <v>7669271</v>
      </c>
      <c r="I220" s="732">
        <f t="shared" ref="I220:I227" si="87">H220/G220</f>
        <v>0.99968846381507215</v>
      </c>
      <c r="J220" s="87"/>
    </row>
    <row r="221" spans="1:10" s="85" customFormat="1" ht="12.75">
      <c r="A221" s="950">
        <v>1510</v>
      </c>
      <c r="B221" s="71" t="s">
        <v>160</v>
      </c>
      <c r="C221" s="70">
        <f t="shared" ref="C221:H221" si="88">SUM(C24)</f>
        <v>7272555</v>
      </c>
      <c r="D221" s="70">
        <f t="shared" si="88"/>
        <v>7272555</v>
      </c>
      <c r="E221" s="70">
        <f t="shared" si="88"/>
        <v>7272555</v>
      </c>
      <c r="F221" s="70">
        <f t="shared" si="88"/>
        <v>7272555</v>
      </c>
      <c r="G221" s="70">
        <f t="shared" si="88"/>
        <v>7686639</v>
      </c>
      <c r="H221" s="70">
        <f t="shared" si="88"/>
        <v>7686639</v>
      </c>
      <c r="I221" s="965">
        <f t="shared" si="87"/>
        <v>1</v>
      </c>
      <c r="J221" s="87"/>
    </row>
    <row r="222" spans="1:10" s="85" customFormat="1" ht="12.75">
      <c r="A222" s="948">
        <v>1511</v>
      </c>
      <c r="B222" s="71" t="s">
        <v>161</v>
      </c>
      <c r="C222" s="69">
        <f t="shared" ref="C222:H222" si="89">SUM(C27)</f>
        <v>10057538</v>
      </c>
      <c r="D222" s="69">
        <f t="shared" si="89"/>
        <v>10057538</v>
      </c>
      <c r="E222" s="69">
        <f t="shared" si="89"/>
        <v>10057538</v>
      </c>
      <c r="F222" s="69">
        <f t="shared" si="89"/>
        <v>10057538</v>
      </c>
      <c r="G222" s="69">
        <f t="shared" si="89"/>
        <v>10321341</v>
      </c>
      <c r="H222" s="69">
        <f t="shared" si="89"/>
        <v>10418364</v>
      </c>
      <c r="I222" s="941">
        <f t="shared" si="87"/>
        <v>1.0094002320047366</v>
      </c>
      <c r="J222" s="87"/>
    </row>
    <row r="223" spans="1:10" s="85" customFormat="1" ht="13.5" thickBot="1">
      <c r="A223" s="955">
        <v>1514</v>
      </c>
      <c r="B223" s="75" t="s">
        <v>135</v>
      </c>
      <c r="C223" s="74">
        <f t="shared" ref="C223:H223" si="90">SUM(C31+C131)</f>
        <v>1078041</v>
      </c>
      <c r="D223" s="74">
        <f t="shared" si="90"/>
        <v>1078041</v>
      </c>
      <c r="E223" s="74">
        <f t="shared" si="90"/>
        <v>1078041</v>
      </c>
      <c r="F223" s="74">
        <f t="shared" si="90"/>
        <v>1078041</v>
      </c>
      <c r="G223" s="74">
        <f t="shared" si="90"/>
        <v>1377013</v>
      </c>
      <c r="H223" s="74">
        <f t="shared" si="90"/>
        <v>1408845</v>
      </c>
      <c r="I223" s="951">
        <f t="shared" si="87"/>
        <v>1.0231167026019363</v>
      </c>
      <c r="J223" s="87"/>
    </row>
    <row r="224" spans="1:10" s="85" customFormat="1" ht="13.5" thickBot="1">
      <c r="A224" s="731"/>
      <c r="B224" s="117" t="s">
        <v>167</v>
      </c>
      <c r="C224" s="366">
        <f t="shared" ref="C224:D224" si="91">SUM(C221:C223)</f>
        <v>18408134</v>
      </c>
      <c r="D224" s="366">
        <f t="shared" si="91"/>
        <v>18408134</v>
      </c>
      <c r="E224" s="366">
        <f t="shared" ref="E224:F224" si="92">SUM(E221:E223)</f>
        <v>18408134</v>
      </c>
      <c r="F224" s="366">
        <f t="shared" si="92"/>
        <v>18408134</v>
      </c>
      <c r="G224" s="366">
        <f t="shared" ref="G224:H224" si="93">SUM(G221:G223)</f>
        <v>19384993</v>
      </c>
      <c r="H224" s="366">
        <f t="shared" si="93"/>
        <v>19513848</v>
      </c>
      <c r="I224" s="732">
        <f t="shared" si="87"/>
        <v>1.0066471522584506</v>
      </c>
      <c r="J224" s="87"/>
    </row>
    <row r="225" spans="1:10" s="85" customFormat="1" ht="12.75">
      <c r="A225" s="950">
        <v>1519</v>
      </c>
      <c r="B225" s="101" t="s">
        <v>312</v>
      </c>
      <c r="C225" s="70">
        <f t="shared" ref="C225:H225" si="94">C174</f>
        <v>50</v>
      </c>
      <c r="D225" s="70">
        <f t="shared" si="94"/>
        <v>50</v>
      </c>
      <c r="E225" s="70">
        <f t="shared" si="94"/>
        <v>776</v>
      </c>
      <c r="F225" s="70">
        <f t="shared" si="94"/>
        <v>776</v>
      </c>
      <c r="G225" s="70">
        <f t="shared" si="94"/>
        <v>976</v>
      </c>
      <c r="H225" s="70">
        <f t="shared" si="94"/>
        <v>976</v>
      </c>
      <c r="I225" s="946">
        <f t="shared" si="87"/>
        <v>1</v>
      </c>
      <c r="J225" s="87"/>
    </row>
    <row r="226" spans="1:10" s="85" customFormat="1" ht="12.75">
      <c r="A226" s="950">
        <v>1520</v>
      </c>
      <c r="B226" s="101" t="s">
        <v>168</v>
      </c>
      <c r="C226" s="70">
        <f t="shared" ref="C226:H226" si="95">SUM(C45+C132+C175)</f>
        <v>2408369</v>
      </c>
      <c r="D226" s="70">
        <f t="shared" si="95"/>
        <v>2405869</v>
      </c>
      <c r="E226" s="70">
        <f t="shared" si="95"/>
        <v>2435569</v>
      </c>
      <c r="F226" s="70">
        <f t="shared" si="95"/>
        <v>2467697</v>
      </c>
      <c r="G226" s="70">
        <f t="shared" si="95"/>
        <v>2654887</v>
      </c>
      <c r="H226" s="70">
        <f t="shared" si="95"/>
        <v>2655734</v>
      </c>
      <c r="I226" s="941">
        <f t="shared" si="87"/>
        <v>1.0003190342941151</v>
      </c>
      <c r="J226" s="87"/>
    </row>
    <row r="227" spans="1:10" s="85" customFormat="1" ht="12.75">
      <c r="A227" s="948">
        <v>1521</v>
      </c>
      <c r="B227" s="97" t="s">
        <v>169</v>
      </c>
      <c r="C227" s="69">
        <f t="shared" ref="C227:H227" si="96">SUM(C55+C135+C178)</f>
        <v>212884</v>
      </c>
      <c r="D227" s="69">
        <f t="shared" si="96"/>
        <v>212999</v>
      </c>
      <c r="E227" s="69">
        <f t="shared" si="96"/>
        <v>220593</v>
      </c>
      <c r="F227" s="69">
        <f t="shared" si="96"/>
        <v>222714</v>
      </c>
      <c r="G227" s="69">
        <f t="shared" si="96"/>
        <v>243765</v>
      </c>
      <c r="H227" s="69">
        <f t="shared" si="96"/>
        <v>243807</v>
      </c>
      <c r="I227" s="941">
        <f t="shared" si="87"/>
        <v>1.0001722970894098</v>
      </c>
      <c r="J227" s="87"/>
    </row>
    <row r="228" spans="1:10" s="85" customFormat="1" ht="12.75">
      <c r="A228" s="948">
        <v>1522</v>
      </c>
      <c r="B228" s="67" t="s">
        <v>272</v>
      </c>
      <c r="C228" s="69">
        <f t="shared" ref="C228:H228" si="97">SUM(C59)</f>
        <v>0</v>
      </c>
      <c r="D228" s="69">
        <f t="shared" si="97"/>
        <v>0</v>
      </c>
      <c r="E228" s="69">
        <f t="shared" si="97"/>
        <v>0</v>
      </c>
      <c r="F228" s="69">
        <f t="shared" si="97"/>
        <v>0</v>
      </c>
      <c r="G228" s="69">
        <f t="shared" si="97"/>
        <v>0</v>
      </c>
      <c r="H228" s="69">
        <f t="shared" si="97"/>
        <v>0</v>
      </c>
      <c r="I228" s="941"/>
      <c r="J228" s="87"/>
    </row>
    <row r="229" spans="1:10" s="85" customFormat="1" ht="12.75">
      <c r="A229" s="948">
        <v>1523</v>
      </c>
      <c r="B229" s="67" t="s">
        <v>172</v>
      </c>
      <c r="C229" s="69">
        <f t="shared" ref="C229:H229" si="98">SUM(C136+C179+C60)</f>
        <v>196051</v>
      </c>
      <c r="D229" s="69">
        <f t="shared" si="98"/>
        <v>198551</v>
      </c>
      <c r="E229" s="69">
        <f t="shared" si="98"/>
        <v>198551</v>
      </c>
      <c r="F229" s="69">
        <f t="shared" si="98"/>
        <v>198551</v>
      </c>
      <c r="G229" s="69">
        <f t="shared" si="98"/>
        <v>250749</v>
      </c>
      <c r="H229" s="69">
        <f t="shared" si="98"/>
        <v>249565</v>
      </c>
      <c r="I229" s="941">
        <f t="shared" ref="I229:I239" si="99">H229/G229</f>
        <v>0.99527814667256898</v>
      </c>
      <c r="J229" s="87"/>
    </row>
    <row r="230" spans="1:10" s="85" customFormat="1" ht="12.75">
      <c r="A230" s="948">
        <v>1524</v>
      </c>
      <c r="B230" s="67" t="s">
        <v>173</v>
      </c>
      <c r="C230" s="69">
        <f t="shared" ref="C230:H230" si="100">SUM(C61+C137+C180)</f>
        <v>681262</v>
      </c>
      <c r="D230" s="69">
        <f t="shared" si="100"/>
        <v>1588381</v>
      </c>
      <c r="E230" s="69">
        <f t="shared" si="100"/>
        <v>1588381</v>
      </c>
      <c r="F230" s="69">
        <f t="shared" si="100"/>
        <v>1595229</v>
      </c>
      <c r="G230" s="69">
        <f t="shared" si="100"/>
        <v>1704621</v>
      </c>
      <c r="H230" s="69">
        <f t="shared" si="100"/>
        <v>1704902</v>
      </c>
      <c r="I230" s="941">
        <f t="shared" si="99"/>
        <v>1.0001648460273573</v>
      </c>
      <c r="J230" s="87"/>
    </row>
    <row r="231" spans="1:10" s="85" customFormat="1" ht="12.75">
      <c r="A231" s="948">
        <v>1525</v>
      </c>
      <c r="B231" s="71" t="s">
        <v>174</v>
      </c>
      <c r="C231" s="69">
        <f t="shared" ref="C231:G232" si="101">SUM(C65+C138+C181)</f>
        <v>18000</v>
      </c>
      <c r="D231" s="69">
        <f t="shared" si="101"/>
        <v>18000</v>
      </c>
      <c r="E231" s="69">
        <f t="shared" si="101"/>
        <v>52357</v>
      </c>
      <c r="F231" s="69">
        <f t="shared" si="101"/>
        <v>75977</v>
      </c>
      <c r="G231" s="69">
        <f t="shared" si="101"/>
        <v>96890</v>
      </c>
      <c r="H231" s="69">
        <f t="shared" ref="H231" si="102">SUM(H65+H138+H181)</f>
        <v>96890</v>
      </c>
      <c r="I231" s="941">
        <f t="shared" si="99"/>
        <v>1</v>
      </c>
      <c r="J231" s="87"/>
    </row>
    <row r="232" spans="1:10" s="85" customFormat="1" ht="12.75">
      <c r="A232" s="948">
        <v>1526</v>
      </c>
      <c r="B232" s="66" t="s">
        <v>343</v>
      </c>
      <c r="C232" s="69">
        <f t="shared" si="101"/>
        <v>150000</v>
      </c>
      <c r="D232" s="69">
        <f t="shared" si="101"/>
        <v>150000</v>
      </c>
      <c r="E232" s="69">
        <f t="shared" si="101"/>
        <v>150004</v>
      </c>
      <c r="F232" s="69">
        <f t="shared" si="101"/>
        <v>150004</v>
      </c>
      <c r="G232" s="69">
        <f t="shared" si="101"/>
        <v>263496</v>
      </c>
      <c r="H232" s="69">
        <f t="shared" ref="H232" si="103">SUM(H66+H139+H182)</f>
        <v>261685</v>
      </c>
      <c r="I232" s="941">
        <f t="shared" si="99"/>
        <v>0.99312703039135319</v>
      </c>
      <c r="J232" s="87"/>
    </row>
    <row r="233" spans="1:10" s="85" customFormat="1" ht="12.75">
      <c r="A233" s="957">
        <v>1529</v>
      </c>
      <c r="B233" s="449" t="s">
        <v>1068</v>
      </c>
      <c r="C233" s="103">
        <f t="shared" ref="C233:H233" si="104">C68+C140+C183</f>
        <v>0</v>
      </c>
      <c r="D233" s="103">
        <f t="shared" si="104"/>
        <v>0</v>
      </c>
      <c r="E233" s="103">
        <f t="shared" si="104"/>
        <v>296</v>
      </c>
      <c r="F233" s="103">
        <f t="shared" si="104"/>
        <v>296</v>
      </c>
      <c r="G233" s="103">
        <f t="shared" si="104"/>
        <v>376</v>
      </c>
      <c r="H233" s="103">
        <f t="shared" si="104"/>
        <v>376</v>
      </c>
      <c r="I233" s="941">
        <f t="shared" si="99"/>
        <v>1</v>
      </c>
      <c r="J233" s="87"/>
    </row>
    <row r="234" spans="1:10" s="85" customFormat="1" ht="13.5" thickBot="1">
      <c r="A234" s="955">
        <v>1528</v>
      </c>
      <c r="B234" s="75" t="s">
        <v>175</v>
      </c>
      <c r="C234" s="74">
        <f t="shared" ref="C234:H234" si="105">SUM(C69+C141+C184+C70)</f>
        <v>71415</v>
      </c>
      <c r="D234" s="74">
        <f t="shared" si="105"/>
        <v>3554115</v>
      </c>
      <c r="E234" s="74">
        <f t="shared" si="105"/>
        <v>3569352</v>
      </c>
      <c r="F234" s="74">
        <f t="shared" si="105"/>
        <v>3575450</v>
      </c>
      <c r="G234" s="74">
        <f t="shared" si="105"/>
        <v>3609378</v>
      </c>
      <c r="H234" s="74">
        <f t="shared" si="105"/>
        <v>3644841</v>
      </c>
      <c r="I234" s="951">
        <f t="shared" si="99"/>
        <v>1.0098252385868147</v>
      </c>
      <c r="J234" s="87"/>
    </row>
    <row r="235" spans="1:10" s="85" customFormat="1" ht="13.5" thickBot="1">
      <c r="A235" s="731"/>
      <c r="B235" s="80" t="s">
        <v>270</v>
      </c>
      <c r="C235" s="366">
        <f t="shared" ref="C235:D235" si="106">SUM(C225:C234)</f>
        <v>3738031</v>
      </c>
      <c r="D235" s="366">
        <f t="shared" si="106"/>
        <v>8127965</v>
      </c>
      <c r="E235" s="366">
        <f>SUM(E225:E234)</f>
        <v>8215879</v>
      </c>
      <c r="F235" s="366">
        <f>SUM(F225:F234)</f>
        <v>8286694</v>
      </c>
      <c r="G235" s="366">
        <f>SUM(G225:G234)</f>
        <v>8825138</v>
      </c>
      <c r="H235" s="366">
        <f>SUM(H225:H234)</f>
        <v>8858776</v>
      </c>
      <c r="I235" s="732">
        <f t="shared" si="99"/>
        <v>1.0038116117844276</v>
      </c>
      <c r="J235" s="87"/>
    </row>
    <row r="236" spans="1:10" s="85" customFormat="1" ht="13.5" thickBot="1">
      <c r="A236" s="952">
        <v>1530</v>
      </c>
      <c r="B236" s="122" t="s">
        <v>176</v>
      </c>
      <c r="C236" s="84">
        <f t="shared" ref="C236:H236" si="107">SUM(C82+C144+C188)</f>
        <v>0</v>
      </c>
      <c r="D236" s="84">
        <f t="shared" si="107"/>
        <v>0</v>
      </c>
      <c r="E236" s="84">
        <f t="shared" si="107"/>
        <v>44249</v>
      </c>
      <c r="F236" s="84">
        <f t="shared" si="107"/>
        <v>47049</v>
      </c>
      <c r="G236" s="84">
        <f t="shared" si="107"/>
        <v>57381</v>
      </c>
      <c r="H236" s="84">
        <f t="shared" si="107"/>
        <v>16355</v>
      </c>
      <c r="I236" s="941">
        <f t="shared" si="99"/>
        <v>0.28502465973057284</v>
      </c>
      <c r="J236" s="87"/>
    </row>
    <row r="237" spans="1:10" s="85" customFormat="1" ht="13.5" thickBot="1">
      <c r="A237" s="966"/>
      <c r="B237" s="120" t="s">
        <v>177</v>
      </c>
      <c r="C237" s="367">
        <f t="shared" ref="C237:D237" si="108">SUM(C236)</f>
        <v>0</v>
      </c>
      <c r="D237" s="367">
        <f t="shared" si="108"/>
        <v>0</v>
      </c>
      <c r="E237" s="367">
        <f t="shared" ref="E237:F237" si="109">SUM(E236)</f>
        <v>44249</v>
      </c>
      <c r="F237" s="367">
        <f t="shared" si="109"/>
        <v>47049</v>
      </c>
      <c r="G237" s="367">
        <f t="shared" ref="G237:H237" si="110">SUM(G236)</f>
        <v>57381</v>
      </c>
      <c r="H237" s="367">
        <f t="shared" si="110"/>
        <v>16355</v>
      </c>
      <c r="I237" s="732">
        <f t="shared" si="99"/>
        <v>0.28502465973057284</v>
      </c>
      <c r="J237" s="87"/>
    </row>
    <row r="238" spans="1:10" s="85" customFormat="1" ht="17.25" thickTop="1" thickBot="1">
      <c r="A238" s="968"/>
      <c r="B238" s="119" t="s">
        <v>44</v>
      </c>
      <c r="C238" s="367">
        <f t="shared" ref="C238:H238" si="111">SUM(C220+C224+C235+C237)</f>
        <v>28967251</v>
      </c>
      <c r="D238" s="367">
        <f t="shared" si="111"/>
        <v>33828495</v>
      </c>
      <c r="E238" s="367">
        <f t="shared" si="111"/>
        <v>34067792</v>
      </c>
      <c r="F238" s="367">
        <f t="shared" si="111"/>
        <v>34269491</v>
      </c>
      <c r="G238" s="367">
        <f t="shared" si="111"/>
        <v>35939173</v>
      </c>
      <c r="H238" s="367">
        <f t="shared" si="111"/>
        <v>36058250</v>
      </c>
      <c r="I238" s="969">
        <f t="shared" si="99"/>
        <v>1.003313292712662</v>
      </c>
      <c r="J238" s="87"/>
    </row>
    <row r="239" spans="1:10" s="85" customFormat="1" ht="13.5" thickTop="1">
      <c r="A239" s="950">
        <v>1540</v>
      </c>
      <c r="B239" s="71" t="s">
        <v>178</v>
      </c>
      <c r="C239" s="70">
        <f t="shared" ref="C239:G242" si="112">SUM(C86)</f>
        <v>1500000</v>
      </c>
      <c r="D239" s="70">
        <f t="shared" si="112"/>
        <v>1500000</v>
      </c>
      <c r="E239" s="70">
        <f t="shared" si="112"/>
        <v>1500000</v>
      </c>
      <c r="F239" s="70">
        <f t="shared" si="112"/>
        <v>1500000</v>
      </c>
      <c r="G239" s="70">
        <f t="shared" si="112"/>
        <v>1500000</v>
      </c>
      <c r="H239" s="70">
        <f t="shared" ref="H239" si="113">SUM(H86)</f>
        <v>750000</v>
      </c>
      <c r="I239" s="946">
        <f t="shared" si="99"/>
        <v>0.5</v>
      </c>
      <c r="J239" s="87"/>
    </row>
    <row r="240" spans="1:10" s="85" customFormat="1" ht="12.75">
      <c r="A240" s="950">
        <v>1541</v>
      </c>
      <c r="B240" s="67" t="s">
        <v>747</v>
      </c>
      <c r="C240" s="70">
        <f t="shared" si="112"/>
        <v>0</v>
      </c>
      <c r="D240" s="70">
        <f t="shared" si="112"/>
        <v>0</v>
      </c>
      <c r="E240" s="70">
        <f t="shared" si="112"/>
        <v>0</v>
      </c>
      <c r="F240" s="70">
        <f t="shared" si="112"/>
        <v>0</v>
      </c>
      <c r="G240" s="70">
        <f t="shared" si="112"/>
        <v>0</v>
      </c>
      <c r="H240" s="70">
        <f t="shared" ref="H240" si="114">SUM(H87)</f>
        <v>0</v>
      </c>
      <c r="I240" s="940"/>
      <c r="J240" s="87"/>
    </row>
    <row r="241" spans="1:10" s="85" customFormat="1" ht="12.75">
      <c r="A241" s="948">
        <v>1542</v>
      </c>
      <c r="B241" s="67" t="s">
        <v>330</v>
      </c>
      <c r="C241" s="69">
        <f t="shared" si="112"/>
        <v>0</v>
      </c>
      <c r="D241" s="69">
        <f t="shared" si="112"/>
        <v>0</v>
      </c>
      <c r="E241" s="69">
        <f t="shared" si="112"/>
        <v>0</v>
      </c>
      <c r="F241" s="69">
        <f t="shared" si="112"/>
        <v>0</v>
      </c>
      <c r="G241" s="69">
        <f t="shared" si="112"/>
        <v>0</v>
      </c>
      <c r="H241" s="69">
        <f t="shared" ref="H241" si="115">SUM(H88)</f>
        <v>0</v>
      </c>
      <c r="I241" s="940"/>
      <c r="J241" s="87"/>
    </row>
    <row r="242" spans="1:10" s="85" customFormat="1" ht="12.75">
      <c r="A242" s="948">
        <v>1542</v>
      </c>
      <c r="B242" s="67" t="s">
        <v>331</v>
      </c>
      <c r="C242" s="69">
        <f t="shared" si="112"/>
        <v>0</v>
      </c>
      <c r="D242" s="69">
        <f t="shared" si="112"/>
        <v>0</v>
      </c>
      <c r="E242" s="69">
        <f t="shared" si="112"/>
        <v>0</v>
      </c>
      <c r="F242" s="69">
        <f t="shared" si="112"/>
        <v>0</v>
      </c>
      <c r="G242" s="69">
        <f t="shared" si="112"/>
        <v>0</v>
      </c>
      <c r="H242" s="69">
        <f t="shared" ref="H242" si="116">SUM(H89)</f>
        <v>0</v>
      </c>
      <c r="I242" s="940"/>
      <c r="J242" s="87"/>
    </row>
    <row r="243" spans="1:10" s="85" customFormat="1" ht="13.5" thickBot="1">
      <c r="A243" s="955">
        <v>1544</v>
      </c>
      <c r="B243" s="75" t="s">
        <v>329</v>
      </c>
      <c r="C243" s="74">
        <f t="shared" ref="C243:H243" si="117">SUM(C93+C94+C193)</f>
        <v>0</v>
      </c>
      <c r="D243" s="74">
        <f t="shared" si="117"/>
        <v>0</v>
      </c>
      <c r="E243" s="74">
        <f t="shared" si="117"/>
        <v>0</v>
      </c>
      <c r="F243" s="74">
        <f t="shared" si="117"/>
        <v>1530</v>
      </c>
      <c r="G243" s="74">
        <f t="shared" si="117"/>
        <v>1530</v>
      </c>
      <c r="H243" s="74">
        <f t="shared" si="117"/>
        <v>1530</v>
      </c>
      <c r="I243" s="941">
        <f t="shared" ref="I243:I249" si="118">H243/G243</f>
        <v>1</v>
      </c>
      <c r="J243" s="87"/>
    </row>
    <row r="244" spans="1:10" s="85" customFormat="1" ht="13.5" thickBot="1">
      <c r="A244" s="944"/>
      <c r="B244" s="147" t="s">
        <v>324</v>
      </c>
      <c r="C244" s="366">
        <f t="shared" ref="C244:D244" si="119">SUM(C239:C243)</f>
        <v>1500000</v>
      </c>
      <c r="D244" s="366">
        <f t="shared" si="119"/>
        <v>1500000</v>
      </c>
      <c r="E244" s="366">
        <f t="shared" ref="E244:F244" si="120">SUM(E239:E243)</f>
        <v>1500000</v>
      </c>
      <c r="F244" s="366">
        <f t="shared" si="120"/>
        <v>1501530</v>
      </c>
      <c r="G244" s="366">
        <f t="shared" ref="G244:H244" si="121">SUM(G239:G243)</f>
        <v>1501530</v>
      </c>
      <c r="H244" s="366">
        <f t="shared" si="121"/>
        <v>751530</v>
      </c>
      <c r="I244" s="732">
        <f t="shared" si="118"/>
        <v>0.50050948033006337</v>
      </c>
      <c r="J244" s="87"/>
    </row>
    <row r="245" spans="1:10" s="85" customFormat="1" ht="12.75">
      <c r="A245" s="950">
        <v>1550</v>
      </c>
      <c r="B245" s="71" t="s">
        <v>182</v>
      </c>
      <c r="C245" s="70">
        <f t="shared" ref="C245:H245" si="122">SUM(C97)</f>
        <v>200000</v>
      </c>
      <c r="D245" s="70">
        <f t="shared" si="122"/>
        <v>200000</v>
      </c>
      <c r="E245" s="70">
        <f t="shared" si="122"/>
        <v>629867</v>
      </c>
      <c r="F245" s="70">
        <f t="shared" si="122"/>
        <v>932407</v>
      </c>
      <c r="G245" s="70">
        <f t="shared" si="122"/>
        <v>1013059</v>
      </c>
      <c r="H245" s="70">
        <f t="shared" si="122"/>
        <v>1110158</v>
      </c>
      <c r="I245" s="965">
        <f t="shared" si="118"/>
        <v>1.0958473297211713</v>
      </c>
      <c r="J245" s="87"/>
    </row>
    <row r="246" spans="1:10" s="85" customFormat="1" ht="13.5" thickBot="1">
      <c r="A246" s="948">
        <v>1551</v>
      </c>
      <c r="B246" s="67" t="s">
        <v>188</v>
      </c>
      <c r="C246" s="103">
        <f t="shared" ref="C246:H246" si="123">C153+C196</f>
        <v>0</v>
      </c>
      <c r="D246" s="103">
        <f t="shared" si="123"/>
        <v>0</v>
      </c>
      <c r="E246" s="103">
        <f t="shared" si="123"/>
        <v>0</v>
      </c>
      <c r="F246" s="103">
        <f t="shared" si="123"/>
        <v>0</v>
      </c>
      <c r="G246" s="103">
        <f t="shared" si="123"/>
        <v>583</v>
      </c>
      <c r="H246" s="103">
        <f t="shared" si="123"/>
        <v>583</v>
      </c>
      <c r="I246" s="941">
        <f t="shared" si="118"/>
        <v>1</v>
      </c>
      <c r="J246" s="87"/>
    </row>
    <row r="247" spans="1:10" s="85" customFormat="1" ht="13.5" thickBot="1">
      <c r="A247" s="731"/>
      <c r="B247" s="80" t="s">
        <v>183</v>
      </c>
      <c r="C247" s="365">
        <f t="shared" ref="C247:D247" si="124">SUM(C245:C246)</f>
        <v>200000</v>
      </c>
      <c r="D247" s="365">
        <f t="shared" si="124"/>
        <v>200000</v>
      </c>
      <c r="E247" s="365">
        <f t="shared" ref="E247:F247" si="125">SUM(E245:E246)</f>
        <v>629867</v>
      </c>
      <c r="F247" s="365">
        <f t="shared" si="125"/>
        <v>932407</v>
      </c>
      <c r="G247" s="365">
        <f t="shared" ref="G247:H247" si="126">SUM(G245:G246)</f>
        <v>1013642</v>
      </c>
      <c r="H247" s="365">
        <f t="shared" si="126"/>
        <v>1110741</v>
      </c>
      <c r="I247" s="732">
        <f t="shared" si="118"/>
        <v>1.0957922027698141</v>
      </c>
      <c r="J247" s="87"/>
    </row>
    <row r="248" spans="1:10" s="85" customFormat="1" ht="12.75">
      <c r="A248" s="950">
        <v>1560</v>
      </c>
      <c r="B248" s="81" t="s">
        <v>332</v>
      </c>
      <c r="C248" s="70">
        <f t="shared" ref="C248:H248" si="127">SUM(C102+C157)</f>
        <v>18000</v>
      </c>
      <c r="D248" s="70">
        <f t="shared" si="127"/>
        <v>18000</v>
      </c>
      <c r="E248" s="70">
        <f t="shared" si="127"/>
        <v>18000</v>
      </c>
      <c r="F248" s="70">
        <f t="shared" si="127"/>
        <v>18000</v>
      </c>
      <c r="G248" s="70">
        <f t="shared" si="127"/>
        <v>19439</v>
      </c>
      <c r="H248" s="70">
        <f t="shared" si="127"/>
        <v>18568</v>
      </c>
      <c r="I248" s="970">
        <f t="shared" si="118"/>
        <v>0.95519316837285873</v>
      </c>
      <c r="J248" s="87"/>
    </row>
    <row r="249" spans="1:10" s="85" customFormat="1" ht="12.75">
      <c r="A249" s="957">
        <v>1561</v>
      </c>
      <c r="B249" s="73" t="s">
        <v>185</v>
      </c>
      <c r="C249" s="103">
        <f t="shared" ref="C249:H249" si="128">C106+C200+C105</f>
        <v>0</v>
      </c>
      <c r="D249" s="103">
        <f t="shared" si="128"/>
        <v>10000</v>
      </c>
      <c r="E249" s="103">
        <f t="shared" si="128"/>
        <v>419899</v>
      </c>
      <c r="F249" s="103">
        <f t="shared" si="128"/>
        <v>419899</v>
      </c>
      <c r="G249" s="103">
        <f t="shared" si="128"/>
        <v>420055</v>
      </c>
      <c r="H249" s="103">
        <f t="shared" si="128"/>
        <v>410156</v>
      </c>
      <c r="I249" s="941">
        <f t="shared" si="118"/>
        <v>0.97643403839973342</v>
      </c>
      <c r="J249" s="87"/>
    </row>
    <row r="250" spans="1:10" s="85" customFormat="1" ht="13.5" thickBot="1">
      <c r="A250" s="955">
        <v>1562</v>
      </c>
      <c r="B250" s="75" t="s">
        <v>288</v>
      </c>
      <c r="C250" s="74">
        <f t="shared" ref="C250:H250" si="129">C107</f>
        <v>0</v>
      </c>
      <c r="D250" s="74">
        <f t="shared" si="129"/>
        <v>0</v>
      </c>
      <c r="E250" s="74">
        <f t="shared" si="129"/>
        <v>0</v>
      </c>
      <c r="F250" s="74">
        <f t="shared" si="129"/>
        <v>0</v>
      </c>
      <c r="G250" s="74">
        <f t="shared" si="129"/>
        <v>0</v>
      </c>
      <c r="H250" s="74">
        <f t="shared" si="129"/>
        <v>0</v>
      </c>
      <c r="I250" s="951"/>
      <c r="J250" s="87"/>
    </row>
    <row r="251" spans="1:10" s="85" customFormat="1" ht="13.5" thickBot="1">
      <c r="A251" s="971"/>
      <c r="B251" s="118" t="s">
        <v>186</v>
      </c>
      <c r="C251" s="367">
        <f t="shared" ref="C251:D251" si="130">SUM(C248:C250)</f>
        <v>18000</v>
      </c>
      <c r="D251" s="367">
        <f t="shared" si="130"/>
        <v>28000</v>
      </c>
      <c r="E251" s="367">
        <f t="shared" ref="E251:F251" si="131">SUM(E248:E250)</f>
        <v>437899</v>
      </c>
      <c r="F251" s="367">
        <f t="shared" si="131"/>
        <v>437899</v>
      </c>
      <c r="G251" s="367">
        <f t="shared" ref="G251:H251" si="132">SUM(G248:G250)</f>
        <v>439494</v>
      </c>
      <c r="H251" s="367">
        <f t="shared" si="132"/>
        <v>428724</v>
      </c>
      <c r="I251" s="967">
        <f t="shared" ref="I251:I256" si="133">H251/G251</f>
        <v>0.97549454600062802</v>
      </c>
      <c r="J251" s="87"/>
    </row>
    <row r="252" spans="1:10" s="85" customFormat="1" ht="17.25" thickTop="1" thickBot="1">
      <c r="A252" s="968"/>
      <c r="B252" s="121" t="s">
        <v>45</v>
      </c>
      <c r="C252" s="368">
        <f t="shared" ref="C252:D252" si="134">SUM(C244+C247+C251)</f>
        <v>1718000</v>
      </c>
      <c r="D252" s="368">
        <f t="shared" si="134"/>
        <v>1728000</v>
      </c>
      <c r="E252" s="368">
        <f t="shared" ref="E252:F252" si="135">SUM(E244+E247+E251)</f>
        <v>2567766</v>
      </c>
      <c r="F252" s="368">
        <f t="shared" si="135"/>
        <v>2871836</v>
      </c>
      <c r="G252" s="368">
        <f t="shared" ref="G252:H252" si="136">SUM(G244+G247+G251)</f>
        <v>2954666</v>
      </c>
      <c r="H252" s="368">
        <f t="shared" si="136"/>
        <v>2290995</v>
      </c>
      <c r="I252" s="969">
        <f t="shared" si="133"/>
        <v>0.77538205671977811</v>
      </c>
      <c r="J252" s="87"/>
    </row>
    <row r="253" spans="1:10" s="85" customFormat="1" ht="13.5" thickTop="1">
      <c r="A253" s="950">
        <v>1570</v>
      </c>
      <c r="B253" s="71" t="s">
        <v>327</v>
      </c>
      <c r="C253" s="369">
        <f t="shared" ref="C253:H253" si="137">SUM(C160+C112+C203)</f>
        <v>138592</v>
      </c>
      <c r="D253" s="369">
        <f t="shared" si="137"/>
        <v>2029108</v>
      </c>
      <c r="E253" s="369">
        <f t="shared" si="137"/>
        <v>2030737</v>
      </c>
      <c r="F253" s="369">
        <f t="shared" si="137"/>
        <v>2030737</v>
      </c>
      <c r="G253" s="369">
        <f t="shared" si="137"/>
        <v>2030737</v>
      </c>
      <c r="H253" s="369">
        <f t="shared" si="137"/>
        <v>2030737</v>
      </c>
      <c r="I253" s="965">
        <f t="shared" si="133"/>
        <v>1</v>
      </c>
      <c r="J253" s="87"/>
    </row>
    <row r="254" spans="1:10" s="85" customFormat="1" ht="12.75">
      <c r="A254" s="948">
        <v>1571</v>
      </c>
      <c r="B254" s="67" t="s">
        <v>355</v>
      </c>
      <c r="C254" s="69">
        <f t="shared" ref="C254:H254" si="138">SUM(C204+C161)</f>
        <v>13247915</v>
      </c>
      <c r="D254" s="69">
        <f t="shared" si="138"/>
        <v>14494193</v>
      </c>
      <c r="E254" s="69">
        <f t="shared" si="138"/>
        <v>14620378</v>
      </c>
      <c r="F254" s="69">
        <f t="shared" si="138"/>
        <v>15081258</v>
      </c>
      <c r="G254" s="69">
        <f t="shared" si="138"/>
        <v>15144194</v>
      </c>
      <c r="H254" s="69">
        <f t="shared" si="138"/>
        <v>13831839</v>
      </c>
      <c r="I254" s="941">
        <f t="shared" si="133"/>
        <v>0.91334269753807962</v>
      </c>
      <c r="J254" s="87"/>
    </row>
    <row r="255" spans="1:10" s="85" customFormat="1" ht="12.75">
      <c r="A255" s="948">
        <v>1572</v>
      </c>
      <c r="B255" s="67" t="s">
        <v>411</v>
      </c>
      <c r="C255" s="69">
        <f t="shared" ref="C255:H255" si="139">SUM(C114)</f>
        <v>0</v>
      </c>
      <c r="D255" s="69">
        <f t="shared" si="139"/>
        <v>255701</v>
      </c>
      <c r="E255" s="69">
        <f t="shared" si="139"/>
        <v>1390931</v>
      </c>
      <c r="F255" s="69">
        <f t="shared" si="139"/>
        <v>1838270</v>
      </c>
      <c r="G255" s="69">
        <f t="shared" si="139"/>
        <v>2117195</v>
      </c>
      <c r="H255" s="69">
        <f t="shared" si="139"/>
        <v>2117193</v>
      </c>
      <c r="I255" s="940">
        <f t="shared" si="133"/>
        <v>0.99999905535389988</v>
      </c>
      <c r="J255" s="87"/>
    </row>
    <row r="256" spans="1:10" s="85" customFormat="1" ht="12.75">
      <c r="A256" s="948">
        <v>1219</v>
      </c>
      <c r="B256" s="67" t="s">
        <v>1096</v>
      </c>
      <c r="C256" s="69">
        <f>C115</f>
        <v>0</v>
      </c>
      <c r="D256" s="69">
        <f t="shared" ref="D256:G256" si="140">D115</f>
        <v>0</v>
      </c>
      <c r="E256" s="69">
        <f t="shared" si="140"/>
        <v>0</v>
      </c>
      <c r="F256" s="69">
        <f t="shared" si="140"/>
        <v>0</v>
      </c>
      <c r="G256" s="69">
        <f t="shared" si="140"/>
        <v>15500000</v>
      </c>
      <c r="H256" s="69">
        <f t="shared" ref="H256" si="141">H115</f>
        <v>4000000</v>
      </c>
      <c r="I256" s="941">
        <f t="shared" si="133"/>
        <v>0.25806451612903225</v>
      </c>
      <c r="J256" s="87"/>
    </row>
    <row r="257" spans="1:10" s="85" customFormat="1" ht="13.5" thickBot="1">
      <c r="A257" s="959">
        <v>1573</v>
      </c>
      <c r="B257" s="73" t="s">
        <v>340</v>
      </c>
      <c r="C257" s="82">
        <f t="shared" ref="C257:H257" si="142">SUM(C202)</f>
        <v>0</v>
      </c>
      <c r="D257" s="156">
        <f t="shared" si="142"/>
        <v>0</v>
      </c>
      <c r="E257" s="156">
        <f t="shared" si="142"/>
        <v>0</v>
      </c>
      <c r="F257" s="156">
        <f t="shared" si="142"/>
        <v>0</v>
      </c>
      <c r="G257" s="156">
        <f t="shared" si="142"/>
        <v>0</v>
      </c>
      <c r="H257" s="156">
        <f t="shared" si="142"/>
        <v>0</v>
      </c>
      <c r="I257" s="943"/>
      <c r="J257" s="87"/>
    </row>
    <row r="258" spans="1:10" s="85" customFormat="1" ht="15" thickBot="1">
      <c r="A258" s="731"/>
      <c r="B258" s="123" t="s">
        <v>38</v>
      </c>
      <c r="C258" s="365">
        <f t="shared" ref="C258:H258" si="143">SUM(C253:C257)</f>
        <v>13386507</v>
      </c>
      <c r="D258" s="365">
        <f t="shared" si="143"/>
        <v>16779002</v>
      </c>
      <c r="E258" s="365">
        <f t="shared" si="143"/>
        <v>18042046</v>
      </c>
      <c r="F258" s="365">
        <f t="shared" si="143"/>
        <v>18950265</v>
      </c>
      <c r="G258" s="365">
        <f t="shared" si="143"/>
        <v>34792126</v>
      </c>
      <c r="H258" s="365">
        <f t="shared" si="143"/>
        <v>21979769</v>
      </c>
      <c r="I258" s="732">
        <f>H258/G258</f>
        <v>0.63174549896720888</v>
      </c>
      <c r="J258" s="87"/>
    </row>
    <row r="259" spans="1:10" s="85" customFormat="1" ht="12" customHeight="1" thickBot="1">
      <c r="A259" s="948">
        <v>1581</v>
      </c>
      <c r="B259" s="67" t="s">
        <v>327</v>
      </c>
      <c r="C259" s="370">
        <f t="shared" ref="C259:H259" si="144">SUM(C118+C164+C208)</f>
        <v>5535272</v>
      </c>
      <c r="D259" s="370">
        <f t="shared" si="144"/>
        <v>7660297</v>
      </c>
      <c r="E259" s="370">
        <f t="shared" si="144"/>
        <v>7660297</v>
      </c>
      <c r="F259" s="370">
        <f t="shared" si="144"/>
        <v>7660297</v>
      </c>
      <c r="G259" s="370">
        <f t="shared" si="144"/>
        <v>7660297</v>
      </c>
      <c r="H259" s="370">
        <f t="shared" si="144"/>
        <v>7660297</v>
      </c>
      <c r="I259" s="732">
        <f>H259/G259</f>
        <v>1</v>
      </c>
      <c r="J259" s="87"/>
    </row>
    <row r="260" spans="1:10" s="85" customFormat="1" ht="13.5" thickBot="1">
      <c r="A260" s="731"/>
      <c r="B260" s="92" t="s">
        <v>187</v>
      </c>
      <c r="C260" s="365">
        <f t="shared" ref="C260:D260" si="145">SUM(C259:C259)</f>
        <v>5535272</v>
      </c>
      <c r="D260" s="365">
        <f t="shared" si="145"/>
        <v>7660297</v>
      </c>
      <c r="E260" s="365">
        <f t="shared" ref="E260:F260" si="146">SUM(E259:E259)</f>
        <v>7660297</v>
      </c>
      <c r="F260" s="365">
        <f t="shared" si="146"/>
        <v>7660297</v>
      </c>
      <c r="G260" s="365">
        <f t="shared" ref="G260:H260" si="147">SUM(G259:G259)</f>
        <v>7660297</v>
      </c>
      <c r="H260" s="365">
        <f t="shared" si="147"/>
        <v>7660297</v>
      </c>
      <c r="I260" s="732">
        <f>H260/G260</f>
        <v>1</v>
      </c>
      <c r="J260" s="87"/>
    </row>
    <row r="261" spans="1:10" s="85" customFormat="1" ht="18.75" customHeight="1" thickBot="1">
      <c r="A261" s="731"/>
      <c r="B261" s="94" t="s">
        <v>801</v>
      </c>
      <c r="C261" s="371">
        <f t="shared" ref="C261:H261" si="148">SUM(C238+C252+C259+C253+C257+C255+C256)</f>
        <v>36359115</v>
      </c>
      <c r="D261" s="371">
        <f t="shared" si="148"/>
        <v>45501601</v>
      </c>
      <c r="E261" s="371">
        <f t="shared" si="148"/>
        <v>47717523</v>
      </c>
      <c r="F261" s="371">
        <f t="shared" si="148"/>
        <v>48670631</v>
      </c>
      <c r="G261" s="371">
        <f t="shared" si="148"/>
        <v>66202068</v>
      </c>
      <c r="H261" s="371">
        <f t="shared" si="148"/>
        <v>54157472</v>
      </c>
      <c r="I261" s="972">
        <f>H261/G261</f>
        <v>0.81806314570112826</v>
      </c>
      <c r="J261" s="87"/>
    </row>
  </sheetData>
  <mergeCells count="11">
    <mergeCell ref="H5:H6"/>
    <mergeCell ref="A2:I2"/>
    <mergeCell ref="A1:I1"/>
    <mergeCell ref="I5:I6"/>
    <mergeCell ref="B5:B6"/>
    <mergeCell ref="A5:A6"/>
    <mergeCell ref="C5:C6"/>
    <mergeCell ref="D5:D6"/>
    <mergeCell ref="E5:E6"/>
    <mergeCell ref="F5:F6"/>
    <mergeCell ref="G5:G6"/>
  </mergeCells>
  <phoneticPr fontId="3" type="noConversion"/>
  <printOptions horizontalCentered="1"/>
  <pageMargins left="1.1811023622047245" right="0" top="0.39370078740157483" bottom="0.39370078740157483" header="0" footer="0"/>
  <pageSetup paperSize="9" scale="79" firstPageNumber="2" fitToWidth="0" orientation="landscape" useFirstPageNumber="1" horizontalDpi="300" verticalDpi="300" r:id="rId1"/>
  <headerFooter alignWithMargins="0">
    <oddFooter>&amp;C&amp;P.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58"/>
  <sheetViews>
    <sheetView zoomScaleNormal="100" zoomScaleSheetLayoutView="90" workbookViewId="0">
      <selection activeCell="B28" sqref="B28"/>
    </sheetView>
  </sheetViews>
  <sheetFormatPr defaultColWidth="9.140625" defaultRowHeight="12"/>
  <cols>
    <col min="1" max="1" width="8" style="12" customWidth="1"/>
    <col min="2" max="2" width="71.5703125" style="12" customWidth="1"/>
    <col min="3" max="8" width="13.5703125" style="12" customWidth="1"/>
    <col min="9" max="9" width="9.5703125" style="12" customWidth="1"/>
    <col min="10" max="10" width="11.85546875" style="12" customWidth="1"/>
    <col min="11" max="11" width="9.7109375" style="12" customWidth="1"/>
    <col min="12" max="16384" width="9.140625" style="12"/>
  </cols>
  <sheetData>
    <row r="1" spans="1:10" ht="12.75">
      <c r="A1" s="1764" t="s">
        <v>1128</v>
      </c>
      <c r="B1" s="1764"/>
      <c r="C1" s="1754"/>
      <c r="D1" s="1754"/>
      <c r="E1" s="1754"/>
      <c r="F1" s="1754"/>
      <c r="G1" s="1754"/>
      <c r="H1" s="1754"/>
      <c r="I1" s="1754"/>
    </row>
    <row r="2" spans="1:10" ht="12.75">
      <c r="A2" s="1764" t="s">
        <v>964</v>
      </c>
      <c r="B2" s="1764"/>
      <c r="C2" s="1754"/>
      <c r="D2" s="1754"/>
      <c r="E2" s="1754"/>
      <c r="F2" s="1754"/>
      <c r="G2" s="1754"/>
      <c r="H2" s="1754"/>
      <c r="I2" s="1754"/>
    </row>
    <row r="3" spans="1:10" ht="9" customHeight="1">
      <c r="A3" s="47"/>
      <c r="B3" s="47"/>
    </row>
    <row r="4" spans="1:10" ht="12" customHeight="1" thickBot="1">
      <c r="A4" s="399"/>
      <c r="B4" s="39"/>
      <c r="C4" s="38"/>
      <c r="D4" s="38"/>
      <c r="E4" s="38"/>
      <c r="F4" s="38"/>
      <c r="G4" s="38"/>
      <c r="H4" s="38"/>
      <c r="I4" s="1401" t="s">
        <v>1353</v>
      </c>
    </row>
    <row r="5" spans="1:10" ht="12" customHeight="1">
      <c r="A5" s="42"/>
      <c r="B5" s="1231"/>
      <c r="C5" s="1750" t="s">
        <v>1017</v>
      </c>
      <c r="D5" s="1750" t="s">
        <v>1061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61" t="s">
        <v>1122</v>
      </c>
    </row>
    <row r="6" spans="1:10" ht="12" customHeight="1">
      <c r="A6" s="1229" t="s">
        <v>138</v>
      </c>
      <c r="B6" s="1232" t="s">
        <v>119</v>
      </c>
      <c r="C6" s="1765"/>
      <c r="D6" s="1765"/>
      <c r="E6" s="1765"/>
      <c r="F6" s="1767"/>
      <c r="G6" s="1767"/>
      <c r="H6" s="1767"/>
      <c r="I6" s="1762"/>
    </row>
    <row r="7" spans="1:10" ht="12.75" customHeight="1" thickBot="1">
      <c r="A7" s="1230"/>
      <c r="B7" s="1233"/>
      <c r="C7" s="1766"/>
      <c r="D7" s="1766"/>
      <c r="E7" s="1766"/>
      <c r="F7" s="1751"/>
      <c r="G7" s="1751"/>
      <c r="H7" s="1751"/>
      <c r="I7" s="1763"/>
    </row>
    <row r="8" spans="1:10" ht="12" customHeight="1" thickBot="1">
      <c r="A8" s="1234" t="s">
        <v>120</v>
      </c>
      <c r="B8" s="481" t="s">
        <v>121</v>
      </c>
      <c r="C8" s="31" t="s">
        <v>122</v>
      </c>
      <c r="D8" s="31" t="s">
        <v>419</v>
      </c>
      <c r="E8" s="476" t="s">
        <v>420</v>
      </c>
      <c r="F8" s="476" t="s">
        <v>429</v>
      </c>
      <c r="G8" s="476" t="s">
        <v>455</v>
      </c>
      <c r="H8" s="407" t="s">
        <v>378</v>
      </c>
      <c r="I8" s="475" t="s">
        <v>379</v>
      </c>
    </row>
    <row r="9" spans="1:10" ht="15" customHeight="1">
      <c r="A9" s="1235"/>
      <c r="B9" s="1260" t="s">
        <v>215</v>
      </c>
      <c r="C9" s="4"/>
      <c r="D9" s="4"/>
      <c r="E9" s="4"/>
      <c r="F9" s="4"/>
      <c r="G9" s="4"/>
      <c r="H9" s="4"/>
      <c r="I9" s="1261"/>
    </row>
    <row r="10" spans="1:10">
      <c r="A10" s="1235"/>
      <c r="B10" s="1262"/>
      <c r="C10" s="4"/>
      <c r="D10" s="4"/>
      <c r="E10" s="4"/>
      <c r="F10" s="4"/>
      <c r="G10" s="4"/>
      <c r="H10" s="4"/>
      <c r="I10" s="1263"/>
    </row>
    <row r="11" spans="1:10">
      <c r="A11" s="1236">
        <v>1710</v>
      </c>
      <c r="B11" s="1264" t="s">
        <v>1711</v>
      </c>
      <c r="C11" s="169">
        <f t="shared" ref="C11:H11" si="0">SUM(C12:C19)</f>
        <v>3901058</v>
      </c>
      <c r="D11" s="169">
        <f t="shared" si="0"/>
        <v>4340442</v>
      </c>
      <c r="E11" s="169">
        <f t="shared" si="0"/>
        <v>4340442</v>
      </c>
      <c r="F11" s="169">
        <f t="shared" si="0"/>
        <v>4575246</v>
      </c>
      <c r="G11" s="2">
        <f t="shared" si="0"/>
        <v>4597560</v>
      </c>
      <c r="H11" s="2">
        <f t="shared" si="0"/>
        <v>4100633</v>
      </c>
      <c r="I11" s="1265">
        <f>SUM(H11/G11)</f>
        <v>0.89191505929232029</v>
      </c>
      <c r="J11" s="751"/>
    </row>
    <row r="12" spans="1:10">
      <c r="A12" s="1237">
        <v>1711</v>
      </c>
      <c r="B12" s="1266" t="s">
        <v>216</v>
      </c>
      <c r="C12" s="4">
        <f>SUM('5.mell.'!C52)</f>
        <v>2563391</v>
      </c>
      <c r="D12" s="4">
        <f>SUM('5.mell.'!D52)</f>
        <v>2665485</v>
      </c>
      <c r="E12" s="4">
        <f>SUM('5.mell.'!E52)</f>
        <v>2667485</v>
      </c>
      <c r="F12" s="4">
        <f>SUM('5.mell.'!F52)</f>
        <v>2877485</v>
      </c>
      <c r="G12" s="4">
        <f>SUM('5.mell.'!G52)</f>
        <v>2910832</v>
      </c>
      <c r="H12" s="4">
        <f>SUM('5.mell.'!H52)</f>
        <v>2804847</v>
      </c>
      <c r="I12" s="1267">
        <f>SUM(H12/G12)</f>
        <v>0.9635894479653927</v>
      </c>
      <c r="J12" s="751"/>
    </row>
    <row r="13" spans="1:10">
      <c r="A13" s="1237">
        <v>1712</v>
      </c>
      <c r="B13" s="1266" t="s">
        <v>78</v>
      </c>
      <c r="C13" s="4">
        <f>SUM('5.mell.'!C53)</f>
        <v>384329</v>
      </c>
      <c r="D13" s="4">
        <f>SUM('5.mell.'!D53)</f>
        <v>414535</v>
      </c>
      <c r="E13" s="4">
        <f>SUM('5.mell.'!E53)</f>
        <v>414795</v>
      </c>
      <c r="F13" s="4">
        <f>SUM('5.mell.'!F53)</f>
        <v>439599</v>
      </c>
      <c r="G13" s="4">
        <f>SUM('5.mell.'!G53)</f>
        <v>453166</v>
      </c>
      <c r="H13" s="4">
        <f>SUM('5.mell.'!H53)</f>
        <v>403960</v>
      </c>
      <c r="I13" s="1267">
        <f>SUM(H13/G13)</f>
        <v>0.89141727314052688</v>
      </c>
      <c r="J13" s="751"/>
    </row>
    <row r="14" spans="1:10">
      <c r="A14" s="1237">
        <v>1713</v>
      </c>
      <c r="B14" s="1266" t="s">
        <v>79</v>
      </c>
      <c r="C14" s="4">
        <f>SUM('5.mell.'!C54)</f>
        <v>676338</v>
      </c>
      <c r="D14" s="4">
        <f>SUM('5.mell.'!D54)</f>
        <v>921366</v>
      </c>
      <c r="E14" s="4">
        <f>SUM('5.mell.'!E54)</f>
        <v>909106</v>
      </c>
      <c r="F14" s="4">
        <f>SUM('5.mell.'!F54)</f>
        <v>872849</v>
      </c>
      <c r="G14" s="4">
        <f>SUM('5.mell.'!G54)</f>
        <v>896849</v>
      </c>
      <c r="H14" s="4">
        <f>SUM('5.mell.'!H54)</f>
        <v>664572</v>
      </c>
      <c r="I14" s="1267">
        <f>SUM(H14/G14)</f>
        <v>0.74100768356769087</v>
      </c>
      <c r="J14" s="751"/>
    </row>
    <row r="15" spans="1:10">
      <c r="A15" s="1237">
        <v>1714</v>
      </c>
      <c r="B15" s="1266" t="s">
        <v>88</v>
      </c>
      <c r="C15" s="4">
        <f>SUM('5.mell.'!C55)</f>
        <v>0</v>
      </c>
      <c r="D15" s="4">
        <f>SUM('5.mell.'!D55)</f>
        <v>0</v>
      </c>
      <c r="E15" s="4">
        <f>SUM('5.mell.'!E55)</f>
        <v>0</v>
      </c>
      <c r="F15" s="4">
        <f>SUM('5.mell.'!F55)</f>
        <v>0</v>
      </c>
      <c r="G15" s="4">
        <f>SUM('5.mell.'!G55)</f>
        <v>0</v>
      </c>
      <c r="H15" s="4">
        <f>SUM('5.mell.'!H55)</f>
        <v>0</v>
      </c>
      <c r="I15" s="1265"/>
    </row>
    <row r="16" spans="1:10">
      <c r="A16" s="1237">
        <v>1715</v>
      </c>
      <c r="B16" s="1268" t="s">
        <v>227</v>
      </c>
      <c r="C16" s="4">
        <f>'5.mell.'!C56</f>
        <v>0</v>
      </c>
      <c r="D16" s="4">
        <f>'5.mell.'!D56</f>
        <v>0</v>
      </c>
      <c r="E16" s="4">
        <f>'5.mell.'!E56</f>
        <v>0</v>
      </c>
      <c r="F16" s="4">
        <f>'5.mell.'!F56</f>
        <v>0</v>
      </c>
      <c r="G16" s="4">
        <f>'5.mell.'!G56</f>
        <v>0</v>
      </c>
      <c r="H16" s="4">
        <f>'5.mell.'!H56</f>
        <v>0</v>
      </c>
      <c r="I16" s="1265"/>
    </row>
    <row r="17" spans="1:10">
      <c r="A17" s="1237">
        <v>1716</v>
      </c>
      <c r="B17" s="1269" t="s">
        <v>192</v>
      </c>
      <c r="C17" s="4">
        <f>SUM('5.mell.'!C60)</f>
        <v>213000</v>
      </c>
      <c r="D17" s="4">
        <f>SUM('5.mell.'!D60)</f>
        <v>274056</v>
      </c>
      <c r="E17" s="4">
        <f>SUM('5.mell.'!E60)</f>
        <v>284056</v>
      </c>
      <c r="F17" s="4">
        <f>SUM('5.mell.'!F60)</f>
        <v>320313</v>
      </c>
      <c r="G17" s="4">
        <f>SUM('5.mell.'!G60)</f>
        <v>254613</v>
      </c>
      <c r="H17" s="4">
        <f>SUM('5.mell.'!H60)</f>
        <v>161460</v>
      </c>
      <c r="I17" s="1267">
        <f>SUM(H17/G17)</f>
        <v>0.63413886957853682</v>
      </c>
      <c r="J17" s="751"/>
    </row>
    <row r="18" spans="1:10">
      <c r="A18" s="1237">
        <v>1717</v>
      </c>
      <c r="B18" s="1270" t="s">
        <v>193</v>
      </c>
      <c r="C18" s="4">
        <f>SUM('5.mell.'!C59)</f>
        <v>61000</v>
      </c>
      <c r="D18" s="4">
        <f>SUM('5.mell.'!D59)</f>
        <v>61000</v>
      </c>
      <c r="E18" s="4">
        <f>SUM('5.mell.'!E59)</f>
        <v>61000</v>
      </c>
      <c r="F18" s="4">
        <f>SUM('5.mell.'!F59)</f>
        <v>61000</v>
      </c>
      <c r="G18" s="4">
        <f>SUM('5.mell.'!G59)</f>
        <v>78100</v>
      </c>
      <c r="H18" s="4">
        <f>SUM('5.mell.'!H59)</f>
        <v>64794</v>
      </c>
      <c r="I18" s="1267">
        <f>SUM(H18/G18)</f>
        <v>0.82962868117797695</v>
      </c>
      <c r="J18" s="751"/>
    </row>
    <row r="19" spans="1:10">
      <c r="A19" s="1237">
        <v>1718</v>
      </c>
      <c r="B19" s="1270" t="s">
        <v>334</v>
      </c>
      <c r="C19" s="4">
        <f>SUM('5.mell.'!C61)</f>
        <v>3000</v>
      </c>
      <c r="D19" s="4">
        <f>SUM('5.mell.'!D61)</f>
        <v>4000</v>
      </c>
      <c r="E19" s="4">
        <f>SUM('5.mell.'!E61)</f>
        <v>4000</v>
      </c>
      <c r="F19" s="4">
        <f>SUM('5.mell.'!F61)</f>
        <v>4000</v>
      </c>
      <c r="G19" s="4">
        <f>SUM('5.mell.'!G61)</f>
        <v>4000</v>
      </c>
      <c r="H19" s="4">
        <f>SUM('5.mell.'!H61)</f>
        <v>1000</v>
      </c>
      <c r="I19" s="1267">
        <f>SUM(H19/G19)</f>
        <v>0.25</v>
      </c>
    </row>
    <row r="20" spans="1:10">
      <c r="A20" s="1237"/>
      <c r="B20" s="1266"/>
      <c r="C20" s="4"/>
      <c r="D20" s="4"/>
      <c r="E20" s="4"/>
      <c r="F20" s="4"/>
      <c r="G20" s="4"/>
      <c r="H20" s="4"/>
      <c r="I20" s="1265"/>
    </row>
    <row r="21" spans="1:10" ht="12.75">
      <c r="A21" s="1237"/>
      <c r="B21" s="1271" t="s">
        <v>797</v>
      </c>
      <c r="C21" s="4"/>
      <c r="D21" s="4"/>
      <c r="E21" s="4"/>
      <c r="F21" s="4"/>
      <c r="G21" s="4"/>
      <c r="H21" s="4"/>
      <c r="I21" s="1265"/>
    </row>
    <row r="22" spans="1:10" ht="12" customHeight="1">
      <c r="A22" s="1235"/>
      <c r="B22" s="1262"/>
      <c r="C22" s="4"/>
      <c r="D22" s="4"/>
      <c r="E22" s="4"/>
      <c r="F22" s="4"/>
      <c r="G22" s="4"/>
      <c r="H22" s="4"/>
      <c r="I22" s="1265"/>
    </row>
    <row r="23" spans="1:10">
      <c r="A23" s="1238">
        <v>1750</v>
      </c>
      <c r="B23" s="1272" t="s">
        <v>1712</v>
      </c>
      <c r="C23" s="186">
        <f t="shared" ref="C23:H23" si="1">SUM(C24:C32)</f>
        <v>6698893</v>
      </c>
      <c r="D23" s="186">
        <f t="shared" si="1"/>
        <v>8010236</v>
      </c>
      <c r="E23" s="186">
        <f t="shared" si="1"/>
        <v>8167003</v>
      </c>
      <c r="F23" s="186">
        <f t="shared" si="1"/>
        <v>8540753</v>
      </c>
      <c r="G23" s="5">
        <f t="shared" si="1"/>
        <v>8542967</v>
      </c>
      <c r="H23" s="5">
        <f t="shared" si="1"/>
        <v>6749021</v>
      </c>
      <c r="I23" s="1265">
        <f t="shared" ref="I23:I29" si="2">SUM(H23/G23)</f>
        <v>0.79000902145589469</v>
      </c>
      <c r="J23" s="751"/>
    </row>
    <row r="24" spans="1:10">
      <c r="A24" s="1237">
        <v>1751</v>
      </c>
      <c r="B24" s="1266" t="s">
        <v>216</v>
      </c>
      <c r="C24" s="4">
        <f>SUM('6.mell.'!C898)</f>
        <v>346934</v>
      </c>
      <c r="D24" s="4">
        <f>SUM('6.mell.'!D898)</f>
        <v>357226</v>
      </c>
      <c r="E24" s="4">
        <f>SUM('6.mell.'!E898)</f>
        <v>407736</v>
      </c>
      <c r="F24" s="4">
        <f>SUM('6.mell.'!F898)</f>
        <v>399286</v>
      </c>
      <c r="G24" s="4">
        <f>SUM('6.mell.'!G898)</f>
        <v>384721</v>
      </c>
      <c r="H24" s="4">
        <f>SUM('6.mell.'!H898)</f>
        <v>354606</v>
      </c>
      <c r="I24" s="1267">
        <f t="shared" si="2"/>
        <v>0.92172249500287218</v>
      </c>
      <c r="J24" s="751"/>
    </row>
    <row r="25" spans="1:10">
      <c r="A25" s="1237">
        <v>1752</v>
      </c>
      <c r="B25" s="1266" t="s">
        <v>78</v>
      </c>
      <c r="C25" s="4">
        <f>SUM('6.mell.'!C899)</f>
        <v>51887</v>
      </c>
      <c r="D25" s="4">
        <f>SUM('6.mell.'!D899)</f>
        <v>59760</v>
      </c>
      <c r="E25" s="4">
        <f>SUM('6.mell.'!E899)</f>
        <v>65773</v>
      </c>
      <c r="F25" s="4">
        <f>SUM('6.mell.'!F899)</f>
        <v>62283</v>
      </c>
      <c r="G25" s="4">
        <f>SUM('6.mell.'!G899)</f>
        <v>60002</v>
      </c>
      <c r="H25" s="4">
        <f>SUM('6.mell.'!H899)</f>
        <v>47583</v>
      </c>
      <c r="I25" s="1267">
        <f t="shared" si="2"/>
        <v>0.79302356588113732</v>
      </c>
      <c r="J25" s="751"/>
    </row>
    <row r="26" spans="1:10">
      <c r="A26" s="1237">
        <v>1753</v>
      </c>
      <c r="B26" s="1266" t="s">
        <v>79</v>
      </c>
      <c r="C26" s="4">
        <f>SUM('6.mell.'!C900)</f>
        <v>4529943</v>
      </c>
      <c r="D26" s="4">
        <f>SUM('6.mell.'!D900)</f>
        <v>5275177</v>
      </c>
      <c r="E26" s="4">
        <f>SUM('6.mell.'!E900)</f>
        <v>5342331</v>
      </c>
      <c r="F26" s="4">
        <f>SUM('6.mell.'!F900)</f>
        <v>5481061</v>
      </c>
      <c r="G26" s="4">
        <f>SUM('6.mell.'!G900)</f>
        <v>5477686</v>
      </c>
      <c r="H26" s="4">
        <f>SUM('6.mell.'!H900)</f>
        <v>4471654</v>
      </c>
      <c r="I26" s="1267">
        <f t="shared" si="2"/>
        <v>0.81633996545256515</v>
      </c>
      <c r="J26" s="751"/>
    </row>
    <row r="27" spans="1:10">
      <c r="A27" s="1237">
        <v>1754</v>
      </c>
      <c r="B27" s="1266" t="s">
        <v>88</v>
      </c>
      <c r="C27" s="4">
        <f>SUM('6.mell.'!C901)</f>
        <v>205000</v>
      </c>
      <c r="D27" s="4">
        <f>SUM('6.mell.'!D901)</f>
        <v>262952</v>
      </c>
      <c r="E27" s="4">
        <f>SUM('6.mell.'!E901)</f>
        <v>264999</v>
      </c>
      <c r="F27" s="4">
        <f>SUM('6.mell.'!F901)</f>
        <v>269999</v>
      </c>
      <c r="G27" s="4">
        <f>SUM('6.mell.'!G901)</f>
        <v>269999</v>
      </c>
      <c r="H27" s="4">
        <f>SUM('6.mell.'!H901)</f>
        <v>212420</v>
      </c>
      <c r="I27" s="1267">
        <f t="shared" si="2"/>
        <v>0.78674365460612816</v>
      </c>
      <c r="J27" s="751"/>
    </row>
    <row r="28" spans="1:10">
      <c r="A28" s="1237">
        <v>1755</v>
      </c>
      <c r="B28" s="1266" t="s">
        <v>227</v>
      </c>
      <c r="C28" s="4">
        <f>SUM('6.mell.'!C902)</f>
        <v>75600</v>
      </c>
      <c r="D28" s="4">
        <f>SUM('6.mell.'!D902)</f>
        <v>122988</v>
      </c>
      <c r="E28" s="4">
        <f>SUM('6.mell.'!E902)</f>
        <v>128231</v>
      </c>
      <c r="F28" s="4">
        <f>SUM('6.mell.'!F902)</f>
        <v>145701</v>
      </c>
      <c r="G28" s="4">
        <f>SUM('6.mell.'!G902)</f>
        <v>146951</v>
      </c>
      <c r="H28" s="4">
        <f>SUM('6.mell.'!H902)</f>
        <v>116110</v>
      </c>
      <c r="I28" s="1267">
        <f t="shared" si="2"/>
        <v>0.79012732135201524</v>
      </c>
      <c r="J28" s="751"/>
    </row>
    <row r="29" spans="1:10">
      <c r="A29" s="1237">
        <v>1756</v>
      </c>
      <c r="B29" s="1266" t="s">
        <v>192</v>
      </c>
      <c r="C29" s="4">
        <f>SUM('6.mell.'!C905)</f>
        <v>26400</v>
      </c>
      <c r="D29" s="4">
        <f>SUM('6.mell.'!D905)</f>
        <v>79904</v>
      </c>
      <c r="E29" s="4">
        <f>SUM('6.mell.'!E905)</f>
        <v>98264</v>
      </c>
      <c r="F29" s="4">
        <f>SUM('6.mell.'!F905)</f>
        <v>120986</v>
      </c>
      <c r="G29" s="4">
        <f>SUM('6.mell.'!G905)</f>
        <v>141171</v>
      </c>
      <c r="H29" s="4">
        <f>SUM('6.mell.'!H905)</f>
        <v>41525</v>
      </c>
      <c r="I29" s="1267">
        <f t="shared" si="2"/>
        <v>0.29414681485574234</v>
      </c>
      <c r="J29" s="751"/>
    </row>
    <row r="30" spans="1:10">
      <c r="A30" s="91">
        <v>1757</v>
      </c>
      <c r="B30" s="1268" t="s">
        <v>193</v>
      </c>
      <c r="C30" s="4">
        <f>SUM('6.mell.'!C906)</f>
        <v>0</v>
      </c>
      <c r="D30" s="4">
        <f>SUM('6.mell.'!D906)</f>
        <v>0</v>
      </c>
      <c r="E30" s="4">
        <f>SUM('6.mell.'!E906)</f>
        <v>0</v>
      </c>
      <c r="F30" s="4">
        <f>SUM('6.mell.'!F906)</f>
        <v>0</v>
      </c>
      <c r="G30" s="4">
        <f>SUM('6.mell.'!G906)</f>
        <v>0</v>
      </c>
      <c r="H30" s="4">
        <f>SUM('6.mell.'!H906)</f>
        <v>0</v>
      </c>
      <c r="I30" s="1267"/>
    </row>
    <row r="31" spans="1:10">
      <c r="A31" s="1237">
        <v>1758</v>
      </c>
      <c r="B31" s="1266" t="s">
        <v>335</v>
      </c>
      <c r="C31" s="4">
        <f>SUM('6.mell.'!C907)</f>
        <v>1463129</v>
      </c>
      <c r="D31" s="4">
        <f>SUM('6.mell.'!D907)</f>
        <v>1852229</v>
      </c>
      <c r="E31" s="4">
        <f>SUM('6.mell.'!E907)</f>
        <v>1859669</v>
      </c>
      <c r="F31" s="4">
        <f>SUM('6.mell.'!F907)</f>
        <v>2061437</v>
      </c>
      <c r="G31" s="4">
        <f>SUM('6.mell.'!G907)</f>
        <v>2062437</v>
      </c>
      <c r="H31" s="4">
        <f>SUM('6.mell.'!H907)</f>
        <v>1505123</v>
      </c>
      <c r="I31" s="1267">
        <f>SUM(H31/G31)</f>
        <v>0.72977889748874758</v>
      </c>
      <c r="J31" s="751"/>
    </row>
    <row r="32" spans="1:10">
      <c r="A32" s="1237"/>
      <c r="B32" s="1266"/>
      <c r="C32" s="4"/>
      <c r="D32" s="4"/>
      <c r="E32" s="4"/>
      <c r="F32" s="4"/>
      <c r="G32" s="4"/>
      <c r="H32" s="4"/>
      <c r="I32" s="1265"/>
    </row>
    <row r="33" spans="1:10">
      <c r="A33" s="1236">
        <v>1760</v>
      </c>
      <c r="B33" s="1264" t="s">
        <v>1713</v>
      </c>
      <c r="C33" s="169">
        <f t="shared" ref="C33:D33" si="3">SUM(C34:C40)</f>
        <v>1665520</v>
      </c>
      <c r="D33" s="169">
        <f t="shared" si="3"/>
        <v>2215590</v>
      </c>
      <c r="E33" s="169">
        <f t="shared" ref="E33:F33" si="4">SUM(E34:E40)</f>
        <v>2216385</v>
      </c>
      <c r="F33" s="169">
        <f t="shared" si="4"/>
        <v>2236085</v>
      </c>
      <c r="G33" s="2">
        <f t="shared" ref="G33:H33" si="5">SUM(G34:G40)</f>
        <v>2236085</v>
      </c>
      <c r="H33" s="2">
        <f t="shared" si="5"/>
        <v>1995408</v>
      </c>
      <c r="I33" s="1265">
        <f t="shared" ref="I33:I39" si="6">SUM(H33/G33)</f>
        <v>0.89236679285447562</v>
      </c>
      <c r="J33" s="751"/>
    </row>
    <row r="34" spans="1:10">
      <c r="A34" s="1237">
        <v>1761</v>
      </c>
      <c r="B34" s="1266" t="s">
        <v>216</v>
      </c>
      <c r="C34" s="3">
        <f>SUM('7.mell.'!C65)</f>
        <v>4513</v>
      </c>
      <c r="D34" s="3">
        <f>SUM('7.mell.'!D65)</f>
        <v>5325</v>
      </c>
      <c r="E34" s="3">
        <f>SUM('7.mell.'!E65)</f>
        <v>6467</v>
      </c>
      <c r="F34" s="3">
        <f>SUM('7.mell.'!F65)</f>
        <v>6467</v>
      </c>
      <c r="G34" s="3">
        <f>SUM('7.mell.'!G65)</f>
        <v>6467</v>
      </c>
      <c r="H34" s="3">
        <f>SUM('7.mell.'!H65)</f>
        <v>5228</v>
      </c>
      <c r="I34" s="1267">
        <f t="shared" si="6"/>
        <v>0.80841193752899332</v>
      </c>
      <c r="J34" s="751"/>
    </row>
    <row r="35" spans="1:10">
      <c r="A35" s="91">
        <v>1762</v>
      </c>
      <c r="B35" s="1268" t="s">
        <v>78</v>
      </c>
      <c r="C35" s="3">
        <f>SUM('7.mell.'!C66)</f>
        <v>587</v>
      </c>
      <c r="D35" s="3">
        <f>SUM('7.mell.'!D66)</f>
        <v>770</v>
      </c>
      <c r="E35" s="3">
        <f>SUM('7.mell.'!E66)</f>
        <v>923</v>
      </c>
      <c r="F35" s="3">
        <f>SUM('7.mell.'!F66)</f>
        <v>923</v>
      </c>
      <c r="G35" s="3">
        <f>SUM('7.mell.'!G66)</f>
        <v>923</v>
      </c>
      <c r="H35" s="3">
        <f>SUM('7.mell.'!H66)</f>
        <v>636</v>
      </c>
      <c r="I35" s="1267">
        <f t="shared" si="6"/>
        <v>0.68905742145178761</v>
      </c>
      <c r="J35" s="751"/>
    </row>
    <row r="36" spans="1:10">
      <c r="A36" s="1237">
        <v>1763</v>
      </c>
      <c r="B36" s="1266" t="s">
        <v>79</v>
      </c>
      <c r="C36" s="3">
        <f>SUM('7.mell.'!C67)</f>
        <v>14000</v>
      </c>
      <c r="D36" s="3">
        <f>SUM('7.mell.'!D67)</f>
        <v>15431</v>
      </c>
      <c r="E36" s="3">
        <f>SUM('7.mell.'!E67)</f>
        <v>15431</v>
      </c>
      <c r="F36" s="3">
        <f>SUM('7.mell.'!F67)</f>
        <v>15431</v>
      </c>
      <c r="G36" s="3">
        <f>SUM('7.mell.'!G67)</f>
        <v>15431</v>
      </c>
      <c r="H36" s="3">
        <f>SUM('7.mell.'!H67)</f>
        <v>6695</v>
      </c>
      <c r="I36" s="1267">
        <f t="shared" si="6"/>
        <v>0.43386689132266215</v>
      </c>
      <c r="J36" s="751"/>
    </row>
    <row r="37" spans="1:10">
      <c r="A37" s="1237">
        <v>1764</v>
      </c>
      <c r="B37" s="1266" t="s">
        <v>227</v>
      </c>
      <c r="C37" s="3">
        <f>SUM('7.mell.'!C68)</f>
        <v>1405420</v>
      </c>
      <c r="D37" s="3">
        <f>SUM('7.mell.'!D68)</f>
        <v>1752101</v>
      </c>
      <c r="E37" s="3">
        <f>SUM('7.mell.'!E68)</f>
        <v>1752101</v>
      </c>
      <c r="F37" s="3">
        <f>SUM('7.mell.'!F68)</f>
        <v>1770051</v>
      </c>
      <c r="G37" s="3">
        <f>SUM('7.mell.'!G68)</f>
        <v>1772051</v>
      </c>
      <c r="H37" s="3">
        <f>SUM('7.mell.'!H68)</f>
        <v>1763156</v>
      </c>
      <c r="I37" s="1267">
        <f t="shared" si="6"/>
        <v>0.99498039277650585</v>
      </c>
      <c r="J37" s="751"/>
    </row>
    <row r="38" spans="1:10">
      <c r="A38" s="1237">
        <v>1765</v>
      </c>
      <c r="B38" s="1266" t="s">
        <v>303</v>
      </c>
      <c r="C38" s="3">
        <f>SUM('7.mell.'!C71)</f>
        <v>8000</v>
      </c>
      <c r="D38" s="3">
        <f>SUM('7.mell.'!D71)</f>
        <v>13000</v>
      </c>
      <c r="E38" s="3">
        <f>SUM('7.mell.'!E71)</f>
        <v>13000</v>
      </c>
      <c r="F38" s="3">
        <f>SUM('7.mell.'!F71)</f>
        <v>13000</v>
      </c>
      <c r="G38" s="3">
        <f>SUM('7.mell.'!G71)</f>
        <v>13000</v>
      </c>
      <c r="H38" s="3">
        <f>SUM('7.mell.'!H71)</f>
        <v>4294</v>
      </c>
      <c r="I38" s="1267">
        <f t="shared" si="6"/>
        <v>0.3303076923076923</v>
      </c>
      <c r="J38" s="751"/>
    </row>
    <row r="39" spans="1:10">
      <c r="A39" s="1237">
        <v>1766</v>
      </c>
      <c r="B39" s="1266" t="s">
        <v>249</v>
      </c>
      <c r="C39" s="3">
        <f>SUM('7.mell.'!C72)</f>
        <v>233000</v>
      </c>
      <c r="D39" s="3">
        <f>SUM('7.mell.'!D72)</f>
        <v>428963</v>
      </c>
      <c r="E39" s="3">
        <f>SUM('7.mell.'!E72)</f>
        <v>428463</v>
      </c>
      <c r="F39" s="3">
        <f>SUM('7.mell.'!F72)</f>
        <v>430213</v>
      </c>
      <c r="G39" s="3">
        <f>SUM('7.mell.'!G72)</f>
        <v>428213</v>
      </c>
      <c r="H39" s="3">
        <f>SUM('7.mell.'!H72)</f>
        <v>215399</v>
      </c>
      <c r="I39" s="1267">
        <f t="shared" si="6"/>
        <v>0.50301835768647851</v>
      </c>
      <c r="J39" s="751"/>
    </row>
    <row r="40" spans="1:10">
      <c r="A40" s="1237"/>
      <c r="B40" s="1266"/>
      <c r="C40" s="3"/>
      <c r="D40" s="3"/>
      <c r="E40" s="3"/>
      <c r="F40" s="3"/>
      <c r="G40" s="3"/>
      <c r="H40" s="3"/>
      <c r="I40" s="1265"/>
    </row>
    <row r="41" spans="1:10">
      <c r="A41" s="1236">
        <v>1770</v>
      </c>
      <c r="B41" s="1273" t="s">
        <v>1714</v>
      </c>
      <c r="C41" s="169">
        <f t="shared" ref="C41:D41" si="7">SUM(C42:C48)</f>
        <v>3578624</v>
      </c>
      <c r="D41" s="169">
        <f t="shared" si="7"/>
        <v>7630749</v>
      </c>
      <c r="E41" s="169">
        <f t="shared" ref="E41:F41" si="8">SUM(E42:E48)</f>
        <v>8030239</v>
      </c>
      <c r="F41" s="169">
        <f t="shared" si="8"/>
        <v>8045239</v>
      </c>
      <c r="G41" s="2">
        <f t="shared" ref="G41:H41" si="9">SUM(G42:G48)</f>
        <v>8045239</v>
      </c>
      <c r="H41" s="2">
        <f t="shared" si="9"/>
        <v>1760233</v>
      </c>
      <c r="I41" s="1265">
        <f>SUM(H41/G41)</f>
        <v>0.21879188424358803</v>
      </c>
      <c r="J41" s="751"/>
    </row>
    <row r="42" spans="1:10">
      <c r="A42" s="1239">
        <v>1771</v>
      </c>
      <c r="B42" s="1266" t="s">
        <v>216</v>
      </c>
      <c r="C42" s="3">
        <f>'8.mell.'!C106</f>
        <v>0</v>
      </c>
      <c r="D42" s="3">
        <f>'8.mell.'!D106</f>
        <v>1256</v>
      </c>
      <c r="E42" s="3">
        <f>'8.mell.'!E106</f>
        <v>1256</v>
      </c>
      <c r="F42" s="3">
        <f>'8.mell.'!F106</f>
        <v>1256</v>
      </c>
      <c r="G42" s="3">
        <f>'8.mell.'!G106</f>
        <v>1256</v>
      </c>
      <c r="H42" s="3">
        <f>'8.mell.'!H106</f>
        <v>1156</v>
      </c>
      <c r="I42" s="1265">
        <f>SUM(H42/G42)</f>
        <v>0.92038216560509556</v>
      </c>
      <c r="J42" s="751"/>
    </row>
    <row r="43" spans="1:10">
      <c r="A43" s="1239">
        <v>1772</v>
      </c>
      <c r="B43" s="1266" t="s">
        <v>78</v>
      </c>
      <c r="C43" s="3">
        <f>'8.mell.'!C107</f>
        <v>0</v>
      </c>
      <c r="D43" s="3">
        <f>'8.mell.'!D107</f>
        <v>299</v>
      </c>
      <c r="E43" s="3">
        <f>'8.mell.'!E107</f>
        <v>299</v>
      </c>
      <c r="F43" s="3">
        <f>'8.mell.'!F107</f>
        <v>299</v>
      </c>
      <c r="G43" s="3">
        <f>'8.mell.'!G107</f>
        <v>299</v>
      </c>
      <c r="H43" s="3">
        <f>'8.mell.'!H107</f>
        <v>173</v>
      </c>
      <c r="I43" s="1265">
        <f>SUM(H43/G43)</f>
        <v>0.57859531772575246</v>
      </c>
      <c r="J43" s="751"/>
    </row>
    <row r="44" spans="1:10">
      <c r="A44" s="1237">
        <v>1773</v>
      </c>
      <c r="B44" s="1266" t="s">
        <v>79</v>
      </c>
      <c r="C44" s="3">
        <f>SUM('8.mell.'!C108)</f>
        <v>0</v>
      </c>
      <c r="D44" s="3">
        <f>SUM('8.mell.'!D108)</f>
        <v>3857</v>
      </c>
      <c r="E44" s="3">
        <f>SUM('8.mell.'!E108)</f>
        <v>61374</v>
      </c>
      <c r="F44" s="3">
        <f>SUM('8.mell.'!F108)</f>
        <v>319375</v>
      </c>
      <c r="G44" s="3">
        <f>SUM('8.mell.'!G108)</f>
        <v>329676</v>
      </c>
      <c r="H44" s="3">
        <f>SUM('8.mell.'!H108)</f>
        <v>48065</v>
      </c>
      <c r="I44" s="1265">
        <f>SUM(H44/G44)</f>
        <v>0.14579465899853189</v>
      </c>
      <c r="J44" s="751"/>
    </row>
    <row r="45" spans="1:10">
      <c r="A45" s="1237">
        <v>1774</v>
      </c>
      <c r="B45" s="1266" t="s">
        <v>211</v>
      </c>
      <c r="C45" s="3">
        <f>SUM('8.mell.'!M109)</f>
        <v>0</v>
      </c>
      <c r="D45" s="3">
        <f>SUM('8.mell.'!N109)</f>
        <v>0</v>
      </c>
      <c r="E45" s="3">
        <f>SUM('8.mell.'!O109)</f>
        <v>0</v>
      </c>
      <c r="F45" s="3">
        <f>SUM('8.mell.'!P109)</f>
        <v>0</v>
      </c>
      <c r="G45" s="3">
        <f>SUM('8.mell.'!Q109)</f>
        <v>0</v>
      </c>
      <c r="H45" s="3">
        <f>SUM('8.mell.'!R109)</f>
        <v>0</v>
      </c>
      <c r="I45" s="1267"/>
    </row>
    <row r="46" spans="1:10">
      <c r="A46" s="1237">
        <v>1775</v>
      </c>
      <c r="B46" s="1266" t="s">
        <v>192</v>
      </c>
      <c r="C46" s="3">
        <f>SUM('8.mell.'!C112)</f>
        <v>0</v>
      </c>
      <c r="D46" s="3">
        <f>SUM('8.mell.'!D112)</f>
        <v>92730</v>
      </c>
      <c r="E46" s="3">
        <f>SUM('8.mell.'!E112)</f>
        <v>144075</v>
      </c>
      <c r="F46" s="3">
        <f>SUM('8.mell.'!F112)</f>
        <v>165625</v>
      </c>
      <c r="G46" s="3">
        <f>SUM('8.mell.'!G112)</f>
        <v>174225</v>
      </c>
      <c r="H46" s="3">
        <f>SUM('8.mell.'!H112)</f>
        <v>98472</v>
      </c>
      <c r="I46" s="1267">
        <f>SUM(H46/G46)</f>
        <v>0.56520017219113217</v>
      </c>
      <c r="J46" s="751"/>
    </row>
    <row r="47" spans="1:10">
      <c r="A47" s="1237">
        <v>1776</v>
      </c>
      <c r="B47" s="1266" t="s">
        <v>193</v>
      </c>
      <c r="C47" s="37">
        <f>SUM('8.mell.'!C113)</f>
        <v>3547062</v>
      </c>
      <c r="D47" s="37">
        <f>SUM('8.mell.'!D113)</f>
        <v>7501045</v>
      </c>
      <c r="E47" s="37">
        <f>SUM('8.mell.'!E113)</f>
        <v>7791673</v>
      </c>
      <c r="F47" s="37">
        <f>SUM('8.mell.'!F113)</f>
        <v>7527122</v>
      </c>
      <c r="G47" s="37">
        <f>SUM('8.mell.'!G113)</f>
        <v>7507821</v>
      </c>
      <c r="H47" s="37">
        <f>SUM('8.mell.'!H113)</f>
        <v>1597548</v>
      </c>
      <c r="I47" s="1267">
        <f>SUM(H47/G47)</f>
        <v>0.21278450831472939</v>
      </c>
      <c r="J47" s="751"/>
    </row>
    <row r="48" spans="1:10">
      <c r="A48" s="1237">
        <v>1777</v>
      </c>
      <c r="B48" s="1266" t="s">
        <v>249</v>
      </c>
      <c r="C48" s="37">
        <f>SUM('8.mell.'!C114)</f>
        <v>31562</v>
      </c>
      <c r="D48" s="37">
        <f>SUM('8.mell.'!D114)</f>
        <v>31562</v>
      </c>
      <c r="E48" s="37">
        <f>SUM('8.mell.'!E114)</f>
        <v>31562</v>
      </c>
      <c r="F48" s="37">
        <f>SUM('8.mell.'!F114)</f>
        <v>31562</v>
      </c>
      <c r="G48" s="37">
        <f>SUM('8.mell.'!G114)</f>
        <v>31962</v>
      </c>
      <c r="H48" s="37">
        <f>SUM('8.mell.'!H114)</f>
        <v>14819</v>
      </c>
      <c r="I48" s="1267">
        <f>SUM(H48/G48)</f>
        <v>0.46364432763907137</v>
      </c>
      <c r="J48" s="751"/>
    </row>
    <row r="49" spans="1:14">
      <c r="A49" s="1237"/>
      <c r="B49" s="1266"/>
      <c r="C49" s="4"/>
      <c r="D49" s="4"/>
      <c r="E49" s="4"/>
      <c r="F49" s="4"/>
      <c r="G49" s="4"/>
      <c r="H49" s="4"/>
      <c r="I49" s="1265"/>
    </row>
    <row r="50" spans="1:14">
      <c r="A50" s="1236">
        <v>1780</v>
      </c>
      <c r="B50" s="1264" t="s">
        <v>1715</v>
      </c>
      <c r="C50" s="169">
        <f t="shared" ref="C50:H50" si="10">SUM(C51:C57)</f>
        <v>4011519</v>
      </c>
      <c r="D50" s="169">
        <f t="shared" si="10"/>
        <v>4273728</v>
      </c>
      <c r="E50" s="169">
        <f t="shared" si="10"/>
        <v>4271021</v>
      </c>
      <c r="F50" s="169">
        <f t="shared" si="10"/>
        <v>4279021</v>
      </c>
      <c r="G50" s="2">
        <f t="shared" si="10"/>
        <v>4279021</v>
      </c>
      <c r="H50" s="2">
        <f t="shared" si="10"/>
        <v>1280995</v>
      </c>
      <c r="I50" s="1265">
        <f>SUM(H50/G50)</f>
        <v>0.29936637375698788</v>
      </c>
      <c r="J50" s="751"/>
    </row>
    <row r="51" spans="1:14">
      <c r="A51" s="1239">
        <v>1781</v>
      </c>
      <c r="B51" s="1266" t="s">
        <v>216</v>
      </c>
      <c r="C51" s="37">
        <f>SUM('9.mell '!R72)</f>
        <v>0</v>
      </c>
      <c r="D51" s="37">
        <f>SUM('9.mell '!S72)</f>
        <v>0</v>
      </c>
      <c r="E51" s="37">
        <f>'9.mell '!E72</f>
        <v>900</v>
      </c>
      <c r="F51" s="37">
        <f>'9.mell '!F72</f>
        <v>900</v>
      </c>
      <c r="G51" s="37">
        <f>'9.mell '!G72</f>
        <v>900</v>
      </c>
      <c r="H51" s="37">
        <f>'9.mell '!H72</f>
        <v>679</v>
      </c>
      <c r="I51" s="1265"/>
      <c r="J51" s="751"/>
    </row>
    <row r="52" spans="1:14">
      <c r="A52" s="1239">
        <v>1782</v>
      </c>
      <c r="B52" s="1266" t="s">
        <v>78</v>
      </c>
      <c r="C52" s="37">
        <f>SUM('9.mell '!R73)</f>
        <v>0</v>
      </c>
      <c r="D52" s="37">
        <f>SUM('9.mell '!S73)</f>
        <v>0</v>
      </c>
      <c r="E52" s="37">
        <f>'9.mell '!E73</f>
        <v>117</v>
      </c>
      <c r="F52" s="37">
        <f>'9.mell '!F73</f>
        <v>117</v>
      </c>
      <c r="G52" s="37">
        <f>'9.mell '!G73</f>
        <v>117</v>
      </c>
      <c r="H52" s="37">
        <f>'9.mell '!H73</f>
        <v>0</v>
      </c>
      <c r="I52" s="1265"/>
      <c r="J52" s="751"/>
    </row>
    <row r="53" spans="1:14">
      <c r="A53" s="1237">
        <v>1783</v>
      </c>
      <c r="B53" s="1266" t="s">
        <v>79</v>
      </c>
      <c r="C53" s="3">
        <f>SUM('9.mell '!C74)</f>
        <v>0</v>
      </c>
      <c r="D53" s="3">
        <f>SUM('9.mell '!D74)</f>
        <v>6908</v>
      </c>
      <c r="E53" s="3">
        <f>SUM('9.mell '!E74)</f>
        <v>52358</v>
      </c>
      <c r="F53" s="3">
        <f>SUM('9.mell '!F74)</f>
        <v>69149</v>
      </c>
      <c r="G53" s="3">
        <f>SUM('9.mell '!G74)</f>
        <v>73399</v>
      </c>
      <c r="H53" s="3">
        <f>SUM('9.mell '!H74)</f>
        <v>48858</v>
      </c>
      <c r="I53" s="1265">
        <f>SUM(H53/G53)</f>
        <v>0.66564939576833471</v>
      </c>
      <c r="J53" s="751"/>
    </row>
    <row r="54" spans="1:14">
      <c r="A54" s="1237">
        <v>1784</v>
      </c>
      <c r="B54" s="1266" t="s">
        <v>211</v>
      </c>
      <c r="C54" s="3">
        <f>SUM('9.mell '!R75)</f>
        <v>0</v>
      </c>
      <c r="D54" s="3">
        <f>SUM('9.mell '!S75)</f>
        <v>0</v>
      </c>
      <c r="E54" s="3">
        <f>SUM('9.mell '!T75)</f>
        <v>0</v>
      </c>
      <c r="F54" s="3">
        <f>SUM('9.mell '!U75)</f>
        <v>0</v>
      </c>
      <c r="G54" s="3">
        <f>SUM('9.mell '!V75)</f>
        <v>0</v>
      </c>
      <c r="H54" s="3">
        <f>SUM('9.mell '!H75)</f>
        <v>0</v>
      </c>
      <c r="I54" s="1265"/>
    </row>
    <row r="55" spans="1:14">
      <c r="A55" s="1237">
        <v>1785</v>
      </c>
      <c r="B55" s="1266" t="s">
        <v>192</v>
      </c>
      <c r="C55" s="3">
        <f>SUM('9.mell '!C79)</f>
        <v>4011519</v>
      </c>
      <c r="D55" s="3">
        <f>SUM('9.mell '!D79)</f>
        <v>4266820</v>
      </c>
      <c r="E55" s="3">
        <f>SUM('9.mell '!E79)</f>
        <v>4217646</v>
      </c>
      <c r="F55" s="3">
        <f>SUM('9.mell '!F79)</f>
        <v>4181855</v>
      </c>
      <c r="G55" s="3">
        <f>SUM('9.mell '!G79)</f>
        <v>4177605</v>
      </c>
      <c r="H55" s="3">
        <f>SUM('9.mell '!H79)</f>
        <v>1231458</v>
      </c>
      <c r="I55" s="1267">
        <f>SUM(H55/G55)</f>
        <v>0.29477607385092652</v>
      </c>
      <c r="J55" s="751"/>
    </row>
    <row r="56" spans="1:14">
      <c r="A56" s="1237">
        <v>1786</v>
      </c>
      <c r="B56" s="1266" t="s">
        <v>193</v>
      </c>
      <c r="C56" s="178"/>
      <c r="D56" s="178"/>
      <c r="E56" s="178"/>
      <c r="F56" s="178"/>
      <c r="G56" s="178"/>
      <c r="H56" s="178"/>
      <c r="I56" s="1265"/>
    </row>
    <row r="57" spans="1:14">
      <c r="A57" s="91">
        <v>1787</v>
      </c>
      <c r="B57" s="1266" t="s">
        <v>249</v>
      </c>
      <c r="C57" s="178">
        <f>'9.mell '!C80</f>
        <v>0</v>
      </c>
      <c r="D57" s="178">
        <f>'9.mell '!D80</f>
        <v>0</v>
      </c>
      <c r="E57" s="178">
        <f>'9.mell '!E80</f>
        <v>0</v>
      </c>
      <c r="F57" s="178">
        <f>'9.mell '!F80</f>
        <v>27000</v>
      </c>
      <c r="G57" s="178">
        <f>'9.mell '!G80</f>
        <v>27000</v>
      </c>
      <c r="H57" s="178">
        <f>'9.mell '!H80</f>
        <v>0</v>
      </c>
      <c r="I57" s="1267">
        <f>SUM(H57/G57)</f>
        <v>0</v>
      </c>
    </row>
    <row r="58" spans="1:14">
      <c r="A58" s="91"/>
      <c r="B58" s="1266"/>
      <c r="C58" s="173"/>
      <c r="D58" s="173"/>
      <c r="E58" s="173"/>
      <c r="F58" s="173"/>
      <c r="G58" s="173"/>
      <c r="H58" s="173"/>
      <c r="I58" s="1265"/>
    </row>
    <row r="59" spans="1:14" ht="0.6" hidden="1" customHeight="1">
      <c r="A59" s="1240">
        <v>1790</v>
      </c>
      <c r="B59" s="1274" t="s">
        <v>348</v>
      </c>
      <c r="C59" s="168"/>
      <c r="D59" s="168"/>
      <c r="E59" s="168"/>
      <c r="F59" s="168"/>
      <c r="G59" s="168"/>
      <c r="H59" s="168"/>
      <c r="I59" s="1265"/>
    </row>
    <row r="60" spans="1:14" hidden="1">
      <c r="A60" s="91">
        <v>1795</v>
      </c>
      <c r="B60" s="1268" t="s">
        <v>293</v>
      </c>
      <c r="C60" s="174"/>
      <c r="D60" s="174"/>
      <c r="E60" s="174"/>
      <c r="F60" s="174"/>
      <c r="G60" s="174"/>
      <c r="H60" s="174"/>
      <c r="I60" s="1265"/>
    </row>
    <row r="61" spans="1:14">
      <c r="A61" s="91"/>
      <c r="B61" s="1275"/>
      <c r="C61" s="4"/>
      <c r="D61" s="4"/>
      <c r="E61" s="4"/>
      <c r="F61" s="4"/>
      <c r="G61" s="4"/>
      <c r="H61" s="4"/>
      <c r="I61" s="1265"/>
    </row>
    <row r="62" spans="1:14" s="15" customFormat="1" ht="14.1" customHeight="1">
      <c r="A62" s="1236">
        <v>1801</v>
      </c>
      <c r="B62" s="1272" t="s">
        <v>416</v>
      </c>
      <c r="C62" s="2">
        <v>65000</v>
      </c>
      <c r="D62" s="2">
        <f>65000+314</f>
        <v>65314</v>
      </c>
      <c r="E62" s="2">
        <f>65314+38000</f>
        <v>103314</v>
      </c>
      <c r="F62" s="2">
        <f>65314+38000</f>
        <v>103314</v>
      </c>
      <c r="G62" s="2">
        <f>65314+38000+50000</f>
        <v>153314</v>
      </c>
      <c r="H62" s="2">
        <v>113787</v>
      </c>
      <c r="I62" s="1265">
        <f>SUM(H62/G62)</f>
        <v>0.74218270999386882</v>
      </c>
      <c r="J62" s="12"/>
      <c r="K62" s="12"/>
      <c r="L62" s="12"/>
      <c r="M62" s="12"/>
      <c r="N62" s="12"/>
    </row>
    <row r="63" spans="1:14" s="15" customFormat="1" ht="11.45" customHeight="1">
      <c r="A63" s="1236"/>
      <c r="B63" s="1272"/>
      <c r="C63" s="2"/>
      <c r="D63" s="2"/>
      <c r="E63" s="2"/>
      <c r="F63" s="2"/>
      <c r="G63" s="2"/>
      <c r="H63" s="2"/>
      <c r="I63" s="1265"/>
      <c r="J63" s="12"/>
      <c r="K63" s="12"/>
      <c r="L63" s="12"/>
      <c r="M63" s="12"/>
      <c r="N63" s="12"/>
    </row>
    <row r="64" spans="1:14" s="15" customFormat="1" ht="14.1" customHeight="1">
      <c r="A64" s="1236">
        <v>1802</v>
      </c>
      <c r="B64" s="1272" t="s">
        <v>307</v>
      </c>
      <c r="C64" s="2">
        <v>17631</v>
      </c>
      <c r="D64" s="2">
        <v>17631</v>
      </c>
      <c r="E64" s="2">
        <v>17631</v>
      </c>
      <c r="F64" s="2">
        <v>17631</v>
      </c>
      <c r="G64" s="2">
        <v>17631</v>
      </c>
      <c r="H64" s="2">
        <v>17631</v>
      </c>
      <c r="I64" s="1265">
        <f>SUM(H64/G64)</f>
        <v>1</v>
      </c>
      <c r="J64" s="12"/>
      <c r="K64" s="12"/>
      <c r="L64" s="12"/>
      <c r="M64" s="12"/>
      <c r="N64" s="12"/>
    </row>
    <row r="65" spans="1:14" s="15" customFormat="1" ht="14.1" customHeight="1">
      <c r="A65" s="1236"/>
      <c r="B65" s="1272"/>
      <c r="C65" s="2"/>
      <c r="D65" s="2"/>
      <c r="E65" s="2"/>
      <c r="F65" s="2"/>
      <c r="G65" s="2"/>
      <c r="H65" s="2"/>
      <c r="I65" s="1265"/>
      <c r="J65" s="12"/>
      <c r="K65" s="12"/>
      <c r="L65" s="12"/>
      <c r="M65" s="12"/>
      <c r="N65" s="12"/>
    </row>
    <row r="66" spans="1:14" s="15" customFormat="1" ht="14.1" customHeight="1">
      <c r="A66" s="1236">
        <v>1803</v>
      </c>
      <c r="B66" s="1272" t="s">
        <v>333</v>
      </c>
      <c r="C66" s="2">
        <v>2745000</v>
      </c>
      <c r="D66" s="2">
        <f>2745000+389</f>
        <v>2745389</v>
      </c>
      <c r="E66" s="2">
        <f>2745000+389</f>
        <v>2745389</v>
      </c>
      <c r="F66" s="2">
        <f>2745000+389</f>
        <v>2745389</v>
      </c>
      <c r="G66" s="2">
        <f>2745000+389</f>
        <v>2745389</v>
      </c>
      <c r="H66" s="2">
        <v>2745389</v>
      </c>
      <c r="I66" s="1265">
        <f>SUM(H66/G66)</f>
        <v>1</v>
      </c>
      <c r="J66" s="12"/>
      <c r="K66" s="12"/>
      <c r="L66" s="12"/>
      <c r="M66" s="12"/>
      <c r="N66" s="12"/>
    </row>
    <row r="67" spans="1:14" s="15" customFormat="1" ht="11.1" customHeight="1">
      <c r="A67" s="1236"/>
      <c r="B67" s="1272"/>
      <c r="C67" s="2"/>
      <c r="D67" s="2"/>
      <c r="E67" s="2"/>
      <c r="F67" s="2"/>
      <c r="G67" s="2"/>
      <c r="H67" s="2"/>
      <c r="I67" s="1265"/>
      <c r="J67" s="12"/>
      <c r="K67" s="12"/>
      <c r="L67" s="12"/>
      <c r="M67" s="12"/>
      <c r="N67" s="12"/>
    </row>
    <row r="68" spans="1:14" s="15" customFormat="1">
      <c r="A68" s="1236">
        <v>1804</v>
      </c>
      <c r="B68" s="1272" t="s">
        <v>367</v>
      </c>
      <c r="C68" s="2">
        <v>250000</v>
      </c>
      <c r="D68" s="2">
        <f>250000+907119</f>
        <v>1157119</v>
      </c>
      <c r="E68" s="2">
        <f>1157119+14077</f>
        <v>1171196</v>
      </c>
      <c r="F68" s="2">
        <f>1157119+14077</f>
        <v>1171196</v>
      </c>
      <c r="G68" s="2">
        <f>1157119+14077-50000</f>
        <v>1121196</v>
      </c>
      <c r="H68" s="2">
        <v>986816</v>
      </c>
      <c r="I68" s="1265">
        <f>SUM(H68/G68)</f>
        <v>0.88014584425916609</v>
      </c>
      <c r="J68" s="12"/>
      <c r="K68" s="12"/>
      <c r="L68" s="12"/>
      <c r="M68" s="12"/>
      <c r="N68" s="12"/>
    </row>
    <row r="69" spans="1:14" s="15" customFormat="1">
      <c r="A69" s="1236"/>
      <c r="B69" s="1272"/>
      <c r="C69" s="13"/>
      <c r="D69" s="13"/>
      <c r="E69" s="13"/>
      <c r="F69" s="13"/>
      <c r="G69" s="13"/>
      <c r="H69" s="13"/>
      <c r="I69" s="1265"/>
      <c r="J69" s="12"/>
      <c r="K69" s="12"/>
      <c r="L69" s="12"/>
      <c r="M69" s="12"/>
      <c r="N69" s="12"/>
    </row>
    <row r="70" spans="1:14" s="15" customFormat="1">
      <c r="A70" s="1236">
        <v>1806</v>
      </c>
      <c r="B70" s="1264" t="s">
        <v>289</v>
      </c>
      <c r="C70" s="35">
        <f t="shared" ref="C70:H70" si="11">C71</f>
        <v>0</v>
      </c>
      <c r="D70" s="35">
        <f t="shared" si="11"/>
        <v>2468</v>
      </c>
      <c r="E70" s="35">
        <f t="shared" si="11"/>
        <v>2468</v>
      </c>
      <c r="F70" s="35">
        <f t="shared" si="11"/>
        <v>2468</v>
      </c>
      <c r="G70" s="35">
        <f t="shared" si="11"/>
        <v>2468</v>
      </c>
      <c r="H70" s="35">
        <f t="shared" si="11"/>
        <v>0</v>
      </c>
      <c r="I70" s="1265">
        <f>SUM(H70/G70)</f>
        <v>0</v>
      </c>
      <c r="J70" s="12"/>
      <c r="K70" s="12"/>
      <c r="L70" s="12"/>
      <c r="M70" s="12"/>
      <c r="N70" s="12"/>
    </row>
    <row r="71" spans="1:14" s="15" customFormat="1">
      <c r="A71" s="1241"/>
      <c r="B71" s="1276" t="s">
        <v>290</v>
      </c>
      <c r="C71" s="37"/>
      <c r="D71" s="37">
        <v>2468</v>
      </c>
      <c r="E71" s="37">
        <v>2468</v>
      </c>
      <c r="F71" s="37">
        <v>2468</v>
      </c>
      <c r="G71" s="37">
        <v>2468</v>
      </c>
      <c r="H71" s="37">
        <v>0</v>
      </c>
      <c r="I71" s="1265">
        <f>SUM(H71/G71)</f>
        <v>0</v>
      </c>
      <c r="J71" s="12"/>
      <c r="K71" s="12"/>
      <c r="L71" s="12"/>
      <c r="M71" s="12"/>
      <c r="N71" s="12"/>
    </row>
    <row r="72" spans="1:14" s="15" customFormat="1">
      <c r="A72" s="1241">
        <v>1807</v>
      </c>
      <c r="B72" s="1264" t="s">
        <v>289</v>
      </c>
      <c r="C72" s="35">
        <f t="shared" ref="C72:H72" si="12">C73</f>
        <v>0</v>
      </c>
      <c r="D72" s="35">
        <f t="shared" si="12"/>
        <v>0</v>
      </c>
      <c r="E72" s="35">
        <f t="shared" si="12"/>
        <v>0</v>
      </c>
      <c r="F72" s="35">
        <f t="shared" si="12"/>
        <v>0</v>
      </c>
      <c r="G72" s="35">
        <f t="shared" si="12"/>
        <v>0</v>
      </c>
      <c r="H72" s="35">
        <f t="shared" si="12"/>
        <v>0</v>
      </c>
      <c r="I72" s="1265"/>
      <c r="J72" s="12"/>
      <c r="K72" s="12"/>
      <c r="L72" s="12"/>
      <c r="M72" s="12"/>
      <c r="N72" s="12"/>
    </row>
    <row r="73" spans="1:14" s="15" customFormat="1">
      <c r="A73" s="1241"/>
      <c r="B73" s="1276" t="s">
        <v>818</v>
      </c>
      <c r="C73" s="37"/>
      <c r="D73" s="37"/>
      <c r="E73" s="37"/>
      <c r="F73" s="37"/>
      <c r="G73" s="37"/>
      <c r="H73" s="37"/>
      <c r="I73" s="1265"/>
      <c r="J73" s="12"/>
      <c r="K73" s="12"/>
      <c r="L73" s="12"/>
      <c r="M73" s="12"/>
      <c r="N73" s="12"/>
    </row>
    <row r="74" spans="1:14" s="15" customFormat="1">
      <c r="A74" s="1241"/>
      <c r="B74" s="1276"/>
      <c r="C74" s="175"/>
      <c r="D74" s="175"/>
      <c r="E74" s="175"/>
      <c r="F74" s="175"/>
      <c r="G74" s="175"/>
      <c r="H74" s="175"/>
      <c r="I74" s="1265"/>
    </row>
    <row r="75" spans="1:14" s="15" customFormat="1">
      <c r="A75" s="1241">
        <v>1809</v>
      </c>
      <c r="B75" s="1277" t="s">
        <v>924</v>
      </c>
      <c r="C75" s="175">
        <f t="shared" ref="C75:H75" si="13">C76</f>
        <v>0</v>
      </c>
      <c r="D75" s="167">
        <f t="shared" si="13"/>
        <v>0</v>
      </c>
      <c r="E75" s="167">
        <f t="shared" si="13"/>
        <v>0</v>
      </c>
      <c r="F75" s="167">
        <f t="shared" si="13"/>
        <v>0</v>
      </c>
      <c r="G75" s="167">
        <f t="shared" si="13"/>
        <v>0</v>
      </c>
      <c r="H75" s="167">
        <f t="shared" si="13"/>
        <v>0</v>
      </c>
      <c r="I75" s="1265"/>
    </row>
    <row r="76" spans="1:14" s="15" customFormat="1">
      <c r="A76" s="1241"/>
      <c r="B76" s="1278" t="s">
        <v>925</v>
      </c>
      <c r="C76" s="175"/>
      <c r="D76" s="174"/>
      <c r="E76" s="174"/>
      <c r="F76" s="174"/>
      <c r="G76" s="174"/>
      <c r="H76" s="174"/>
      <c r="I76" s="1265"/>
    </row>
    <row r="77" spans="1:14" s="15" customFormat="1">
      <c r="A77" s="1241"/>
      <c r="B77" s="1278"/>
      <c r="C77" s="175"/>
      <c r="D77" s="174"/>
      <c r="E77" s="174"/>
      <c r="F77" s="174"/>
      <c r="G77" s="174"/>
      <c r="H77" s="174"/>
      <c r="I77" s="1265"/>
    </row>
    <row r="78" spans="1:14" s="15" customFormat="1">
      <c r="A78" s="1242">
        <v>1810</v>
      </c>
      <c r="B78" s="1277" t="s">
        <v>1102</v>
      </c>
      <c r="C78" s="175">
        <f t="shared" ref="C78:H78" si="14">C79</f>
        <v>0</v>
      </c>
      <c r="D78" s="167">
        <f t="shared" si="14"/>
        <v>0</v>
      </c>
      <c r="E78" s="167">
        <f t="shared" si="14"/>
        <v>0</v>
      </c>
      <c r="F78" s="167">
        <f t="shared" si="14"/>
        <v>0</v>
      </c>
      <c r="G78" s="167">
        <f t="shared" si="14"/>
        <v>36451</v>
      </c>
      <c r="H78" s="167">
        <f t="shared" si="14"/>
        <v>36450</v>
      </c>
      <c r="I78" s="1265">
        <f>SUM(H78/G78)</f>
        <v>0.99997256591040029</v>
      </c>
      <c r="J78" s="751"/>
    </row>
    <row r="79" spans="1:14" s="15" customFormat="1">
      <c r="A79" s="1242"/>
      <c r="B79" s="1278" t="s">
        <v>1103</v>
      </c>
      <c r="C79" s="175"/>
      <c r="D79" s="174"/>
      <c r="E79" s="174"/>
      <c r="F79" s="174"/>
      <c r="G79" s="174">
        <v>36451</v>
      </c>
      <c r="H79" s="174">
        <v>36450</v>
      </c>
      <c r="I79" s="1267">
        <f t="shared" ref="I79" si="15">SUM(H79/G79)</f>
        <v>0.99997256591040029</v>
      </c>
      <c r="J79" s="751"/>
    </row>
    <row r="80" spans="1:14" s="15" customFormat="1">
      <c r="A80" s="1241"/>
      <c r="B80" s="1278"/>
      <c r="C80" s="175"/>
      <c r="D80" s="174"/>
      <c r="E80" s="174"/>
      <c r="F80" s="174"/>
      <c r="G80" s="174"/>
      <c r="H80" s="174"/>
      <c r="I80" s="1265"/>
    </row>
    <row r="81" spans="1:10" s="15" customFormat="1">
      <c r="A81" s="1240">
        <v>1812</v>
      </c>
      <c r="B81" s="1279" t="s">
        <v>28</v>
      </c>
      <c r="C81" s="167">
        <f>SUM('10.mell. '!C12)</f>
        <v>116739</v>
      </c>
      <c r="D81" s="167">
        <f>SUM('10.mell. '!D12)</f>
        <v>196301</v>
      </c>
      <c r="E81" s="167">
        <f>SUM('10.mell. '!E12)</f>
        <v>134926</v>
      </c>
      <c r="F81" s="167">
        <f>SUM('10.mell. '!F12)</f>
        <v>100000</v>
      </c>
      <c r="G81" s="167">
        <f>SUM('10.mell. '!G12)</f>
        <v>1416582</v>
      </c>
      <c r="H81" s="167">
        <v>0</v>
      </c>
      <c r="I81" s="1265">
        <f>SUM(H81/G81)</f>
        <v>0</v>
      </c>
      <c r="J81" s="751"/>
    </row>
    <row r="82" spans="1:10" s="15" customFormat="1">
      <c r="A82" s="1240">
        <v>1813</v>
      </c>
      <c r="B82" s="1280" t="s">
        <v>29</v>
      </c>
      <c r="C82" s="167">
        <f>SUM('10.mell. '!C14)</f>
        <v>500000</v>
      </c>
      <c r="D82" s="167">
        <f>SUM('10.mell. '!D14)</f>
        <v>500000</v>
      </c>
      <c r="E82" s="167">
        <f>SUM('10.mell. '!E14)</f>
        <v>814917</v>
      </c>
      <c r="F82" s="167">
        <f>SUM('10.mell. '!F14)</f>
        <v>387362</v>
      </c>
      <c r="G82" s="167">
        <f>SUM('10.mell. '!G14)</f>
        <v>532170</v>
      </c>
      <c r="H82" s="167">
        <v>0</v>
      </c>
      <c r="I82" s="1265">
        <f>SUM(H82/G82)</f>
        <v>0</v>
      </c>
      <c r="J82" s="751"/>
    </row>
    <row r="83" spans="1:10" s="15" customFormat="1">
      <c r="A83" s="1241">
        <v>1816</v>
      </c>
      <c r="B83" s="1277" t="s">
        <v>51</v>
      </c>
      <c r="C83" s="167">
        <f>SUM('10.mell. '!C25)</f>
        <v>616739</v>
      </c>
      <c r="D83" s="167">
        <f>SUM('10.mell. '!D25)</f>
        <v>696301</v>
      </c>
      <c r="E83" s="167">
        <f>SUM('10.mell. '!E25)</f>
        <v>949843</v>
      </c>
      <c r="F83" s="167">
        <f>SUM('10.mell. '!F25)</f>
        <v>487362</v>
      </c>
      <c r="G83" s="167">
        <f>SUM('10.mell. '!G25)</f>
        <v>1948752</v>
      </c>
      <c r="H83" s="167">
        <v>0</v>
      </c>
      <c r="I83" s="1265">
        <f>SUM(H83/G83)</f>
        <v>0</v>
      </c>
      <c r="J83" s="751"/>
    </row>
    <row r="84" spans="1:10">
      <c r="A84" s="91"/>
      <c r="B84" s="1268"/>
      <c r="C84" s="167"/>
      <c r="D84" s="167"/>
      <c r="E84" s="167"/>
      <c r="F84" s="167"/>
      <c r="G84" s="167"/>
      <c r="H84" s="167"/>
      <c r="I84" s="1265"/>
    </row>
    <row r="85" spans="1:10" s="17" customFormat="1" ht="14.1" customHeight="1">
      <c r="A85" s="1243"/>
      <c r="B85" s="1281" t="s">
        <v>46</v>
      </c>
      <c r="C85" s="176"/>
      <c r="D85" s="176"/>
      <c r="E85" s="176"/>
      <c r="F85" s="176"/>
      <c r="G85" s="176"/>
      <c r="H85" s="176"/>
      <c r="I85" s="1265"/>
    </row>
    <row r="86" spans="1:10" ht="12" customHeight="1">
      <c r="A86" s="91">
        <v>1821</v>
      </c>
      <c r="B86" s="1266" t="s">
        <v>216</v>
      </c>
      <c r="C86" s="177">
        <f t="shared" ref="C86:H86" si="16">SUM(C12+C24+C34+C42+C51)</f>
        <v>2914838</v>
      </c>
      <c r="D86" s="177">
        <f t="shared" si="16"/>
        <v>3029292</v>
      </c>
      <c r="E86" s="177">
        <f t="shared" si="16"/>
        <v>3083844</v>
      </c>
      <c r="F86" s="177">
        <f t="shared" si="16"/>
        <v>3285394</v>
      </c>
      <c r="G86" s="177">
        <f t="shared" si="16"/>
        <v>3304176</v>
      </c>
      <c r="H86" s="177">
        <f t="shared" si="16"/>
        <v>3166516</v>
      </c>
      <c r="I86" s="1267">
        <f t="shared" ref="I86:I92" si="17">SUM(H86/G86)</f>
        <v>0.95833757039576584</v>
      </c>
      <c r="J86" s="751"/>
    </row>
    <row r="87" spans="1:10" ht="12" customHeight="1">
      <c r="A87" s="91">
        <v>1822</v>
      </c>
      <c r="B87" s="1266" t="s">
        <v>78</v>
      </c>
      <c r="C87" s="178">
        <f t="shared" ref="C87:D87" si="18">SUM(C13+C25+C35+C43+C52)</f>
        <v>436803</v>
      </c>
      <c r="D87" s="178">
        <f t="shared" si="18"/>
        <v>475364</v>
      </c>
      <c r="E87" s="178">
        <f t="shared" ref="E87:F87" si="19">SUM(E13+E25+E35+E43+E52)</f>
        <v>481907</v>
      </c>
      <c r="F87" s="178">
        <f t="shared" si="19"/>
        <v>503221</v>
      </c>
      <c r="G87" s="178">
        <f t="shared" ref="G87:H87" si="20">SUM(G13+G25+G35+G43+G52)</f>
        <v>514507</v>
      </c>
      <c r="H87" s="178">
        <f t="shared" si="20"/>
        <v>452352</v>
      </c>
      <c r="I87" s="1267">
        <f t="shared" si="17"/>
        <v>0.87919503524733389</v>
      </c>
      <c r="J87" s="751"/>
    </row>
    <row r="88" spans="1:10">
      <c r="A88" s="91">
        <v>1823</v>
      </c>
      <c r="B88" s="1266" t="s">
        <v>79</v>
      </c>
      <c r="C88" s="178">
        <f t="shared" ref="C88:H88" si="21">SUM(C14+C26+C36+C44+C53+C62+C64+C68)</f>
        <v>5552912</v>
      </c>
      <c r="D88" s="178">
        <f t="shared" si="21"/>
        <v>7462803</v>
      </c>
      <c r="E88" s="178">
        <f t="shared" si="21"/>
        <v>7672741</v>
      </c>
      <c r="F88" s="178">
        <f t="shared" si="21"/>
        <v>8050006</v>
      </c>
      <c r="G88" s="178">
        <f t="shared" si="21"/>
        <v>8085182</v>
      </c>
      <c r="H88" s="178">
        <f t="shared" si="21"/>
        <v>6358078</v>
      </c>
      <c r="I88" s="1267">
        <f t="shared" si="17"/>
        <v>0.78638650311149461</v>
      </c>
      <c r="J88" s="751"/>
    </row>
    <row r="89" spans="1:10">
      <c r="A89" s="91">
        <v>1824</v>
      </c>
      <c r="B89" s="1266" t="s">
        <v>88</v>
      </c>
      <c r="C89" s="177">
        <f t="shared" ref="C89:H89" si="22">SUM(C15+C27)</f>
        <v>205000</v>
      </c>
      <c r="D89" s="177">
        <f t="shared" si="22"/>
        <v>262952</v>
      </c>
      <c r="E89" s="177">
        <f t="shared" si="22"/>
        <v>264999</v>
      </c>
      <c r="F89" s="177">
        <f t="shared" si="22"/>
        <v>269999</v>
      </c>
      <c r="G89" s="177">
        <f t="shared" si="22"/>
        <v>269999</v>
      </c>
      <c r="H89" s="177">
        <f t="shared" si="22"/>
        <v>212420</v>
      </c>
      <c r="I89" s="1267">
        <f t="shared" si="17"/>
        <v>0.78674365460612816</v>
      </c>
      <c r="J89" s="751"/>
    </row>
    <row r="90" spans="1:10">
      <c r="A90" s="91">
        <v>1825</v>
      </c>
      <c r="B90" s="1266" t="s">
        <v>227</v>
      </c>
      <c r="C90" s="178">
        <f t="shared" ref="C90:H90" si="23">SUM(C16+C28+C37+C45+C54+C66+C70+C78+C81+C82)</f>
        <v>4842759</v>
      </c>
      <c r="D90" s="178">
        <f t="shared" si="23"/>
        <v>5319247</v>
      </c>
      <c r="E90" s="178">
        <f t="shared" si="23"/>
        <v>5578032</v>
      </c>
      <c r="F90" s="178">
        <f t="shared" si="23"/>
        <v>5150971</v>
      </c>
      <c r="G90" s="178">
        <f t="shared" si="23"/>
        <v>6652062</v>
      </c>
      <c r="H90" s="178">
        <f t="shared" si="23"/>
        <v>4661105</v>
      </c>
      <c r="I90" s="1267">
        <f t="shared" si="17"/>
        <v>0.70070077518820484</v>
      </c>
      <c r="J90" s="751"/>
    </row>
    <row r="91" spans="1:10" ht="12.75" thickBot="1">
      <c r="A91" s="1244"/>
      <c r="B91" s="1282" t="s">
        <v>56</v>
      </c>
      <c r="C91" s="179">
        <f t="shared" ref="C91:H91" si="24">SUM(C83)</f>
        <v>616739</v>
      </c>
      <c r="D91" s="179">
        <f t="shared" si="24"/>
        <v>696301</v>
      </c>
      <c r="E91" s="179">
        <f t="shared" si="24"/>
        <v>949843</v>
      </c>
      <c r="F91" s="179">
        <f t="shared" si="24"/>
        <v>487362</v>
      </c>
      <c r="G91" s="179">
        <f t="shared" si="24"/>
        <v>1948752</v>
      </c>
      <c r="H91" s="179">
        <f t="shared" si="24"/>
        <v>0</v>
      </c>
      <c r="I91" s="1283">
        <f t="shared" si="17"/>
        <v>0</v>
      </c>
      <c r="J91" s="751"/>
    </row>
    <row r="92" spans="1:10" ht="17.25" customHeight="1" thickBot="1">
      <c r="A92" s="1245">
        <v>1820</v>
      </c>
      <c r="B92" s="1284" t="s">
        <v>37</v>
      </c>
      <c r="C92" s="180">
        <f t="shared" ref="C92:D92" si="25">SUM(C86:C91)-C91</f>
        <v>13952312</v>
      </c>
      <c r="D92" s="180">
        <f t="shared" si="25"/>
        <v>16549658</v>
      </c>
      <c r="E92" s="180">
        <f t="shared" ref="E92:F92" si="26">SUM(E86:E91)-E91</f>
        <v>17081523</v>
      </c>
      <c r="F92" s="180">
        <f t="shared" si="26"/>
        <v>17259591</v>
      </c>
      <c r="G92" s="180">
        <f t="shared" ref="G92:H92" si="27">SUM(G86:G91)-G91</f>
        <v>18825926</v>
      </c>
      <c r="H92" s="180">
        <f t="shared" si="27"/>
        <v>14850471</v>
      </c>
      <c r="I92" s="1285">
        <f t="shared" si="17"/>
        <v>0.78883083891862738</v>
      </c>
      <c r="J92" s="751"/>
    </row>
    <row r="93" spans="1:10">
      <c r="A93" s="1246"/>
      <c r="B93" s="1286"/>
      <c r="C93" s="168"/>
      <c r="D93" s="168"/>
      <c r="E93" s="168"/>
      <c r="F93" s="168"/>
      <c r="G93" s="168"/>
      <c r="H93" s="168"/>
      <c r="I93" s="1287"/>
    </row>
    <row r="94" spans="1:10">
      <c r="A94" s="91"/>
      <c r="B94" s="1279" t="s">
        <v>47</v>
      </c>
      <c r="C94" s="167"/>
      <c r="D94" s="167"/>
      <c r="E94" s="167"/>
      <c r="F94" s="167"/>
      <c r="G94" s="167"/>
      <c r="H94" s="167"/>
      <c r="I94" s="1265"/>
    </row>
    <row r="95" spans="1:10">
      <c r="A95" s="91">
        <v>1831</v>
      </c>
      <c r="B95" s="1266" t="s">
        <v>192</v>
      </c>
      <c r="C95" s="177">
        <f t="shared" ref="C95:H95" si="28">SUM(C17+C29+C46+C55+C38)</f>
        <v>4258919</v>
      </c>
      <c r="D95" s="177">
        <f t="shared" si="28"/>
        <v>4726510</v>
      </c>
      <c r="E95" s="177">
        <f t="shared" si="28"/>
        <v>4757041</v>
      </c>
      <c r="F95" s="177">
        <f t="shared" si="28"/>
        <v>4801779</v>
      </c>
      <c r="G95" s="177">
        <f t="shared" si="28"/>
        <v>4760614</v>
      </c>
      <c r="H95" s="177">
        <f t="shared" si="28"/>
        <v>1537209</v>
      </c>
      <c r="I95" s="1267">
        <f>SUM(H95/G95)</f>
        <v>0.32290141565772817</v>
      </c>
      <c r="J95" s="751"/>
    </row>
    <row r="96" spans="1:10">
      <c r="A96" s="91">
        <v>1832</v>
      </c>
      <c r="B96" s="1266" t="s">
        <v>193</v>
      </c>
      <c r="C96" s="177">
        <f t="shared" ref="C96:H96" si="29">SUM(C18+C30+C47+C56)</f>
        <v>3608062</v>
      </c>
      <c r="D96" s="177">
        <f t="shared" si="29"/>
        <v>7562045</v>
      </c>
      <c r="E96" s="177">
        <f t="shared" si="29"/>
        <v>7852673</v>
      </c>
      <c r="F96" s="177">
        <f t="shared" si="29"/>
        <v>7588122</v>
      </c>
      <c r="G96" s="177">
        <f t="shared" si="29"/>
        <v>7585921</v>
      </c>
      <c r="H96" s="177">
        <f t="shared" si="29"/>
        <v>1662342</v>
      </c>
      <c r="I96" s="1267">
        <f>SUM(H96/G96)</f>
        <v>0.21913515840726525</v>
      </c>
      <c r="J96" s="751"/>
    </row>
    <row r="97" spans="1:10" ht="12.75" thickBot="1">
      <c r="A97" s="91">
        <v>1833</v>
      </c>
      <c r="B97" s="1266" t="s">
        <v>249</v>
      </c>
      <c r="C97" s="354">
        <f t="shared" ref="C97:H97" si="30">SUM(C31+C48+C39+C57+C59+C19+C72+C75)</f>
        <v>1730691</v>
      </c>
      <c r="D97" s="354">
        <f t="shared" si="30"/>
        <v>2316754</v>
      </c>
      <c r="E97" s="354">
        <f t="shared" si="30"/>
        <v>2323694</v>
      </c>
      <c r="F97" s="354">
        <f t="shared" si="30"/>
        <v>2554212</v>
      </c>
      <c r="G97" s="354">
        <f t="shared" si="30"/>
        <v>2553612</v>
      </c>
      <c r="H97" s="354">
        <f t="shared" si="30"/>
        <v>1736341</v>
      </c>
      <c r="I97" s="1283">
        <f>SUM(H97/G97)</f>
        <v>0.67995490309412709</v>
      </c>
      <c r="J97" s="751"/>
    </row>
    <row r="98" spans="1:10" ht="18.75" customHeight="1" thickBot="1">
      <c r="A98" s="1247">
        <v>1830</v>
      </c>
      <c r="B98" s="1288" t="s">
        <v>48</v>
      </c>
      <c r="C98" s="181">
        <f t="shared" ref="C98:D98" si="31">SUM(C95:C97)</f>
        <v>9597672</v>
      </c>
      <c r="D98" s="181">
        <f t="shared" si="31"/>
        <v>14605309</v>
      </c>
      <c r="E98" s="181">
        <f t="shared" ref="E98:F98" si="32">SUM(E95:E97)</f>
        <v>14933408</v>
      </c>
      <c r="F98" s="181">
        <f t="shared" si="32"/>
        <v>14944113</v>
      </c>
      <c r="G98" s="181">
        <f t="shared" ref="G98:H98" si="33">SUM(G95:G97)</f>
        <v>14900147</v>
      </c>
      <c r="H98" s="181">
        <f t="shared" si="33"/>
        <v>4935892</v>
      </c>
      <c r="I98" s="1285">
        <f>SUM(H98/G98)</f>
        <v>0.3312646512816283</v>
      </c>
      <c r="J98" s="751"/>
    </row>
    <row r="99" spans="1:10" ht="18.75" customHeight="1">
      <c r="A99" s="1248"/>
      <c r="B99" s="1289"/>
      <c r="C99" s="502"/>
      <c r="D99" s="502"/>
      <c r="E99" s="502"/>
      <c r="F99" s="502"/>
      <c r="G99" s="502"/>
      <c r="H99" s="502"/>
      <c r="I99" s="1287"/>
    </row>
    <row r="100" spans="1:10">
      <c r="A100" s="1249">
        <v>1842</v>
      </c>
      <c r="B100" s="1290" t="s">
        <v>411</v>
      </c>
      <c r="C100" s="37"/>
      <c r="D100" s="37">
        <v>255701</v>
      </c>
      <c r="E100" s="37">
        <f>255701+1135230</f>
        <v>1390931</v>
      </c>
      <c r="F100" s="37">
        <f>255701+1135230+447339</f>
        <v>1838270</v>
      </c>
      <c r="G100" s="37">
        <f>255701+1135230+447339+107465+171460</f>
        <v>2117195</v>
      </c>
      <c r="H100" s="37">
        <v>1945734</v>
      </c>
      <c r="I100" s="1265">
        <f t="shared" ref="I100:I107" si="34">SUM(H100/G100)</f>
        <v>0.91901501751137704</v>
      </c>
      <c r="J100" s="751"/>
    </row>
    <row r="101" spans="1:10">
      <c r="A101" s="1249">
        <v>1843</v>
      </c>
      <c r="B101" s="1290" t="s">
        <v>349</v>
      </c>
      <c r="C101" s="34">
        <v>138592</v>
      </c>
      <c r="D101" s="34">
        <v>138592</v>
      </c>
      <c r="E101" s="34">
        <v>138592</v>
      </c>
      <c r="F101" s="34">
        <v>138592</v>
      </c>
      <c r="G101" s="34">
        <f>138592</f>
        <v>138592</v>
      </c>
      <c r="H101" s="34">
        <v>138592</v>
      </c>
      <c r="I101" s="1267">
        <f t="shared" si="34"/>
        <v>1</v>
      </c>
      <c r="J101" s="751"/>
    </row>
    <row r="102" spans="1:10">
      <c r="A102" s="1249">
        <v>1844</v>
      </c>
      <c r="B102" s="1290" t="s">
        <v>354</v>
      </c>
      <c r="C102" s="36"/>
      <c r="D102" s="36"/>
      <c r="E102" s="36"/>
      <c r="F102" s="36"/>
      <c r="G102" s="34">
        <v>15500000</v>
      </c>
      <c r="H102" s="34">
        <v>15500000</v>
      </c>
      <c r="I102" s="1267">
        <f t="shared" si="34"/>
        <v>1</v>
      </c>
      <c r="J102" s="751"/>
    </row>
    <row r="103" spans="1:10">
      <c r="A103" s="1240">
        <v>1845</v>
      </c>
      <c r="B103" s="1274" t="s">
        <v>357</v>
      </c>
      <c r="C103" s="36">
        <f t="shared" ref="C103:H103" si="35">SUM(C104:C106)</f>
        <v>13247915</v>
      </c>
      <c r="D103" s="36">
        <f t="shared" si="35"/>
        <v>14494193</v>
      </c>
      <c r="E103" s="36">
        <f t="shared" si="35"/>
        <v>14620378</v>
      </c>
      <c r="F103" s="36">
        <f t="shared" si="35"/>
        <v>15081258</v>
      </c>
      <c r="G103" s="36">
        <f t="shared" si="35"/>
        <v>15144194</v>
      </c>
      <c r="H103" s="36">
        <f t="shared" si="35"/>
        <v>13831838</v>
      </c>
      <c r="I103" s="1265">
        <f t="shared" si="34"/>
        <v>0.91334263150617323</v>
      </c>
      <c r="J103" s="751"/>
    </row>
    <row r="104" spans="1:10">
      <c r="A104" s="1249">
        <v>1846</v>
      </c>
      <c r="B104" s="1291" t="s">
        <v>285</v>
      </c>
      <c r="C104" s="163">
        <f>SUM('4.mell.'!C744)</f>
        <v>8677395</v>
      </c>
      <c r="D104" s="163">
        <f>SUM('4.mell.'!D744)</f>
        <v>9858544</v>
      </c>
      <c r="E104" s="163">
        <f>SUM('4.mell.'!E744)</f>
        <v>9984729</v>
      </c>
      <c r="F104" s="163">
        <f>SUM('4.mell.'!F744)</f>
        <v>10208165</v>
      </c>
      <c r="G104" s="163">
        <f>SUM('4.mell.'!G744)</f>
        <v>10249786</v>
      </c>
      <c r="H104" s="163">
        <f>SUM('4.mell.'!H744)</f>
        <v>9233925</v>
      </c>
      <c r="I104" s="1267">
        <f t="shared" si="34"/>
        <v>0.90088954052308989</v>
      </c>
      <c r="J104" s="751"/>
    </row>
    <row r="105" spans="1:10">
      <c r="A105" s="1249">
        <v>1847</v>
      </c>
      <c r="B105" s="1276" t="s">
        <v>286</v>
      </c>
      <c r="C105" s="163">
        <f>SUM('4.mell.'!C745)</f>
        <v>743572</v>
      </c>
      <c r="D105" s="163">
        <f>SUM('4.mell.'!D745)</f>
        <v>743572</v>
      </c>
      <c r="E105" s="163">
        <f>SUM('4.mell.'!E745)</f>
        <v>743572</v>
      </c>
      <c r="F105" s="163">
        <f>SUM('4.mell.'!F745)</f>
        <v>746212</v>
      </c>
      <c r="G105" s="163">
        <f>SUM('4.mell.'!G745)</f>
        <v>746212</v>
      </c>
      <c r="H105" s="163">
        <f>SUM('4.mell.'!H745)</f>
        <v>698402</v>
      </c>
      <c r="I105" s="1267">
        <f t="shared" si="34"/>
        <v>0.93592973578554084</v>
      </c>
      <c r="J105" s="751"/>
    </row>
    <row r="106" spans="1:10" ht="12.75" thickBot="1">
      <c r="A106" s="1250">
        <v>1849</v>
      </c>
      <c r="B106" s="1291" t="s">
        <v>273</v>
      </c>
      <c r="C106" s="182">
        <f>SUM('2.mell. '!C161)</f>
        <v>3826948</v>
      </c>
      <c r="D106" s="182">
        <f>SUM('2.mell. '!D161)</f>
        <v>3892077</v>
      </c>
      <c r="E106" s="182">
        <f>SUM('2.mell. '!E161)</f>
        <v>3892077</v>
      </c>
      <c r="F106" s="182">
        <f>SUM('2.mell. '!F161)</f>
        <v>4126881</v>
      </c>
      <c r="G106" s="182">
        <f>SUM('2.mell. '!G161)</f>
        <v>4148196</v>
      </c>
      <c r="H106" s="182">
        <f>SUM('2.mell. '!H161)</f>
        <v>3899511</v>
      </c>
      <c r="I106" s="1283">
        <f t="shared" si="34"/>
        <v>0.94004984335359276</v>
      </c>
      <c r="J106" s="751"/>
    </row>
    <row r="107" spans="1:10" ht="18.75" customHeight="1" thickBot="1">
      <c r="A107" s="1251">
        <v>1840</v>
      </c>
      <c r="B107" s="1288" t="s">
        <v>39</v>
      </c>
      <c r="C107" s="183">
        <f t="shared" ref="C107:H107" si="36">SUM(C103+C101+C102)+C100</f>
        <v>13386507</v>
      </c>
      <c r="D107" s="183">
        <f t="shared" si="36"/>
        <v>14888486</v>
      </c>
      <c r="E107" s="183">
        <f t="shared" si="36"/>
        <v>16149901</v>
      </c>
      <c r="F107" s="183">
        <f t="shared" si="36"/>
        <v>17058120</v>
      </c>
      <c r="G107" s="183">
        <f t="shared" si="36"/>
        <v>32899981</v>
      </c>
      <c r="H107" s="183">
        <f t="shared" si="36"/>
        <v>31416164</v>
      </c>
      <c r="I107" s="1285">
        <f t="shared" si="34"/>
        <v>0.95489915328522534</v>
      </c>
      <c r="J107" s="751"/>
    </row>
    <row r="108" spans="1:10">
      <c r="A108" s="1252"/>
      <c r="B108" s="1292"/>
      <c r="C108" s="168"/>
      <c r="D108" s="168"/>
      <c r="E108" s="168"/>
      <c r="F108" s="168"/>
      <c r="G108" s="168"/>
      <c r="H108" s="168"/>
      <c r="I108" s="1287"/>
    </row>
    <row r="109" spans="1:10" ht="12.75" thickBot="1">
      <c r="A109" s="1239">
        <v>1851</v>
      </c>
      <c r="B109" s="1293" t="s">
        <v>350</v>
      </c>
      <c r="C109" s="182"/>
      <c r="D109" s="182"/>
      <c r="E109" s="182"/>
      <c r="F109" s="182"/>
      <c r="G109" s="182"/>
      <c r="H109" s="182"/>
      <c r="I109" s="1283"/>
    </row>
    <row r="110" spans="1:10" ht="18.75" customHeight="1" thickBot="1">
      <c r="A110" s="1251">
        <v>1865</v>
      </c>
      <c r="B110" s="1288" t="s">
        <v>41</v>
      </c>
      <c r="C110" s="180">
        <f t="shared" ref="C110:D110" si="37">SUM(C109)</f>
        <v>0</v>
      </c>
      <c r="D110" s="183">
        <f t="shared" si="37"/>
        <v>0</v>
      </c>
      <c r="E110" s="183">
        <f t="shared" ref="E110:F110" si="38">SUM(E109)</f>
        <v>0</v>
      </c>
      <c r="F110" s="183">
        <f t="shared" si="38"/>
        <v>0</v>
      </c>
      <c r="G110" s="183">
        <f t="shared" ref="G110:H110" si="39">SUM(G109)</f>
        <v>0</v>
      </c>
      <c r="H110" s="183">
        <f t="shared" si="39"/>
        <v>0</v>
      </c>
      <c r="I110" s="1294"/>
    </row>
    <row r="111" spans="1:10" ht="18.75" customHeight="1" thickBot="1">
      <c r="A111" s="1251"/>
      <c r="B111" s="1284"/>
      <c r="C111" s="180"/>
      <c r="D111" s="180"/>
      <c r="E111" s="180"/>
      <c r="F111" s="180"/>
      <c r="G111" s="180"/>
      <c r="H111" s="180"/>
      <c r="I111" s="1285"/>
    </row>
    <row r="112" spans="1:10" ht="18" customHeight="1" thickBot="1">
      <c r="A112" s="1253">
        <v>1870</v>
      </c>
      <c r="B112" s="1295" t="s">
        <v>805</v>
      </c>
      <c r="C112" s="185">
        <f t="shared" ref="C112:H112" si="40">SUM(C110+C107+C98+C92)</f>
        <v>36936491</v>
      </c>
      <c r="D112" s="185">
        <f t="shared" si="40"/>
        <v>46043453</v>
      </c>
      <c r="E112" s="238">
        <f t="shared" si="40"/>
        <v>48164832</v>
      </c>
      <c r="F112" s="238">
        <f t="shared" si="40"/>
        <v>49261824</v>
      </c>
      <c r="G112" s="238">
        <f t="shared" si="40"/>
        <v>66626054</v>
      </c>
      <c r="H112" s="238">
        <f t="shared" si="40"/>
        <v>51202527</v>
      </c>
      <c r="I112" s="1294">
        <f>SUM(H112/G112)</f>
        <v>0.76850607121352255</v>
      </c>
      <c r="J112" s="751"/>
    </row>
    <row r="113" spans="1:10" ht="7.5" customHeight="1">
      <c r="A113" s="1238"/>
      <c r="B113" s="1296"/>
      <c r="C113" s="186"/>
      <c r="D113" s="186"/>
      <c r="E113" s="186"/>
      <c r="F113" s="186"/>
      <c r="G113" s="186"/>
      <c r="H113" s="186"/>
      <c r="I113" s="1287"/>
    </row>
    <row r="114" spans="1:10" s="19" customFormat="1" ht="12" customHeight="1">
      <c r="A114" s="1254"/>
      <c r="B114" s="1297" t="s">
        <v>1716</v>
      </c>
      <c r="C114" s="189"/>
      <c r="D114" s="189"/>
      <c r="E114" s="189"/>
      <c r="F114" s="189"/>
      <c r="G114" s="189"/>
      <c r="H114" s="189"/>
      <c r="I114" s="1265"/>
    </row>
    <row r="115" spans="1:10" s="19" customFormat="1" ht="9" customHeight="1">
      <c r="A115" s="1254"/>
      <c r="B115" s="1297"/>
      <c r="C115" s="189"/>
      <c r="D115" s="189"/>
      <c r="E115" s="189"/>
      <c r="F115" s="189"/>
      <c r="G115" s="189"/>
      <c r="H115" s="189"/>
      <c r="I115" s="1265"/>
    </row>
    <row r="116" spans="1:10" s="19" customFormat="1" ht="12" customHeight="1">
      <c r="A116" s="1254"/>
      <c r="B116" s="1281" t="s">
        <v>46</v>
      </c>
      <c r="C116" s="189"/>
      <c r="D116" s="189"/>
      <c r="E116" s="189"/>
      <c r="F116" s="189"/>
      <c r="G116" s="189"/>
      <c r="H116" s="189"/>
      <c r="I116" s="1265"/>
    </row>
    <row r="117" spans="1:10">
      <c r="A117" s="91">
        <v>1911</v>
      </c>
      <c r="B117" s="1266" t="s">
        <v>216</v>
      </c>
      <c r="C117" s="178">
        <f>SUM('4.mell.'!C750)</f>
        <v>7696816</v>
      </c>
      <c r="D117" s="178">
        <f>SUM('4.mell.'!D750)</f>
        <v>7804978</v>
      </c>
      <c r="E117" s="178">
        <f>SUM('4.mell.'!E750)</f>
        <v>7909916</v>
      </c>
      <c r="F117" s="178">
        <f>SUM('4.mell.'!F750)</f>
        <v>8143069</v>
      </c>
      <c r="G117" s="178">
        <f>SUM('4.mell.'!G750)</f>
        <v>8142837</v>
      </c>
      <c r="H117" s="178">
        <f>SUM('4.mell.'!H750)</f>
        <v>8046165</v>
      </c>
      <c r="I117" s="1267">
        <f t="shared" ref="I117:I122" si="41">SUM(H117/G117)</f>
        <v>0.98812797063234836</v>
      </c>
      <c r="J117" s="751"/>
    </row>
    <row r="118" spans="1:10">
      <c r="A118" s="91">
        <v>1912</v>
      </c>
      <c r="B118" s="1266" t="s">
        <v>78</v>
      </c>
      <c r="C118" s="178">
        <f>SUM('4.mell.'!C751)</f>
        <v>950917</v>
      </c>
      <c r="D118" s="178">
        <f>SUM('4.mell.'!D751)</f>
        <v>984539</v>
      </c>
      <c r="E118" s="178">
        <f>SUM('4.mell.'!E751)</f>
        <v>998398</v>
      </c>
      <c r="F118" s="178">
        <f>SUM('4.mell.'!F751)</f>
        <v>1030169</v>
      </c>
      <c r="G118" s="178">
        <f>SUM('4.mell.'!G751)</f>
        <v>1036682</v>
      </c>
      <c r="H118" s="178">
        <f>SUM('4.mell.'!H751)</f>
        <v>971608</v>
      </c>
      <c r="I118" s="1267">
        <f t="shared" si="41"/>
        <v>0.93722858118497288</v>
      </c>
      <c r="J118" s="751"/>
    </row>
    <row r="119" spans="1:10">
      <c r="A119" s="91">
        <v>1913</v>
      </c>
      <c r="B119" s="1268" t="s">
        <v>79</v>
      </c>
      <c r="C119" s="178">
        <f>SUM('4.mell.'!C752)</f>
        <v>3255076</v>
      </c>
      <c r="D119" s="178">
        <f>SUM('4.mell.'!D752)</f>
        <v>3853876</v>
      </c>
      <c r="E119" s="178">
        <f>SUM('4.mell.'!E752)</f>
        <v>3921523</v>
      </c>
      <c r="F119" s="178">
        <f>SUM('4.mell.'!F752)</f>
        <v>3977307</v>
      </c>
      <c r="G119" s="178">
        <f>SUM('4.mell.'!G752)</f>
        <v>4180554</v>
      </c>
      <c r="H119" s="178">
        <f>SUM('4.mell.'!H752)</f>
        <v>3319470</v>
      </c>
      <c r="I119" s="1267">
        <f t="shared" si="41"/>
        <v>0.79402634196329003</v>
      </c>
      <c r="J119" s="751"/>
    </row>
    <row r="120" spans="1:10" s="18" customFormat="1">
      <c r="A120" s="1249">
        <v>1915</v>
      </c>
      <c r="B120" s="1266" t="s">
        <v>189</v>
      </c>
      <c r="C120" s="178">
        <f>SUM('4.mell.'!C753)</f>
        <v>345</v>
      </c>
      <c r="D120" s="178">
        <f>SUM('4.mell.'!D753)</f>
        <v>345</v>
      </c>
      <c r="E120" s="178">
        <f>SUM('4.mell.'!E753)</f>
        <v>345</v>
      </c>
      <c r="F120" s="178">
        <f>SUM('4.mell.'!F753)</f>
        <v>345</v>
      </c>
      <c r="G120" s="178">
        <f>SUM('4.mell.'!G753)</f>
        <v>345</v>
      </c>
      <c r="H120" s="178">
        <f>SUM('4.mell.'!H753)</f>
        <v>252</v>
      </c>
      <c r="I120" s="1267">
        <f t="shared" si="41"/>
        <v>0.73043478260869565</v>
      </c>
      <c r="J120" s="751"/>
    </row>
    <row r="121" spans="1:10">
      <c r="A121" s="91">
        <v>1916</v>
      </c>
      <c r="B121" s="1266" t="s">
        <v>227</v>
      </c>
      <c r="C121" s="178">
        <f>SUM('4.mell.'!C754)</f>
        <v>0</v>
      </c>
      <c r="D121" s="178">
        <f>SUM('4.mell.'!D754)</f>
        <v>69</v>
      </c>
      <c r="E121" s="178">
        <f>SUM('4.mell.'!E754)</f>
        <v>971</v>
      </c>
      <c r="F121" s="178">
        <f>SUM('4.mell.'!F754)</f>
        <v>971</v>
      </c>
      <c r="G121" s="178">
        <f>SUM('4.mell.'!G754)</f>
        <v>971</v>
      </c>
      <c r="H121" s="178">
        <f>SUM('4.mell.'!H754)</f>
        <v>971</v>
      </c>
      <c r="I121" s="1265">
        <f t="shared" si="41"/>
        <v>1</v>
      </c>
      <c r="J121" s="751"/>
    </row>
    <row r="122" spans="1:10">
      <c r="A122" s="1240">
        <v>1910</v>
      </c>
      <c r="B122" s="1286" t="s">
        <v>37</v>
      </c>
      <c r="C122" s="167">
        <f t="shared" ref="C122:D122" si="42">SUM(C117:C121)</f>
        <v>11903154</v>
      </c>
      <c r="D122" s="167">
        <f t="shared" si="42"/>
        <v>12643807</v>
      </c>
      <c r="E122" s="167">
        <f t="shared" ref="E122:F122" si="43">SUM(E117:E121)</f>
        <v>12831153</v>
      </c>
      <c r="F122" s="167">
        <f t="shared" si="43"/>
        <v>13151861</v>
      </c>
      <c r="G122" s="167">
        <f t="shared" ref="G122:H122" si="44">SUM(G117:G121)</f>
        <v>13361389</v>
      </c>
      <c r="H122" s="167">
        <f t="shared" si="44"/>
        <v>12338466</v>
      </c>
      <c r="I122" s="1265">
        <f t="shared" si="41"/>
        <v>0.92344186671011519</v>
      </c>
      <c r="J122" s="751"/>
    </row>
    <row r="123" spans="1:10">
      <c r="A123" s="91"/>
      <c r="B123" s="1280" t="s">
        <v>47</v>
      </c>
      <c r="C123" s="167"/>
      <c r="D123" s="167"/>
      <c r="E123" s="167"/>
      <c r="F123" s="167"/>
      <c r="G123" s="167"/>
      <c r="H123" s="167"/>
      <c r="I123" s="1265"/>
    </row>
    <row r="124" spans="1:10">
      <c r="A124" s="91">
        <v>1921</v>
      </c>
      <c r="B124" s="1266" t="s">
        <v>192</v>
      </c>
      <c r="C124" s="178">
        <f>SUM('4.mell.'!C756)</f>
        <v>348171</v>
      </c>
      <c r="D124" s="178">
        <f>SUM('4.mell.'!D756)</f>
        <v>657889</v>
      </c>
      <c r="E124" s="178">
        <f>SUM('4.mell.'!E756)</f>
        <v>648910</v>
      </c>
      <c r="F124" s="178">
        <f>SUM('4.mell.'!F756)</f>
        <v>579543</v>
      </c>
      <c r="G124" s="178">
        <f>SUM('4.mell.'!G756)</f>
        <v>667323</v>
      </c>
      <c r="H124" s="178">
        <f>SUM('4.mell.'!H756)</f>
        <v>465195</v>
      </c>
      <c r="I124" s="1267">
        <f>SUM(H124/G124)</f>
        <v>0.69710619894713655</v>
      </c>
      <c r="J124" s="751"/>
    </row>
    <row r="125" spans="1:10">
      <c r="A125" s="91">
        <v>1922</v>
      </c>
      <c r="B125" s="1266" t="s">
        <v>193</v>
      </c>
      <c r="C125" s="178">
        <f>SUM('4.mell.'!C757)</f>
        <v>419214</v>
      </c>
      <c r="D125" s="178">
        <f>SUM('4.mell.'!D757)</f>
        <v>650645</v>
      </c>
      <c r="E125" s="178">
        <f>SUM('4.mell.'!E757)</f>
        <v>693006</v>
      </c>
      <c r="F125" s="178">
        <f>SUM('4.mell.'!F757)</f>
        <v>758661</v>
      </c>
      <c r="G125" s="178">
        <f>SUM('4.mell.'!G757)</f>
        <v>691496</v>
      </c>
      <c r="H125" s="178">
        <f>SUM('4.mell.'!H757)</f>
        <v>398709</v>
      </c>
      <c r="I125" s="1267">
        <f>SUM(H125/G125)</f>
        <v>0.57658901859157541</v>
      </c>
      <c r="J125" s="751"/>
    </row>
    <row r="126" spans="1:10">
      <c r="A126" s="91">
        <v>1923</v>
      </c>
      <c r="B126" s="1266" t="s">
        <v>249</v>
      </c>
      <c r="C126" s="178">
        <f>SUM('4.mell.'!C758)</f>
        <v>0</v>
      </c>
      <c r="D126" s="178">
        <f>SUM('4.mell.'!D758)</f>
        <v>0</v>
      </c>
      <c r="E126" s="178">
        <f>SUM('4.mell.'!E758)</f>
        <v>0</v>
      </c>
      <c r="F126" s="178">
        <f>SUM('4.mell.'!F758)</f>
        <v>0</v>
      </c>
      <c r="G126" s="178">
        <f>SUM('4.mell.'!G758)</f>
        <v>0</v>
      </c>
      <c r="H126" s="178">
        <f>SUM('4.mell.'!H758)</f>
        <v>0</v>
      </c>
      <c r="I126" s="1265"/>
    </row>
    <row r="127" spans="1:10" ht="12.75" thickBot="1">
      <c r="A127" s="1255">
        <v>1920</v>
      </c>
      <c r="B127" s="1298" t="s">
        <v>43</v>
      </c>
      <c r="C127" s="238">
        <f t="shared" ref="C127:D127" si="45">SUM(C124:C126)</f>
        <v>767385</v>
      </c>
      <c r="D127" s="238">
        <f t="shared" si="45"/>
        <v>1308534</v>
      </c>
      <c r="E127" s="238">
        <f t="shared" ref="E127:F127" si="46">SUM(E124:E126)</f>
        <v>1341916</v>
      </c>
      <c r="F127" s="238">
        <f t="shared" si="46"/>
        <v>1338204</v>
      </c>
      <c r="G127" s="238">
        <f t="shared" ref="G127:H127" si="47">SUM(G124:G126)</f>
        <v>1358819</v>
      </c>
      <c r="H127" s="238">
        <f t="shared" si="47"/>
        <v>863904</v>
      </c>
      <c r="I127" s="1299">
        <f>SUM(H127/G127)</f>
        <v>0.63577562574559232</v>
      </c>
      <c r="J127" s="751"/>
    </row>
    <row r="128" spans="1:10" ht="16.5" customHeight="1" thickBot="1">
      <c r="A128" s="1253"/>
      <c r="B128" s="1288"/>
      <c r="C128" s="185"/>
      <c r="D128" s="185"/>
      <c r="E128" s="185"/>
      <c r="F128" s="185"/>
      <c r="G128" s="185"/>
      <c r="H128" s="185"/>
      <c r="I128" s="1285"/>
    </row>
    <row r="129" spans="1:10" s="18" customFormat="1" ht="13.5" thickBot="1">
      <c r="A129" s="1256">
        <v>1940</v>
      </c>
      <c r="B129" s="1300" t="s">
        <v>802</v>
      </c>
      <c r="C129" s="190">
        <f t="shared" ref="C129:D129" si="48">SUM(C122+C127)</f>
        <v>12670539</v>
      </c>
      <c r="D129" s="190">
        <f t="shared" si="48"/>
        <v>13952341</v>
      </c>
      <c r="E129" s="190">
        <f t="shared" ref="E129:F129" si="49">SUM(E122+E127)</f>
        <v>14173069</v>
      </c>
      <c r="F129" s="190">
        <f t="shared" si="49"/>
        <v>14490065</v>
      </c>
      <c r="G129" s="20">
        <f t="shared" ref="G129:H129" si="50">SUM(G122+G127)</f>
        <v>14720208</v>
      </c>
      <c r="H129" s="20">
        <f t="shared" si="50"/>
        <v>13202370</v>
      </c>
      <c r="I129" s="1285">
        <f>SUM(H129/G129)</f>
        <v>0.89688746245976958</v>
      </c>
      <c r="J129" s="751"/>
    </row>
    <row r="130" spans="1:10" s="18" customFormat="1" ht="12.75">
      <c r="A130" s="1257"/>
      <c r="B130" s="1301"/>
      <c r="C130" s="191"/>
      <c r="D130" s="191"/>
      <c r="E130" s="191"/>
      <c r="F130" s="191"/>
      <c r="G130" s="191"/>
      <c r="H130" s="191"/>
      <c r="I130" s="1287"/>
    </row>
    <row r="131" spans="1:10" ht="14.25" customHeight="1">
      <c r="A131" s="1254"/>
      <c r="B131" s="801" t="s">
        <v>803</v>
      </c>
      <c r="C131" s="188"/>
      <c r="D131" s="188"/>
      <c r="E131" s="188"/>
      <c r="F131" s="188"/>
      <c r="G131" s="188"/>
      <c r="H131" s="188"/>
      <c r="I131" s="1265"/>
    </row>
    <row r="132" spans="1:10" ht="14.25" customHeight="1">
      <c r="A132" s="1254"/>
      <c r="B132" s="1281" t="s">
        <v>46</v>
      </c>
      <c r="C132" s="189"/>
      <c r="D132" s="189"/>
      <c r="E132" s="189"/>
      <c r="F132" s="189"/>
      <c r="G132" s="189"/>
      <c r="H132" s="189"/>
      <c r="I132" s="1265"/>
    </row>
    <row r="133" spans="1:10">
      <c r="A133" s="91">
        <v>1951</v>
      </c>
      <c r="B133" s="1266" t="s">
        <v>116</v>
      </c>
      <c r="C133" s="173">
        <f t="shared" ref="C133:D133" si="51">SUM(C86+C117)</f>
        <v>10611654</v>
      </c>
      <c r="D133" s="173">
        <f t="shared" si="51"/>
        <v>10834270</v>
      </c>
      <c r="E133" s="173">
        <f t="shared" ref="E133:F133" si="52">SUM(E86+E117)</f>
        <v>10993760</v>
      </c>
      <c r="F133" s="173">
        <f t="shared" si="52"/>
        <v>11428463</v>
      </c>
      <c r="G133" s="173">
        <f t="shared" ref="G133:H133" si="53">SUM(G86+G117)</f>
        <v>11447013</v>
      </c>
      <c r="H133" s="173">
        <f t="shared" si="53"/>
        <v>11212681</v>
      </c>
      <c r="I133" s="1267">
        <f t="shared" ref="I133:I138" si="54">SUM(H133/G133)</f>
        <v>0.97952898280101541</v>
      </c>
      <c r="J133" s="751"/>
    </row>
    <row r="134" spans="1:10">
      <c r="A134" s="91">
        <v>1952</v>
      </c>
      <c r="B134" s="1266" t="s">
        <v>238</v>
      </c>
      <c r="C134" s="173">
        <f t="shared" ref="C134:D134" si="55">SUM(C87+C118)</f>
        <v>1387720</v>
      </c>
      <c r="D134" s="173">
        <f t="shared" si="55"/>
        <v>1459903</v>
      </c>
      <c r="E134" s="173">
        <f t="shared" ref="E134:F134" si="56">SUM(E87+E118)</f>
        <v>1480305</v>
      </c>
      <c r="F134" s="173">
        <f t="shared" si="56"/>
        <v>1533390</v>
      </c>
      <c r="G134" s="173">
        <f t="shared" ref="G134:H134" si="57">SUM(G87+G118)</f>
        <v>1551189</v>
      </c>
      <c r="H134" s="173">
        <f t="shared" si="57"/>
        <v>1423960</v>
      </c>
      <c r="I134" s="1267">
        <f t="shared" si="54"/>
        <v>0.91797969170745797</v>
      </c>
      <c r="J134" s="751"/>
    </row>
    <row r="135" spans="1:10">
      <c r="A135" s="91">
        <v>1953</v>
      </c>
      <c r="B135" s="1266" t="s">
        <v>239</v>
      </c>
      <c r="C135" s="173">
        <f t="shared" ref="C135:D135" si="58">SUM(C88+C119)</f>
        <v>8807988</v>
      </c>
      <c r="D135" s="173">
        <f t="shared" si="58"/>
        <v>11316679</v>
      </c>
      <c r="E135" s="173">
        <f t="shared" ref="E135:F135" si="59">SUM(E88+E119)</f>
        <v>11594264</v>
      </c>
      <c r="F135" s="173">
        <f t="shared" si="59"/>
        <v>12027313</v>
      </c>
      <c r="G135" s="173">
        <f t="shared" ref="G135:H135" si="60">SUM(G88+G119)</f>
        <v>12265736</v>
      </c>
      <c r="H135" s="173">
        <f t="shared" si="60"/>
        <v>9677548</v>
      </c>
      <c r="I135" s="1267">
        <f t="shared" si="54"/>
        <v>0.78899040383716068</v>
      </c>
      <c r="J135" s="751"/>
    </row>
    <row r="136" spans="1:10">
      <c r="A136" s="91">
        <v>1954</v>
      </c>
      <c r="B136" s="1266" t="s">
        <v>118</v>
      </c>
      <c r="C136" s="173">
        <f t="shared" ref="C136:H136" si="61">SUM(C120+C89)</f>
        <v>205345</v>
      </c>
      <c r="D136" s="173">
        <f t="shared" si="61"/>
        <v>263297</v>
      </c>
      <c r="E136" s="173">
        <f t="shared" si="61"/>
        <v>265344</v>
      </c>
      <c r="F136" s="173">
        <f t="shared" si="61"/>
        <v>270344</v>
      </c>
      <c r="G136" s="173">
        <f t="shared" si="61"/>
        <v>270344</v>
      </c>
      <c r="H136" s="173">
        <f t="shared" si="61"/>
        <v>212672</v>
      </c>
      <c r="I136" s="1267">
        <f t="shared" si="54"/>
        <v>0.78667179593406922</v>
      </c>
      <c r="J136" s="751"/>
    </row>
    <row r="137" spans="1:10" ht="12.75" thickBot="1">
      <c r="A137" s="91">
        <v>1955</v>
      </c>
      <c r="B137" s="1266" t="s">
        <v>69</v>
      </c>
      <c r="C137" s="240">
        <f t="shared" ref="C137:H137" si="62">SUM(C90+C121)</f>
        <v>4842759</v>
      </c>
      <c r="D137" s="240">
        <f t="shared" si="62"/>
        <v>5319316</v>
      </c>
      <c r="E137" s="240">
        <f t="shared" si="62"/>
        <v>5579003</v>
      </c>
      <c r="F137" s="240">
        <f t="shared" si="62"/>
        <v>5151942</v>
      </c>
      <c r="G137" s="240">
        <f t="shared" si="62"/>
        <v>6653033</v>
      </c>
      <c r="H137" s="240">
        <f t="shared" si="62"/>
        <v>4662076</v>
      </c>
      <c r="I137" s="1283">
        <f t="shared" si="54"/>
        <v>0.70074445745271363</v>
      </c>
      <c r="J137" s="751"/>
    </row>
    <row r="138" spans="1:10" ht="18" customHeight="1" thickBot="1">
      <c r="A138" s="1247">
        <v>1950</v>
      </c>
      <c r="B138" s="1288" t="s">
        <v>37</v>
      </c>
      <c r="C138" s="183">
        <f t="shared" ref="C138:D138" si="63">SUM(C133:C137)</f>
        <v>25855466</v>
      </c>
      <c r="D138" s="183">
        <f t="shared" si="63"/>
        <v>29193465</v>
      </c>
      <c r="E138" s="183">
        <f t="shared" ref="E138:F138" si="64">SUM(E133:E137)</f>
        <v>29912676</v>
      </c>
      <c r="F138" s="183">
        <f t="shared" si="64"/>
        <v>30411452</v>
      </c>
      <c r="G138" s="183">
        <f t="shared" ref="G138:H138" si="65">SUM(G133:G137)</f>
        <v>32187315</v>
      </c>
      <c r="H138" s="183">
        <f t="shared" si="65"/>
        <v>27188937</v>
      </c>
      <c r="I138" s="1285">
        <f t="shared" si="54"/>
        <v>0.84470969386542494</v>
      </c>
      <c r="J138" s="751"/>
    </row>
    <row r="139" spans="1:10">
      <c r="A139" s="1237"/>
      <c r="B139" s="1280" t="s">
        <v>47</v>
      </c>
      <c r="C139" s="173"/>
      <c r="D139" s="173"/>
      <c r="E139" s="173"/>
      <c r="F139" s="173"/>
      <c r="G139" s="173"/>
      <c r="H139" s="173"/>
      <c r="I139" s="1287"/>
    </row>
    <row r="140" spans="1:10">
      <c r="A140" s="1237">
        <v>1961</v>
      </c>
      <c r="B140" s="1280" t="s">
        <v>194</v>
      </c>
      <c r="C140" s="174">
        <f t="shared" ref="C140:D140" si="66">SUM(C95+C124)</f>
        <v>4607090</v>
      </c>
      <c r="D140" s="174">
        <f t="shared" si="66"/>
        <v>5384399</v>
      </c>
      <c r="E140" s="174">
        <f t="shared" ref="E140:F140" si="67">SUM(E95+E124)</f>
        <v>5405951</v>
      </c>
      <c r="F140" s="174">
        <f t="shared" si="67"/>
        <v>5381322</v>
      </c>
      <c r="G140" s="174">
        <f t="shared" ref="G140:H140" si="68">SUM(G95+G124)</f>
        <v>5427937</v>
      </c>
      <c r="H140" s="174">
        <f t="shared" si="68"/>
        <v>2002404</v>
      </c>
      <c r="I140" s="1267">
        <f t="shared" ref="I140:I145" si="69">SUM(H140/G140)</f>
        <v>0.36890700831641932</v>
      </c>
      <c r="J140" s="751"/>
    </row>
    <row r="141" spans="1:10">
      <c r="A141" s="91">
        <v>1962</v>
      </c>
      <c r="B141" s="1266" t="s">
        <v>193</v>
      </c>
      <c r="C141" s="163">
        <f t="shared" ref="C141:D141" si="70">SUM(C96+C125)</f>
        <v>4027276</v>
      </c>
      <c r="D141" s="163">
        <f t="shared" si="70"/>
        <v>8212690</v>
      </c>
      <c r="E141" s="163">
        <f t="shared" ref="E141:F141" si="71">SUM(E96+E125)</f>
        <v>8545679</v>
      </c>
      <c r="F141" s="163">
        <f t="shared" si="71"/>
        <v>8346783</v>
      </c>
      <c r="G141" s="163">
        <f t="shared" ref="G141:H141" si="72">SUM(G96+G125)</f>
        <v>8277417</v>
      </c>
      <c r="H141" s="163">
        <f t="shared" si="72"/>
        <v>2061051</v>
      </c>
      <c r="I141" s="1267">
        <f t="shared" si="69"/>
        <v>0.2489968790988783</v>
      </c>
      <c r="J141" s="751"/>
    </row>
    <row r="142" spans="1:10" ht="12.75" thickBot="1">
      <c r="A142" s="91">
        <v>1963</v>
      </c>
      <c r="B142" s="1266" t="s">
        <v>249</v>
      </c>
      <c r="C142" s="192">
        <f t="shared" ref="C142:H142" si="73">SUM(C126+C97)</f>
        <v>1730691</v>
      </c>
      <c r="D142" s="192">
        <f t="shared" si="73"/>
        <v>2316754</v>
      </c>
      <c r="E142" s="192">
        <f t="shared" si="73"/>
        <v>2323694</v>
      </c>
      <c r="F142" s="192">
        <f t="shared" si="73"/>
        <v>2554212</v>
      </c>
      <c r="G142" s="192">
        <f t="shared" si="73"/>
        <v>2553612</v>
      </c>
      <c r="H142" s="192">
        <f t="shared" si="73"/>
        <v>1736341</v>
      </c>
      <c r="I142" s="1283">
        <f t="shared" si="69"/>
        <v>0.67995490309412709</v>
      </c>
      <c r="J142" s="751"/>
    </row>
    <row r="143" spans="1:10" ht="17.25" customHeight="1" thickBot="1">
      <c r="A143" s="1247">
        <v>1960</v>
      </c>
      <c r="B143" s="1288" t="s">
        <v>43</v>
      </c>
      <c r="C143" s="183">
        <f t="shared" ref="C143:D143" si="74">SUM(C140:C142)</f>
        <v>10365057</v>
      </c>
      <c r="D143" s="183">
        <f t="shared" si="74"/>
        <v>15913843</v>
      </c>
      <c r="E143" s="183">
        <f t="shared" ref="E143:F143" si="75">SUM(E140:E142)</f>
        <v>16275324</v>
      </c>
      <c r="F143" s="183">
        <f t="shared" si="75"/>
        <v>16282317</v>
      </c>
      <c r="G143" s="183">
        <f t="shared" ref="G143:H143" si="76">SUM(G140:G142)</f>
        <v>16258966</v>
      </c>
      <c r="H143" s="183">
        <f t="shared" si="76"/>
        <v>5799796</v>
      </c>
      <c r="I143" s="1285">
        <f t="shared" si="69"/>
        <v>0.35671370491825866</v>
      </c>
      <c r="J143" s="751"/>
    </row>
    <row r="144" spans="1:10" ht="13.5" customHeight="1">
      <c r="A144" s="1249">
        <v>1973</v>
      </c>
      <c r="B144" s="1290" t="s">
        <v>411</v>
      </c>
      <c r="C144" s="197">
        <f t="shared" ref="C144:H144" si="77">C100</f>
        <v>0</v>
      </c>
      <c r="D144" s="174">
        <f t="shared" si="77"/>
        <v>255701</v>
      </c>
      <c r="E144" s="163">
        <f t="shared" si="77"/>
        <v>1390931</v>
      </c>
      <c r="F144" s="163">
        <f t="shared" si="77"/>
        <v>1838270</v>
      </c>
      <c r="G144" s="163">
        <f t="shared" si="77"/>
        <v>2117195</v>
      </c>
      <c r="H144" s="163">
        <f t="shared" si="77"/>
        <v>1945734</v>
      </c>
      <c r="I144" s="1287">
        <f t="shared" si="69"/>
        <v>0.91901501751137704</v>
      </c>
      <c r="J144" s="751"/>
    </row>
    <row r="145" spans="1:10">
      <c r="A145" s="1249">
        <v>1974</v>
      </c>
      <c r="B145" s="1290" t="s">
        <v>357</v>
      </c>
      <c r="C145" s="174">
        <f t="shared" ref="C145:H145" si="78">SUM(C103)</f>
        <v>13247915</v>
      </c>
      <c r="D145" s="174">
        <f t="shared" si="78"/>
        <v>14494193</v>
      </c>
      <c r="E145" s="174">
        <f t="shared" si="78"/>
        <v>14620378</v>
      </c>
      <c r="F145" s="174">
        <f t="shared" si="78"/>
        <v>15081258</v>
      </c>
      <c r="G145" s="174">
        <f t="shared" si="78"/>
        <v>15144194</v>
      </c>
      <c r="H145" s="174">
        <f t="shared" si="78"/>
        <v>13831838</v>
      </c>
      <c r="I145" s="1267">
        <f t="shared" si="69"/>
        <v>0.91334263150617323</v>
      </c>
      <c r="J145" s="751"/>
    </row>
    <row r="146" spans="1:10">
      <c r="A146" s="1249">
        <v>1844</v>
      </c>
      <c r="B146" s="1290" t="s">
        <v>1105</v>
      </c>
      <c r="C146" s="239">
        <f>C102</f>
        <v>0</v>
      </c>
      <c r="D146" s="239">
        <f t="shared" ref="D146:G146" si="79">D102</f>
        <v>0</v>
      </c>
      <c r="E146" s="239">
        <f t="shared" si="79"/>
        <v>0</v>
      </c>
      <c r="F146" s="239">
        <f t="shared" si="79"/>
        <v>0</v>
      </c>
      <c r="G146" s="239">
        <f t="shared" si="79"/>
        <v>15500000</v>
      </c>
      <c r="H146" s="239">
        <f t="shared" ref="H146" si="80">H102</f>
        <v>15500000</v>
      </c>
      <c r="I146" s="1302"/>
      <c r="J146" s="751"/>
    </row>
    <row r="147" spans="1:10" ht="12.75" thickBot="1">
      <c r="A147" s="1258">
        <v>1975</v>
      </c>
      <c r="B147" s="1290" t="s">
        <v>349</v>
      </c>
      <c r="C147" s="239">
        <f t="shared" ref="C147:H147" si="81">SUM(C101)</f>
        <v>138592</v>
      </c>
      <c r="D147" s="174">
        <f t="shared" si="81"/>
        <v>138592</v>
      </c>
      <c r="E147" s="239">
        <f t="shared" si="81"/>
        <v>138592</v>
      </c>
      <c r="F147" s="239">
        <f t="shared" si="81"/>
        <v>138592</v>
      </c>
      <c r="G147" s="239">
        <f t="shared" si="81"/>
        <v>138592</v>
      </c>
      <c r="H147" s="239">
        <f t="shared" si="81"/>
        <v>138592</v>
      </c>
      <c r="I147" s="1283">
        <f>SUM(H147/G147)</f>
        <v>1</v>
      </c>
      <c r="J147" s="751"/>
    </row>
    <row r="148" spans="1:10" ht="17.25" customHeight="1" thickBot="1">
      <c r="A148" s="1251">
        <v>1970</v>
      </c>
      <c r="B148" s="1288" t="s">
        <v>22</v>
      </c>
      <c r="C148" s="181">
        <f t="shared" ref="C148:H148" si="82">SUM(C144:C147)</f>
        <v>13386507</v>
      </c>
      <c r="D148" s="181">
        <f t="shared" si="82"/>
        <v>14888486</v>
      </c>
      <c r="E148" s="181">
        <f t="shared" si="82"/>
        <v>16149901</v>
      </c>
      <c r="F148" s="181">
        <f t="shared" si="82"/>
        <v>17058120</v>
      </c>
      <c r="G148" s="181">
        <f t="shared" si="82"/>
        <v>32899981</v>
      </c>
      <c r="H148" s="181">
        <f t="shared" si="82"/>
        <v>31416164</v>
      </c>
      <c r="I148" s="1285">
        <f>SUM(H148/G148)</f>
        <v>0.95489915328522534</v>
      </c>
      <c r="J148" s="751"/>
    </row>
    <row r="149" spans="1:10" ht="12" customHeight="1" thickBot="1">
      <c r="A149" s="1237">
        <v>1981</v>
      </c>
      <c r="B149" s="1293" t="s">
        <v>350</v>
      </c>
      <c r="C149" s="158">
        <f t="shared" ref="C149:D149" si="83">SUM(C109)</f>
        <v>0</v>
      </c>
      <c r="D149" s="158">
        <f t="shared" si="83"/>
        <v>0</v>
      </c>
      <c r="E149" s="158">
        <f t="shared" ref="E149:F149" si="84">SUM(E109)</f>
        <v>0</v>
      </c>
      <c r="F149" s="158">
        <f t="shared" si="84"/>
        <v>0</v>
      </c>
      <c r="G149" s="158">
        <f t="shared" ref="G149:H149" si="85">SUM(G109)</f>
        <v>0</v>
      </c>
      <c r="H149" s="158">
        <f t="shared" si="85"/>
        <v>0</v>
      </c>
      <c r="I149" s="1303"/>
    </row>
    <row r="150" spans="1:10" ht="17.25" customHeight="1" thickBot="1">
      <c r="A150" s="1251">
        <v>1980</v>
      </c>
      <c r="B150" s="1288" t="s">
        <v>21</v>
      </c>
      <c r="C150" s="181">
        <f t="shared" ref="C150:D150" si="86">SUM(C149:C149)</f>
        <v>0</v>
      </c>
      <c r="D150" s="181">
        <f t="shared" si="86"/>
        <v>0</v>
      </c>
      <c r="E150" s="181">
        <f t="shared" ref="E150:F150" si="87">SUM(E149:E149)</f>
        <v>0</v>
      </c>
      <c r="F150" s="181">
        <f t="shared" si="87"/>
        <v>0</v>
      </c>
      <c r="G150" s="181">
        <f t="shared" ref="G150:H150" si="88">SUM(G149:G149)</f>
        <v>0</v>
      </c>
      <c r="H150" s="181">
        <f t="shared" si="88"/>
        <v>0</v>
      </c>
      <c r="I150" s="1285"/>
    </row>
    <row r="151" spans="1:10" ht="26.25" customHeight="1" thickBot="1">
      <c r="A151" s="1259"/>
      <c r="B151" s="1304" t="s">
        <v>804</v>
      </c>
      <c r="C151" s="375">
        <f t="shared" ref="C151:H151" si="89">SUM(C149+C143+C138+C146+C147)+C144</f>
        <v>36359115</v>
      </c>
      <c r="D151" s="375">
        <f t="shared" si="89"/>
        <v>45501601</v>
      </c>
      <c r="E151" s="375">
        <f t="shared" si="89"/>
        <v>47717523</v>
      </c>
      <c r="F151" s="375">
        <f t="shared" si="89"/>
        <v>48670631</v>
      </c>
      <c r="G151" s="375">
        <f t="shared" si="89"/>
        <v>66202068</v>
      </c>
      <c r="H151" s="375">
        <f t="shared" si="89"/>
        <v>50573059</v>
      </c>
      <c r="I151" s="1305">
        <f>SUM(H151/G151)</f>
        <v>0.7639196255923606</v>
      </c>
      <c r="J151" s="751"/>
    </row>
    <row r="152" spans="1:10">
      <c r="I152" s="148"/>
    </row>
    <row r="153" spans="1:10">
      <c r="I153" s="148"/>
    </row>
    <row r="154" spans="1:10">
      <c r="I154" s="148"/>
    </row>
    <row r="155" spans="1:10">
      <c r="I155" s="148"/>
    </row>
    <row r="156" spans="1:10">
      <c r="I156" s="148"/>
    </row>
    <row r="157" spans="1:10">
      <c r="I157" s="148"/>
    </row>
    <row r="158" spans="1:10">
      <c r="I158" s="148"/>
    </row>
    <row r="159" spans="1:10">
      <c r="I159" s="148"/>
    </row>
    <row r="160" spans="1:10">
      <c r="I160" s="148"/>
    </row>
    <row r="218" spans="1:2" ht="12.75">
      <c r="A218"/>
      <c r="B218"/>
    </row>
    <row r="219" spans="1:2" ht="12.75">
      <c r="A219"/>
      <c r="B219"/>
    </row>
    <row r="220" spans="1:2" ht="12.75">
      <c r="A220"/>
      <c r="B220"/>
    </row>
    <row r="221" spans="1:2" ht="12.75">
      <c r="A221"/>
      <c r="B221"/>
    </row>
    <row r="222" spans="1:2" ht="12.75">
      <c r="A222"/>
      <c r="B222"/>
    </row>
    <row r="223" spans="1:2" ht="12.75">
      <c r="A223"/>
      <c r="B223"/>
    </row>
    <row r="224" spans="1:2" ht="12.75">
      <c r="A224"/>
      <c r="B224"/>
    </row>
    <row r="225" spans="1:2" ht="12.75">
      <c r="A225"/>
      <c r="B225"/>
    </row>
    <row r="226" spans="1:2" ht="12.75">
      <c r="A226"/>
      <c r="B226"/>
    </row>
    <row r="227" spans="1:2" ht="12.75">
      <c r="A227"/>
      <c r="B227"/>
    </row>
    <row r="228" spans="1:2" ht="12.75">
      <c r="A228"/>
      <c r="B228"/>
    </row>
    <row r="229" spans="1:2" ht="12.75">
      <c r="A229"/>
      <c r="B229"/>
    </row>
    <row r="230" spans="1:2" ht="12.75">
      <c r="A230"/>
      <c r="B230"/>
    </row>
    <row r="231" spans="1:2" ht="12.75">
      <c r="A231"/>
      <c r="B231"/>
    </row>
    <row r="232" spans="1:2" ht="12.75">
      <c r="A232"/>
      <c r="B232"/>
    </row>
    <row r="233" spans="1:2" ht="12.75">
      <c r="A233"/>
      <c r="B233"/>
    </row>
    <row r="234" spans="1:2" ht="12.75">
      <c r="A234"/>
      <c r="B234"/>
    </row>
    <row r="235" spans="1:2" ht="12.75">
      <c r="A235"/>
      <c r="B235"/>
    </row>
    <row r="236" spans="1:2" ht="12.75">
      <c r="A236"/>
      <c r="B236"/>
    </row>
    <row r="237" spans="1:2" ht="12.75">
      <c r="A237"/>
      <c r="B237"/>
    </row>
    <row r="238" spans="1:2" ht="12.75">
      <c r="A238"/>
      <c r="B238"/>
    </row>
    <row r="239" spans="1:2" ht="12.75">
      <c r="A239"/>
      <c r="B239"/>
    </row>
    <row r="240" spans="1:2" ht="12.75">
      <c r="A240"/>
      <c r="B240"/>
    </row>
    <row r="241" spans="1:2" ht="12.75">
      <c r="A241"/>
      <c r="B241"/>
    </row>
    <row r="242" spans="1:2" ht="12.75">
      <c r="A242"/>
      <c r="B242"/>
    </row>
    <row r="243" spans="1:2" ht="12.75">
      <c r="A243"/>
      <c r="B243"/>
    </row>
    <row r="244" spans="1:2" ht="12.75">
      <c r="A244"/>
      <c r="B244"/>
    </row>
    <row r="245" spans="1:2" ht="12.75">
      <c r="A245"/>
      <c r="B245"/>
    </row>
    <row r="246" spans="1:2" ht="12.75">
      <c r="A246"/>
      <c r="B246"/>
    </row>
    <row r="247" spans="1:2" ht="12.75">
      <c r="A247"/>
      <c r="B247"/>
    </row>
    <row r="248" spans="1:2" ht="12.75">
      <c r="A248"/>
      <c r="B248"/>
    </row>
    <row r="249" spans="1:2" ht="12.75">
      <c r="A249"/>
      <c r="B249"/>
    </row>
    <row r="250" spans="1:2" ht="12.75">
      <c r="A250"/>
      <c r="B250"/>
    </row>
    <row r="251" spans="1:2" ht="12.75">
      <c r="A251"/>
      <c r="B251"/>
    </row>
    <row r="252" spans="1:2" ht="12.75">
      <c r="A252"/>
      <c r="B252"/>
    </row>
    <row r="253" spans="1:2" ht="12.75">
      <c r="A253"/>
      <c r="B253"/>
    </row>
    <row r="254" spans="1:2" ht="12.75">
      <c r="A254"/>
      <c r="B254"/>
    </row>
    <row r="255" spans="1:2" ht="12.75">
      <c r="A255"/>
      <c r="B255"/>
    </row>
    <row r="256" spans="1:2" ht="12.75">
      <c r="A256"/>
      <c r="B256"/>
    </row>
    <row r="257" spans="1:2" ht="12.75">
      <c r="A257"/>
      <c r="B257"/>
    </row>
    <row r="258" spans="1:2" ht="12.75">
      <c r="A258"/>
      <c r="B258"/>
    </row>
  </sheetData>
  <mergeCells count="9">
    <mergeCell ref="I5:I7"/>
    <mergeCell ref="A2:I2"/>
    <mergeCell ref="A1:I1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0.31496062992125984" header="0.11811023622047245" footer="0"/>
  <pageSetup paperSize="9" scale="77" firstPageNumber="8" orientation="landscape" useFirstPageNumber="1" r:id="rId1"/>
  <headerFooter alignWithMargins="0">
    <oddFooter>&amp;P. oldal</oddFooter>
  </headerFooter>
  <rowBreaks count="2" manualBreakCount="2">
    <brk id="49" max="16383" man="1"/>
    <brk id="10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760"/>
  <sheetViews>
    <sheetView topLeftCell="A583" zoomScaleNormal="100" zoomScaleSheetLayoutView="90" workbookViewId="0">
      <selection activeCell="I741" sqref="I741"/>
    </sheetView>
  </sheetViews>
  <sheetFormatPr defaultColWidth="9.140625" defaultRowHeight="12.75"/>
  <cols>
    <col min="1" max="1" width="8.5703125" style="104" customWidth="1"/>
    <col min="2" max="2" width="63.5703125" style="104" customWidth="1"/>
    <col min="3" max="7" width="11.7109375" style="104" customWidth="1"/>
    <col min="8" max="8" width="12.7109375" style="104" customWidth="1"/>
    <col min="9" max="9" width="8.5703125" style="104" customWidth="1"/>
    <col min="10" max="10" width="9.140625" style="104"/>
    <col min="11" max="11" width="15.42578125" style="104" customWidth="1"/>
    <col min="12" max="12" width="12" style="104" customWidth="1"/>
    <col min="13" max="13" width="10.7109375" style="104" customWidth="1"/>
    <col min="14" max="14" width="9.140625" style="104" customWidth="1"/>
    <col min="15" max="15" width="11.42578125" style="104" customWidth="1"/>
    <col min="16" max="16384" width="9.140625" style="104"/>
  </cols>
  <sheetData>
    <row r="1" spans="1:9">
      <c r="A1" s="1771" t="s">
        <v>1127</v>
      </c>
      <c r="B1" s="1770"/>
      <c r="C1" s="1770"/>
      <c r="D1" s="1770"/>
      <c r="E1" s="1770"/>
      <c r="F1" s="1770"/>
      <c r="G1" s="1770"/>
      <c r="H1" s="1770"/>
      <c r="I1" s="1770"/>
    </row>
    <row r="2" spans="1:9">
      <c r="A2" s="1768" t="s">
        <v>963</v>
      </c>
      <c r="B2" s="1769"/>
      <c r="C2" s="1770"/>
      <c r="D2" s="1770"/>
      <c r="E2" s="1770"/>
      <c r="F2" s="1770"/>
      <c r="G2" s="1770"/>
      <c r="H2" s="1770"/>
      <c r="I2" s="1770"/>
    </row>
    <row r="3" spans="1:9">
      <c r="A3" s="105"/>
      <c r="B3" s="105"/>
    </row>
    <row r="4" spans="1:9" ht="15">
      <c r="A4" s="913"/>
      <c r="B4" s="914"/>
      <c r="C4" s="901"/>
      <c r="D4" s="901"/>
      <c r="E4" s="901"/>
      <c r="F4" s="901"/>
      <c r="G4" s="901"/>
      <c r="H4" s="901"/>
      <c r="I4" s="1401" t="s">
        <v>1353</v>
      </c>
    </row>
    <row r="5" spans="1:9" ht="12.6" customHeight="1">
      <c r="A5" s="1775" t="s">
        <v>217</v>
      </c>
      <c r="B5" s="1772" t="s">
        <v>119</v>
      </c>
      <c r="C5" s="1750" t="s">
        <v>1017</v>
      </c>
      <c r="D5" s="1750" t="s">
        <v>1061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61" t="s">
        <v>1122</v>
      </c>
    </row>
    <row r="6" spans="1:9">
      <c r="A6" s="1776"/>
      <c r="B6" s="1773"/>
      <c r="C6" s="1765"/>
      <c r="D6" s="1765"/>
      <c r="E6" s="1765"/>
      <c r="F6" s="1767"/>
      <c r="G6" s="1767"/>
      <c r="H6" s="1767"/>
      <c r="I6" s="1762"/>
    </row>
    <row r="7" spans="1:9" ht="13.5" thickBot="1">
      <c r="A7" s="1777"/>
      <c r="B7" s="1774"/>
      <c r="C7" s="1766"/>
      <c r="D7" s="1766"/>
      <c r="E7" s="1766"/>
      <c r="F7" s="1751"/>
      <c r="G7" s="1751"/>
      <c r="H7" s="1751"/>
      <c r="I7" s="1763"/>
    </row>
    <row r="8" spans="1:9" ht="13.5" thickBot="1">
      <c r="A8" s="692" t="s">
        <v>219</v>
      </c>
      <c r="B8" s="693" t="s">
        <v>220</v>
      </c>
      <c r="C8" s="476" t="s">
        <v>122</v>
      </c>
      <c r="D8" s="476" t="s">
        <v>419</v>
      </c>
      <c r="E8" s="476" t="s">
        <v>420</v>
      </c>
      <c r="F8" s="476" t="s">
        <v>429</v>
      </c>
      <c r="G8" s="476" t="s">
        <v>455</v>
      </c>
      <c r="H8" s="407" t="s">
        <v>378</v>
      </c>
      <c r="I8" s="475" t="s">
        <v>379</v>
      </c>
    </row>
    <row r="9" spans="1:9" ht="15">
      <c r="A9" s="915">
        <v>2305</v>
      </c>
      <c r="B9" s="694" t="s">
        <v>248</v>
      </c>
      <c r="C9" s="695"/>
      <c r="D9" s="695"/>
      <c r="E9" s="695"/>
      <c r="F9" s="695"/>
      <c r="G9" s="695"/>
      <c r="H9" s="695"/>
      <c r="I9" s="916"/>
    </row>
    <row r="10" spans="1:9" ht="12.75" customHeight="1">
      <c r="A10" s="915"/>
      <c r="B10" s="696" t="s">
        <v>140</v>
      </c>
      <c r="C10" s="695"/>
      <c r="D10" s="695"/>
      <c r="E10" s="695"/>
      <c r="F10" s="695"/>
      <c r="G10" s="695"/>
      <c r="H10" s="695"/>
      <c r="I10" s="916"/>
    </row>
    <row r="11" spans="1:9" ht="12.75" customHeight="1" thickBot="1">
      <c r="A11" s="915"/>
      <c r="B11" s="697" t="s">
        <v>141</v>
      </c>
      <c r="C11" s="758"/>
      <c r="D11" s="758"/>
      <c r="E11" s="758"/>
      <c r="F11" s="758">
        <v>1050</v>
      </c>
      <c r="G11" s="758">
        <f>1050+500</f>
        <v>1550</v>
      </c>
      <c r="H11" s="758">
        <v>1550</v>
      </c>
      <c r="I11" s="1424">
        <f>H11/G11</f>
        <v>1</v>
      </c>
    </row>
    <row r="12" spans="1:9" ht="13.5" customHeight="1" thickBot="1">
      <c r="A12" s="915"/>
      <c r="B12" s="698" t="s">
        <v>142</v>
      </c>
      <c r="C12" s="1425"/>
      <c r="D12" s="1425"/>
      <c r="E12" s="1425"/>
      <c r="F12" s="1425">
        <v>1050</v>
      </c>
      <c r="G12" s="759">
        <f>1050+500</f>
        <v>1550</v>
      </c>
      <c r="H12" s="759">
        <f>SUM(H10:H11)</f>
        <v>1550</v>
      </c>
      <c r="I12" s="1426">
        <f>H12/G12</f>
        <v>1</v>
      </c>
    </row>
    <row r="13" spans="1:9">
      <c r="A13" s="917"/>
      <c r="B13" s="696" t="s">
        <v>143</v>
      </c>
      <c r="C13" s="760"/>
      <c r="D13" s="760"/>
      <c r="E13" s="760"/>
      <c r="F13" s="760"/>
      <c r="G13" s="760"/>
      <c r="H13" s="760"/>
      <c r="I13" s="916"/>
    </row>
    <row r="14" spans="1:9">
      <c r="A14" s="917"/>
      <c r="B14" s="685" t="s">
        <v>144</v>
      </c>
      <c r="C14" s="1427"/>
      <c r="D14" s="1427"/>
      <c r="E14" s="1427"/>
      <c r="F14" s="1427"/>
      <c r="G14" s="1427"/>
      <c r="H14" s="1427"/>
      <c r="I14" s="916"/>
    </row>
    <row r="15" spans="1:9">
      <c r="A15" s="917"/>
      <c r="B15" s="685" t="s">
        <v>145</v>
      </c>
      <c r="C15" s="1427"/>
      <c r="D15" s="1427"/>
      <c r="E15" s="1427"/>
      <c r="F15" s="1427"/>
      <c r="G15" s="1427"/>
      <c r="H15" s="1427"/>
      <c r="I15" s="916"/>
    </row>
    <row r="16" spans="1:9">
      <c r="A16" s="917"/>
      <c r="B16" s="686" t="s">
        <v>146</v>
      </c>
      <c r="C16" s="760"/>
      <c r="D16" s="760"/>
      <c r="E16" s="760"/>
      <c r="F16" s="760"/>
      <c r="G16" s="760"/>
      <c r="H16" s="760"/>
      <c r="I16" s="916"/>
    </row>
    <row r="17" spans="1:9">
      <c r="A17" s="917"/>
      <c r="B17" s="686" t="s">
        <v>147</v>
      </c>
      <c r="C17" s="760"/>
      <c r="D17" s="760"/>
      <c r="E17" s="760"/>
      <c r="F17" s="760"/>
      <c r="G17" s="760"/>
      <c r="H17" s="760"/>
      <c r="I17" s="916"/>
    </row>
    <row r="18" spans="1:9">
      <c r="A18" s="917"/>
      <c r="B18" s="686" t="s">
        <v>148</v>
      </c>
      <c r="C18" s="760"/>
      <c r="D18" s="760"/>
      <c r="E18" s="760"/>
      <c r="F18" s="760"/>
      <c r="G18" s="760"/>
      <c r="H18" s="760"/>
      <c r="I18" s="916"/>
    </row>
    <row r="19" spans="1:9">
      <c r="A19" s="917"/>
      <c r="B19" s="687" t="s">
        <v>351</v>
      </c>
      <c r="C19" s="760"/>
      <c r="D19" s="760"/>
      <c r="E19" s="760"/>
      <c r="F19" s="1428"/>
      <c r="G19" s="1428"/>
      <c r="H19" s="760"/>
      <c r="I19" s="916"/>
    </row>
    <row r="20" spans="1:9" ht="13.5" thickBot="1">
      <c r="A20" s="917"/>
      <c r="B20" s="688" t="s">
        <v>149</v>
      </c>
      <c r="C20" s="760"/>
      <c r="D20" s="760">
        <v>115</v>
      </c>
      <c r="E20" s="760">
        <v>115</v>
      </c>
      <c r="F20" s="760">
        <v>115</v>
      </c>
      <c r="G20" s="760">
        <f>115+5</f>
        <v>120</v>
      </c>
      <c r="H20" s="760">
        <v>120</v>
      </c>
      <c r="I20" s="1424">
        <f>H20/G20</f>
        <v>1</v>
      </c>
    </row>
    <row r="21" spans="1:9" ht="13.5" thickBot="1">
      <c r="A21" s="917"/>
      <c r="B21" s="689" t="s">
        <v>270</v>
      </c>
      <c r="C21" s="761"/>
      <c r="D21" s="761">
        <v>115</v>
      </c>
      <c r="E21" s="761">
        <v>115</v>
      </c>
      <c r="F21" s="761">
        <v>115</v>
      </c>
      <c r="G21" s="761">
        <f>115+5</f>
        <v>120</v>
      </c>
      <c r="H21" s="761">
        <f>SUM(H14:H20)</f>
        <v>120</v>
      </c>
      <c r="I21" s="1426">
        <f>H21/G21</f>
        <v>1</v>
      </c>
    </row>
    <row r="22" spans="1:9" ht="13.5" thickBot="1">
      <c r="A22" s="917"/>
      <c r="B22" s="690" t="s">
        <v>176</v>
      </c>
      <c r="C22" s="1429"/>
      <c r="D22" s="1429"/>
      <c r="E22" s="1429"/>
      <c r="F22" s="1429"/>
      <c r="G22" s="1429"/>
      <c r="H22" s="1429"/>
      <c r="I22" s="1430"/>
    </row>
    <row r="23" spans="1:9" ht="18.75" customHeight="1" thickBot="1">
      <c r="A23" s="918"/>
      <c r="B23" s="691" t="s">
        <v>44</v>
      </c>
      <c r="C23" s="762"/>
      <c r="D23" s="762">
        <v>115</v>
      </c>
      <c r="E23" s="762">
        <v>115</v>
      </c>
      <c r="F23" s="762">
        <f>115+1050</f>
        <v>1165</v>
      </c>
      <c r="G23" s="762">
        <f>G12+G21</f>
        <v>1670</v>
      </c>
      <c r="H23" s="762">
        <f>H12+H21</f>
        <v>1670</v>
      </c>
      <c r="I23" s="1431">
        <f>H23/G23</f>
        <v>1</v>
      </c>
    </row>
    <row r="24" spans="1:9" ht="12.6" customHeight="1" thickBot="1">
      <c r="A24" s="918"/>
      <c r="B24" s="699" t="s">
        <v>359</v>
      </c>
      <c r="C24" s="1432"/>
      <c r="D24" s="1432"/>
      <c r="E24" s="1432"/>
      <c r="F24" s="1432"/>
      <c r="G24" s="1432"/>
      <c r="H24" s="1433"/>
      <c r="I24" s="1434"/>
    </row>
    <row r="25" spans="1:9" ht="18.75" customHeight="1" thickBot="1">
      <c r="A25" s="917"/>
      <c r="B25" s="700" t="s">
        <v>45</v>
      </c>
      <c r="C25" s="770"/>
      <c r="D25" s="770"/>
      <c r="E25" s="770"/>
      <c r="F25" s="770"/>
      <c r="G25" s="770"/>
      <c r="H25" s="762"/>
      <c r="I25" s="1435"/>
    </row>
    <row r="26" spans="1:9" ht="12.75" customHeight="1">
      <c r="A26" s="917"/>
      <c r="B26" s="701" t="s">
        <v>327</v>
      </c>
      <c r="C26" s="1436"/>
      <c r="D26" s="1436">
        <v>1500</v>
      </c>
      <c r="E26" s="1436">
        <v>1500</v>
      </c>
      <c r="F26" s="1436">
        <v>1500</v>
      </c>
      <c r="G26" s="1436">
        <v>1500</v>
      </c>
      <c r="H26" s="1437">
        <v>1500</v>
      </c>
      <c r="I26" s="1438">
        <f>H26/G26</f>
        <v>1</v>
      </c>
    </row>
    <row r="27" spans="1:9" ht="13.5" thickBot="1">
      <c r="A27" s="917"/>
      <c r="B27" s="702" t="s">
        <v>355</v>
      </c>
      <c r="C27" s="754">
        <v>309566</v>
      </c>
      <c r="D27" s="754">
        <f>309566+1353</f>
        <v>310919</v>
      </c>
      <c r="E27" s="754">
        <f>310919+1535</f>
        <v>312454</v>
      </c>
      <c r="F27" s="754">
        <f>310919+1535+14814</f>
        <v>327268</v>
      </c>
      <c r="G27" s="754">
        <f>310919+1535+14814</f>
        <v>327268</v>
      </c>
      <c r="H27" s="902">
        <v>317448</v>
      </c>
      <c r="I27" s="1439">
        <f>H27/G27</f>
        <v>0.9699940110246037</v>
      </c>
    </row>
    <row r="28" spans="1:9" ht="18.75" customHeight="1" thickBot="1">
      <c r="A28" s="917"/>
      <c r="B28" s="703" t="s">
        <v>38</v>
      </c>
      <c r="C28" s="1440">
        <f t="shared" ref="C28" si="0">SUM(C26:C27)</f>
        <v>309566</v>
      </c>
      <c r="D28" s="1440">
        <f t="shared" ref="D28:E28" si="1">SUM(D26:D27)</f>
        <v>312419</v>
      </c>
      <c r="E28" s="1440">
        <f t="shared" si="1"/>
        <v>313954</v>
      </c>
      <c r="F28" s="1440">
        <f t="shared" ref="F28:G28" si="2">SUM(F26:F27)</f>
        <v>328768</v>
      </c>
      <c r="G28" s="1440">
        <f t="shared" si="2"/>
        <v>328768</v>
      </c>
      <c r="H28" s="1440">
        <f t="shared" ref="H28" si="3">SUM(H26:H27)</f>
        <v>318948</v>
      </c>
      <c r="I28" s="1431">
        <f>H28/G28</f>
        <v>0.97013091298423204</v>
      </c>
    </row>
    <row r="29" spans="1:9" ht="12.75" customHeight="1" thickBot="1">
      <c r="A29" s="917"/>
      <c r="B29" s="704" t="s">
        <v>327</v>
      </c>
      <c r="C29" s="1432"/>
      <c r="D29" s="1432"/>
      <c r="E29" s="1432"/>
      <c r="F29" s="1432"/>
      <c r="G29" s="1432"/>
      <c r="H29" s="1433"/>
      <c r="I29" s="1441"/>
    </row>
    <row r="30" spans="1:9" ht="15" customHeight="1" thickBot="1">
      <c r="A30" s="917"/>
      <c r="B30" s="703" t="s">
        <v>40</v>
      </c>
      <c r="C30" s="770"/>
      <c r="D30" s="770"/>
      <c r="E30" s="770"/>
      <c r="F30" s="770"/>
      <c r="G30" s="770"/>
      <c r="H30" s="762"/>
      <c r="I30" s="1441"/>
    </row>
    <row r="31" spans="1:9" ht="15.75" thickBot="1">
      <c r="A31" s="919"/>
      <c r="B31" s="705" t="s">
        <v>49</v>
      </c>
      <c r="C31" s="763">
        <f t="shared" ref="C31" si="4">SUM(C23+C25+C28+C30)</f>
        <v>309566</v>
      </c>
      <c r="D31" s="1442">
        <f>SUM(D23+D25+D28+D30)</f>
        <v>312534</v>
      </c>
      <c r="E31" s="1442">
        <f>SUM(E23+E25+E28+E30)</f>
        <v>314069</v>
      </c>
      <c r="F31" s="1442">
        <f>SUM(F23+F25+F28+F30)</f>
        <v>329933</v>
      </c>
      <c r="G31" s="1442">
        <f>SUM(G23+G25+G28+G30)</f>
        <v>330438</v>
      </c>
      <c r="H31" s="1442">
        <f>SUM(H23+H25+H28+H30)</f>
        <v>320618</v>
      </c>
      <c r="I31" s="1431">
        <f>H31/G31</f>
        <v>0.97028186830812435</v>
      </c>
    </row>
    <row r="32" spans="1:9">
      <c r="A32" s="920"/>
      <c r="B32" s="706" t="s">
        <v>251</v>
      </c>
      <c r="C32" s="754">
        <v>261925</v>
      </c>
      <c r="D32" s="754">
        <f>261925+202</f>
        <v>262127</v>
      </c>
      <c r="E32" s="754">
        <f>262127+960</f>
        <v>263087</v>
      </c>
      <c r="F32" s="754">
        <f>262127+960+14814</f>
        <v>277901</v>
      </c>
      <c r="G32" s="754">
        <f>262127+960+14814</f>
        <v>277901</v>
      </c>
      <c r="H32" s="754">
        <v>274728</v>
      </c>
      <c r="I32" s="1439">
        <f>H32/G32</f>
        <v>0.98858226490728718</v>
      </c>
    </row>
    <row r="33" spans="1:9">
      <c r="A33" s="920"/>
      <c r="B33" s="706" t="s">
        <v>252</v>
      </c>
      <c r="C33" s="1428">
        <v>39353</v>
      </c>
      <c r="D33" s="1428">
        <f>39353+1022</f>
        <v>40375</v>
      </c>
      <c r="E33" s="1428">
        <f>40375+125</f>
        <v>40500</v>
      </c>
      <c r="F33" s="1428">
        <f>40375+125</f>
        <v>40500</v>
      </c>
      <c r="G33" s="1428">
        <f>40375+125</f>
        <v>40500</v>
      </c>
      <c r="H33" s="1428">
        <v>36386</v>
      </c>
      <c r="I33" s="1439">
        <f>H33/G33</f>
        <v>0.89841975308641975</v>
      </c>
    </row>
    <row r="34" spans="1:9">
      <c r="A34" s="920"/>
      <c r="B34" s="706" t="s">
        <v>253</v>
      </c>
      <c r="C34" s="754">
        <v>6472</v>
      </c>
      <c r="D34" s="754">
        <f>6472+276+1353+115</f>
        <v>8216</v>
      </c>
      <c r="E34" s="754">
        <f>6472+276+1353+115</f>
        <v>8216</v>
      </c>
      <c r="F34" s="754">
        <f>6472+276+1353+115+1050</f>
        <v>9266</v>
      </c>
      <c r="G34" s="754">
        <f>6472+276+1353+115+1050+505</f>
        <v>9771</v>
      </c>
      <c r="H34" s="754">
        <v>4989</v>
      </c>
      <c r="I34" s="1439">
        <f>H34/G34</f>
        <v>0.51059256984955481</v>
      </c>
    </row>
    <row r="35" spans="1:9">
      <c r="A35" s="920"/>
      <c r="B35" s="707" t="s">
        <v>255</v>
      </c>
      <c r="C35" s="1428"/>
      <c r="D35" s="1428"/>
      <c r="E35" s="1428"/>
      <c r="F35" s="1428"/>
      <c r="G35" s="1428"/>
      <c r="H35" s="1428"/>
      <c r="I35" s="916"/>
    </row>
    <row r="36" spans="1:9" ht="13.5" thickBot="1">
      <c r="A36" s="920"/>
      <c r="B36" s="708" t="s">
        <v>254</v>
      </c>
      <c r="C36" s="1428"/>
      <c r="D36" s="1428"/>
      <c r="E36" s="1428"/>
      <c r="F36" s="1428"/>
      <c r="G36" s="1428"/>
      <c r="H36" s="1428"/>
      <c r="I36" s="1434"/>
    </row>
    <row r="37" spans="1:9" ht="13.5" thickBot="1">
      <c r="A37" s="920"/>
      <c r="B37" s="709" t="s">
        <v>37</v>
      </c>
      <c r="C37" s="763">
        <f t="shared" ref="C37:H37" si="5">SUM(C32:C36)</f>
        <v>307750</v>
      </c>
      <c r="D37" s="763">
        <f t="shared" si="5"/>
        <v>310718</v>
      </c>
      <c r="E37" s="763">
        <f t="shared" si="5"/>
        <v>311803</v>
      </c>
      <c r="F37" s="763">
        <f t="shared" si="5"/>
        <v>327667</v>
      </c>
      <c r="G37" s="763">
        <f t="shared" si="5"/>
        <v>328172</v>
      </c>
      <c r="H37" s="763">
        <f t="shared" si="5"/>
        <v>316103</v>
      </c>
      <c r="I37" s="1431">
        <f>H37/G37</f>
        <v>0.96322355350243161</v>
      </c>
    </row>
    <row r="38" spans="1:9">
      <c r="A38" s="920"/>
      <c r="B38" s="706" t="s">
        <v>759</v>
      </c>
      <c r="C38" s="1428">
        <v>1816</v>
      </c>
      <c r="D38" s="1428">
        <v>1816</v>
      </c>
      <c r="E38" s="1428">
        <f>1816+450</f>
        <v>2266</v>
      </c>
      <c r="F38" s="1428">
        <f>1816+450</f>
        <v>2266</v>
      </c>
      <c r="G38" s="1428">
        <f>1816+450</f>
        <v>2266</v>
      </c>
      <c r="H38" s="1428">
        <v>1619</v>
      </c>
      <c r="I38" s="1439">
        <f>H38/G38</f>
        <v>0.71447484554280671</v>
      </c>
    </row>
    <row r="39" spans="1:9">
      <c r="A39" s="920"/>
      <c r="B39" s="706" t="s">
        <v>196</v>
      </c>
      <c r="C39" s="1428"/>
      <c r="D39" s="1428"/>
      <c r="E39" s="1428"/>
      <c r="F39" s="1428"/>
      <c r="G39" s="1428"/>
      <c r="H39" s="1428"/>
      <c r="I39" s="916"/>
    </row>
    <row r="40" spans="1:9" ht="13.5" thickBot="1">
      <c r="A40" s="920"/>
      <c r="B40" s="708" t="s">
        <v>336</v>
      </c>
      <c r="C40" s="1428"/>
      <c r="D40" s="1428"/>
      <c r="E40" s="1428"/>
      <c r="F40" s="1428"/>
      <c r="G40" s="1428"/>
      <c r="H40" s="1428"/>
      <c r="I40" s="1434"/>
    </row>
    <row r="41" spans="1:9" ht="13.5" thickBot="1">
      <c r="A41" s="920"/>
      <c r="B41" s="710" t="s">
        <v>43</v>
      </c>
      <c r="C41" s="763">
        <f t="shared" ref="C41" si="6">SUM(C38:C40)</f>
        <v>1816</v>
      </c>
      <c r="D41" s="763">
        <f t="shared" ref="D41:E41" si="7">SUM(D38:D40)</f>
        <v>1816</v>
      </c>
      <c r="E41" s="763">
        <f t="shared" si="7"/>
        <v>2266</v>
      </c>
      <c r="F41" s="763">
        <f t="shared" ref="F41:G41" si="8">SUM(F38:F40)</f>
        <v>2266</v>
      </c>
      <c r="G41" s="763">
        <f t="shared" si="8"/>
        <v>2266</v>
      </c>
      <c r="H41" s="763">
        <f t="shared" ref="H41" si="9">SUM(H38:H40)</f>
        <v>1619</v>
      </c>
      <c r="I41" s="1431">
        <f>H41/G41</f>
        <v>0.71447484554280671</v>
      </c>
    </row>
    <row r="42" spans="1:9" ht="15.75" thickBot="1">
      <c r="A42" s="921"/>
      <c r="B42" s="711" t="s">
        <v>81</v>
      </c>
      <c r="C42" s="1442">
        <f t="shared" ref="C42" si="10">SUM(C37+C41)</f>
        <v>309566</v>
      </c>
      <c r="D42" s="1442">
        <f t="shared" ref="D42:E42" si="11">SUM(D37+D41)</f>
        <v>312534</v>
      </c>
      <c r="E42" s="1442">
        <f t="shared" si="11"/>
        <v>314069</v>
      </c>
      <c r="F42" s="1442">
        <f t="shared" ref="F42:G42" si="12">SUM(F37+F41)</f>
        <v>329933</v>
      </c>
      <c r="G42" s="1442">
        <f t="shared" si="12"/>
        <v>330438</v>
      </c>
      <c r="H42" s="1442">
        <f t="shared" ref="H42" si="13">SUM(H37+H41)</f>
        <v>317722</v>
      </c>
      <c r="I42" s="1431">
        <f>H42/G42</f>
        <v>0.96151774311671179</v>
      </c>
    </row>
    <row r="43" spans="1:9" ht="15">
      <c r="A43" s="915">
        <v>2309</v>
      </c>
      <c r="B43" s="712" t="s">
        <v>256</v>
      </c>
      <c r="C43" s="1443"/>
      <c r="D43" s="1443"/>
      <c r="E43" s="1443"/>
      <c r="F43" s="1443"/>
      <c r="G43" s="1443"/>
      <c r="H43" s="695"/>
      <c r="I43" s="1444"/>
    </row>
    <row r="44" spans="1:9" ht="12.6" customHeight="1">
      <c r="A44" s="920"/>
      <c r="B44" s="696" t="s">
        <v>140</v>
      </c>
      <c r="C44" s="1443"/>
      <c r="D44" s="1443"/>
      <c r="E44" s="1443"/>
      <c r="F44" s="1443"/>
      <c r="G44" s="1443"/>
      <c r="H44" s="695"/>
      <c r="I44" s="916"/>
    </row>
    <row r="45" spans="1:9" ht="13.5" thickBot="1">
      <c r="A45" s="920"/>
      <c r="B45" s="697" t="s">
        <v>141</v>
      </c>
      <c r="C45" s="764"/>
      <c r="D45" s="764"/>
      <c r="E45" s="764"/>
      <c r="F45" s="764">
        <v>700</v>
      </c>
      <c r="G45" s="764">
        <f>700+130</f>
        <v>830</v>
      </c>
      <c r="H45" s="903">
        <v>830</v>
      </c>
      <c r="I45" s="1439">
        <f>H45/G45</f>
        <v>1</v>
      </c>
    </row>
    <row r="46" spans="1:9" ht="13.5" thickBot="1">
      <c r="A46" s="920"/>
      <c r="B46" s="689" t="s">
        <v>142</v>
      </c>
      <c r="C46" s="759"/>
      <c r="D46" s="1445"/>
      <c r="E46" s="1445"/>
      <c r="F46" s="1445">
        <v>700</v>
      </c>
      <c r="G46" s="1445">
        <f>700+130</f>
        <v>830</v>
      </c>
      <c r="H46" s="1445">
        <f>SUM(H45)</f>
        <v>830</v>
      </c>
      <c r="I46" s="1431">
        <f>H46/G46</f>
        <v>1</v>
      </c>
    </row>
    <row r="47" spans="1:9">
      <c r="A47" s="920"/>
      <c r="B47" s="696" t="s">
        <v>143</v>
      </c>
      <c r="C47" s="1428"/>
      <c r="D47" s="1428"/>
      <c r="E47" s="1428"/>
      <c r="F47" s="1428"/>
      <c r="G47" s="1428"/>
      <c r="H47" s="760"/>
      <c r="I47" s="1444"/>
    </row>
    <row r="48" spans="1:9">
      <c r="A48" s="920"/>
      <c r="B48" s="685" t="s">
        <v>144</v>
      </c>
      <c r="C48" s="1446"/>
      <c r="D48" s="1446"/>
      <c r="E48" s="1446"/>
      <c r="F48" s="1446"/>
      <c r="G48" s="1446"/>
      <c r="H48" s="1427"/>
      <c r="I48" s="916"/>
    </row>
    <row r="49" spans="1:9">
      <c r="A49" s="920"/>
      <c r="B49" s="685" t="s">
        <v>145</v>
      </c>
      <c r="C49" s="1446"/>
      <c r="D49" s="1446"/>
      <c r="E49" s="1446"/>
      <c r="F49" s="1446"/>
      <c r="G49" s="1446"/>
      <c r="H49" s="1427"/>
      <c r="I49" s="916"/>
    </row>
    <row r="50" spans="1:9">
      <c r="A50" s="920"/>
      <c r="B50" s="686" t="s">
        <v>146</v>
      </c>
      <c r="C50" s="1428"/>
      <c r="D50" s="1428"/>
      <c r="E50" s="1428"/>
      <c r="F50" s="1428"/>
      <c r="G50" s="1428"/>
      <c r="H50" s="760"/>
      <c r="I50" s="916"/>
    </row>
    <row r="51" spans="1:9">
      <c r="A51" s="920"/>
      <c r="B51" s="686" t="s">
        <v>147</v>
      </c>
      <c r="C51" s="1428"/>
      <c r="D51" s="1428"/>
      <c r="E51" s="1428"/>
      <c r="F51" s="1428"/>
      <c r="G51" s="1428"/>
      <c r="H51" s="760"/>
      <c r="I51" s="916"/>
    </row>
    <row r="52" spans="1:9">
      <c r="A52" s="920"/>
      <c r="B52" s="686" t="s">
        <v>148</v>
      </c>
      <c r="C52" s="1428"/>
      <c r="D52" s="1428"/>
      <c r="E52" s="1428"/>
      <c r="F52" s="1428"/>
      <c r="G52" s="1428"/>
      <c r="H52" s="760"/>
      <c r="I52" s="916"/>
    </row>
    <row r="53" spans="1:9">
      <c r="A53" s="920"/>
      <c r="B53" s="686" t="s">
        <v>274</v>
      </c>
      <c r="C53" s="1428"/>
      <c r="D53" s="1428"/>
      <c r="E53" s="1428"/>
      <c r="F53" s="1428"/>
      <c r="G53" s="1428"/>
      <c r="H53" s="760"/>
      <c r="I53" s="916"/>
    </row>
    <row r="54" spans="1:9">
      <c r="A54" s="920"/>
      <c r="B54" s="687" t="s">
        <v>351</v>
      </c>
      <c r="C54" s="1428"/>
      <c r="D54" s="1428"/>
      <c r="E54" s="1428"/>
      <c r="F54" s="1428"/>
      <c r="G54" s="1428"/>
      <c r="H54" s="760"/>
      <c r="I54" s="916"/>
    </row>
    <row r="55" spans="1:9" ht="13.5" thickBot="1">
      <c r="A55" s="920"/>
      <c r="B55" s="688" t="s">
        <v>149</v>
      </c>
      <c r="C55" s="1447"/>
      <c r="D55" s="1447"/>
      <c r="E55" s="1447"/>
      <c r="F55" s="1447"/>
      <c r="G55" s="1447"/>
      <c r="H55" s="1448"/>
      <c r="I55" s="1434"/>
    </row>
    <row r="56" spans="1:9" ht="13.5" thickBot="1">
      <c r="A56" s="920"/>
      <c r="B56" s="689" t="s">
        <v>270</v>
      </c>
      <c r="C56" s="1442"/>
      <c r="D56" s="1442"/>
      <c r="E56" s="1442"/>
      <c r="F56" s="1442"/>
      <c r="G56" s="1442"/>
      <c r="H56" s="1429"/>
      <c r="I56" s="1434"/>
    </row>
    <row r="57" spans="1:9" ht="13.5" thickBot="1">
      <c r="A57" s="920"/>
      <c r="B57" s="690" t="s">
        <v>176</v>
      </c>
      <c r="C57" s="1442"/>
      <c r="D57" s="1442"/>
      <c r="E57" s="1442"/>
      <c r="F57" s="1442"/>
      <c r="G57" s="1442"/>
      <c r="H57" s="1429"/>
      <c r="I57" s="1434"/>
    </row>
    <row r="58" spans="1:9" ht="13.5" thickBot="1">
      <c r="A58" s="920"/>
      <c r="B58" s="691" t="s">
        <v>44</v>
      </c>
      <c r="C58" s="770"/>
      <c r="D58" s="770"/>
      <c r="E58" s="770"/>
      <c r="F58" s="1445">
        <v>700</v>
      </c>
      <c r="G58" s="1445">
        <f>700+130</f>
        <v>830</v>
      </c>
      <c r="H58" s="907">
        <f>H56+H46</f>
        <v>830</v>
      </c>
      <c r="I58" s="1431">
        <f>H58/G58</f>
        <v>1</v>
      </c>
    </row>
    <row r="59" spans="1:9" ht="13.5" thickBot="1">
      <c r="A59" s="920"/>
      <c r="B59" s="699" t="s">
        <v>359</v>
      </c>
      <c r="C59" s="1432"/>
      <c r="D59" s="1432"/>
      <c r="E59" s="1432"/>
      <c r="F59" s="1432"/>
      <c r="G59" s="1432"/>
      <c r="H59" s="1433"/>
      <c r="I59" s="1434"/>
    </row>
    <row r="60" spans="1:9" ht="13.5" thickBot="1">
      <c r="A60" s="920"/>
      <c r="B60" s="700" t="s">
        <v>45</v>
      </c>
      <c r="C60" s="770"/>
      <c r="D60" s="770"/>
      <c r="E60" s="770"/>
      <c r="F60" s="770"/>
      <c r="G60" s="770"/>
      <c r="H60" s="762"/>
      <c r="I60" s="1434"/>
    </row>
    <row r="61" spans="1:9">
      <c r="A61" s="920"/>
      <c r="B61" s="701" t="s">
        <v>327</v>
      </c>
      <c r="C61" s="1428"/>
      <c r="D61" s="1428">
        <v>1032</v>
      </c>
      <c r="E61" s="1428">
        <v>1032</v>
      </c>
      <c r="F61" s="1428">
        <v>1032</v>
      </c>
      <c r="G61" s="1428">
        <v>1032</v>
      </c>
      <c r="H61" s="1428">
        <v>1032</v>
      </c>
      <c r="I61" s="1438">
        <f>H61/G61</f>
        <v>1</v>
      </c>
    </row>
    <row r="62" spans="1:9" ht="13.5" thickBot="1">
      <c r="A62" s="920"/>
      <c r="B62" s="702" t="s">
        <v>355</v>
      </c>
      <c r="C62" s="906">
        <v>304509</v>
      </c>
      <c r="D62" s="906">
        <f>304509+808+7600</f>
        <v>312917</v>
      </c>
      <c r="E62" s="906">
        <f>312917+1085</f>
        <v>314002</v>
      </c>
      <c r="F62" s="906">
        <f>312917+1085+8341</f>
        <v>322343</v>
      </c>
      <c r="G62" s="906">
        <f>312917+1085+8341</f>
        <v>322343</v>
      </c>
      <c r="H62" s="906">
        <v>312098</v>
      </c>
      <c r="I62" s="1439">
        <f>H62/G62</f>
        <v>0.96821708552690766</v>
      </c>
    </row>
    <row r="63" spans="1:9" ht="13.5" thickBot="1">
      <c r="A63" s="920"/>
      <c r="B63" s="703" t="s">
        <v>38</v>
      </c>
      <c r="C63" s="769">
        <f t="shared" ref="C63" si="14">SUM(C61:C62)</f>
        <v>304509</v>
      </c>
      <c r="D63" s="769">
        <f t="shared" ref="D63:E63" si="15">SUM(D61:D62)</f>
        <v>313949</v>
      </c>
      <c r="E63" s="769">
        <f t="shared" si="15"/>
        <v>315034</v>
      </c>
      <c r="F63" s="769">
        <f t="shared" ref="F63:G63" si="16">SUM(F61:F62)</f>
        <v>323375</v>
      </c>
      <c r="G63" s="769">
        <f t="shared" si="16"/>
        <v>323375</v>
      </c>
      <c r="H63" s="769">
        <f t="shared" ref="H63" si="17">SUM(H61:H62)</f>
        <v>313130</v>
      </c>
      <c r="I63" s="1431">
        <f>H63/G63</f>
        <v>0.96831851565519911</v>
      </c>
    </row>
    <row r="64" spans="1:9" ht="13.5" thickBot="1">
      <c r="A64" s="920"/>
      <c r="B64" s="704" t="s">
        <v>327</v>
      </c>
      <c r="C64" s="1449"/>
      <c r="D64" s="1432"/>
      <c r="E64" s="1432"/>
      <c r="F64" s="1432"/>
      <c r="G64" s="1432"/>
      <c r="H64" s="1433"/>
      <c r="I64" s="1441"/>
    </row>
    <row r="65" spans="1:9" ht="13.5" thickBot="1">
      <c r="A65" s="920"/>
      <c r="B65" s="703" t="s">
        <v>40</v>
      </c>
      <c r="C65" s="770"/>
      <c r="D65" s="770"/>
      <c r="E65" s="770"/>
      <c r="F65" s="770"/>
      <c r="G65" s="770"/>
      <c r="H65" s="762"/>
      <c r="I65" s="1441"/>
    </row>
    <row r="66" spans="1:9" ht="15.75" thickBot="1">
      <c r="A66" s="920"/>
      <c r="B66" s="705" t="s">
        <v>49</v>
      </c>
      <c r="C66" s="763">
        <f t="shared" ref="C66" si="18">SUM(C58+C60+C63+C65)</f>
        <v>304509</v>
      </c>
      <c r="D66" s="1442">
        <f t="shared" ref="D66:E66" si="19">SUM(D58+D60+D63+D65)</f>
        <v>313949</v>
      </c>
      <c r="E66" s="1442">
        <f t="shared" si="19"/>
        <v>315034</v>
      </c>
      <c r="F66" s="1442">
        <f t="shared" ref="F66:G66" si="20">SUM(F58+F60+F63+F65)</f>
        <v>324075</v>
      </c>
      <c r="G66" s="1442">
        <f t="shared" si="20"/>
        <v>324205</v>
      </c>
      <c r="H66" s="1429">
        <f t="shared" ref="H66" si="21">SUM(H58+H60+H63+H65)</f>
        <v>313960</v>
      </c>
      <c r="I66" s="1431">
        <f>H66/G66</f>
        <v>0.96839962369488441</v>
      </c>
    </row>
    <row r="67" spans="1:9">
      <c r="A67" s="920"/>
      <c r="B67" s="706" t="s">
        <v>251</v>
      </c>
      <c r="C67" s="754">
        <v>257442</v>
      </c>
      <c r="D67" s="754">
        <f>257442+153+6436</f>
        <v>264031</v>
      </c>
      <c r="E67" s="754">
        <f>264031+960</f>
        <v>264991</v>
      </c>
      <c r="F67" s="754">
        <f>264031+960+8341</f>
        <v>273332</v>
      </c>
      <c r="G67" s="754">
        <f>264031+960+8341</f>
        <v>273332</v>
      </c>
      <c r="H67" s="754">
        <v>269447</v>
      </c>
      <c r="I67" s="1439">
        <f>H67/G67</f>
        <v>0.98578651603178558</v>
      </c>
    </row>
    <row r="68" spans="1:9">
      <c r="A68" s="920"/>
      <c r="B68" s="706" t="s">
        <v>252</v>
      </c>
      <c r="C68" s="1428">
        <v>38291</v>
      </c>
      <c r="D68" s="1428">
        <f>38291+842+1164</f>
        <v>40297</v>
      </c>
      <c r="E68" s="1428">
        <f>40297+125</f>
        <v>40422</v>
      </c>
      <c r="F68" s="1428">
        <f>40297+125</f>
        <v>40422</v>
      </c>
      <c r="G68" s="1428">
        <f>40297+125</f>
        <v>40422</v>
      </c>
      <c r="H68" s="1428">
        <v>34885</v>
      </c>
      <c r="I68" s="1439">
        <f>H68/G68</f>
        <v>0.86302013754885953</v>
      </c>
    </row>
    <row r="69" spans="1:9">
      <c r="A69" s="920"/>
      <c r="B69" s="706" t="s">
        <v>253</v>
      </c>
      <c r="C69" s="754">
        <v>5982</v>
      </c>
      <c r="D69" s="754">
        <f>5982+37+808</f>
        <v>6827</v>
      </c>
      <c r="E69" s="754">
        <f>5982+37+808</f>
        <v>6827</v>
      </c>
      <c r="F69" s="754">
        <f>5982+37+808+700</f>
        <v>7527</v>
      </c>
      <c r="G69" s="754">
        <f>5982+37+808+700+130</f>
        <v>7657</v>
      </c>
      <c r="H69" s="754">
        <v>6787</v>
      </c>
      <c r="I69" s="1439">
        <f>H69/G69</f>
        <v>0.88637847721039575</v>
      </c>
    </row>
    <row r="70" spans="1:9">
      <c r="A70" s="920"/>
      <c r="B70" s="707" t="s">
        <v>255</v>
      </c>
      <c r="C70" s="1428"/>
      <c r="D70" s="1428"/>
      <c r="E70" s="1428"/>
      <c r="F70" s="1428"/>
      <c r="G70" s="1428"/>
      <c r="H70" s="1428"/>
      <c r="I70" s="916"/>
    </row>
    <row r="71" spans="1:9" ht="13.5" thickBot="1">
      <c r="A71" s="920"/>
      <c r="B71" s="708" t="s">
        <v>254</v>
      </c>
      <c r="C71" s="1447"/>
      <c r="D71" s="1447"/>
      <c r="E71" s="1447"/>
      <c r="F71" s="1447"/>
      <c r="G71" s="1447"/>
      <c r="H71" s="1447"/>
      <c r="I71" s="1434"/>
    </row>
    <row r="72" spans="1:9" ht="13.5" thickBot="1">
      <c r="A72" s="920"/>
      <c r="B72" s="709" t="s">
        <v>37</v>
      </c>
      <c r="C72" s="1442">
        <f t="shared" ref="C72" si="22">SUM(C67:C71)</f>
        <v>301715</v>
      </c>
      <c r="D72" s="1442">
        <f t="shared" ref="D72:E72" si="23">SUM(D67:D71)</f>
        <v>311155</v>
      </c>
      <c r="E72" s="1442">
        <f t="shared" si="23"/>
        <v>312240</v>
      </c>
      <c r="F72" s="1442">
        <f t="shared" ref="F72:G72" si="24">SUM(F67:F71)</f>
        <v>321281</v>
      </c>
      <c r="G72" s="1442">
        <f t="shared" si="24"/>
        <v>321411</v>
      </c>
      <c r="H72" s="1429">
        <f t="shared" ref="H72" si="25">SUM(H67:H71)</f>
        <v>311119</v>
      </c>
      <c r="I72" s="1431">
        <f>H72/G72</f>
        <v>0.96797869394638014</v>
      </c>
    </row>
    <row r="73" spans="1:9">
      <c r="A73" s="920"/>
      <c r="B73" s="706" t="s">
        <v>759</v>
      </c>
      <c r="C73" s="1428">
        <v>2794</v>
      </c>
      <c r="D73" s="1428">
        <v>2794</v>
      </c>
      <c r="E73" s="1428">
        <v>2794</v>
      </c>
      <c r="F73" s="1428">
        <v>2794</v>
      </c>
      <c r="G73" s="1428">
        <v>2794</v>
      </c>
      <c r="H73" s="760">
        <v>1966</v>
      </c>
      <c r="I73" s="1439">
        <f>H73/G73</f>
        <v>0.70365068002863274</v>
      </c>
    </row>
    <row r="74" spans="1:9">
      <c r="A74" s="920"/>
      <c r="B74" s="706" t="s">
        <v>196</v>
      </c>
      <c r="C74" s="1428"/>
      <c r="D74" s="1428"/>
      <c r="E74" s="1428"/>
      <c r="F74" s="1428"/>
      <c r="G74" s="1428"/>
      <c r="H74" s="760"/>
      <c r="I74" s="916"/>
    </row>
    <row r="75" spans="1:9" ht="13.5" thickBot="1">
      <c r="A75" s="920"/>
      <c r="B75" s="708" t="s">
        <v>336</v>
      </c>
      <c r="C75" s="1447"/>
      <c r="D75" s="1447"/>
      <c r="E75" s="1447"/>
      <c r="F75" s="1447"/>
      <c r="G75" s="1447"/>
      <c r="H75" s="1448"/>
      <c r="I75" s="1434"/>
    </row>
    <row r="76" spans="1:9" ht="13.5" thickBot="1">
      <c r="A76" s="920"/>
      <c r="B76" s="710" t="s">
        <v>43</v>
      </c>
      <c r="C76" s="1442">
        <f t="shared" ref="C76" si="26">SUM(C73:C75)</f>
        <v>2794</v>
      </c>
      <c r="D76" s="1442">
        <f t="shared" ref="D76:E76" si="27">SUM(D73:D75)</f>
        <v>2794</v>
      </c>
      <c r="E76" s="1442">
        <f t="shared" si="27"/>
        <v>2794</v>
      </c>
      <c r="F76" s="1442">
        <f t="shared" ref="F76:G76" si="28">SUM(F73:F75)</f>
        <v>2794</v>
      </c>
      <c r="G76" s="1442">
        <f t="shared" si="28"/>
        <v>2794</v>
      </c>
      <c r="H76" s="1429">
        <f t="shared" ref="H76" si="29">SUM(H73:H75)</f>
        <v>1966</v>
      </c>
      <c r="I76" s="1431">
        <f>H76/G76</f>
        <v>0.70365068002863274</v>
      </c>
    </row>
    <row r="77" spans="1:9" ht="15.75" thickBot="1">
      <c r="A77" s="921"/>
      <c r="B77" s="711" t="s">
        <v>81</v>
      </c>
      <c r="C77" s="763">
        <f t="shared" ref="C77:H77" si="30">SUM(C72+C76)</f>
        <v>304509</v>
      </c>
      <c r="D77" s="1442">
        <f t="shared" si="30"/>
        <v>313949</v>
      </c>
      <c r="E77" s="1442">
        <f t="shared" si="30"/>
        <v>315034</v>
      </c>
      <c r="F77" s="1442">
        <f t="shared" si="30"/>
        <v>324075</v>
      </c>
      <c r="G77" s="1442">
        <f t="shared" si="30"/>
        <v>324205</v>
      </c>
      <c r="H77" s="1429">
        <f t="shared" si="30"/>
        <v>313085</v>
      </c>
      <c r="I77" s="1431">
        <f>H77/G77</f>
        <v>0.96570071405437918</v>
      </c>
    </row>
    <row r="78" spans="1:9" ht="15">
      <c r="A78" s="915">
        <v>2310</v>
      </c>
      <c r="B78" s="712" t="s">
        <v>257</v>
      </c>
      <c r="C78" s="754"/>
      <c r="D78" s="754"/>
      <c r="E78" s="754"/>
      <c r="F78" s="754"/>
      <c r="G78" s="754"/>
      <c r="H78" s="902"/>
      <c r="I78" s="1444"/>
    </row>
    <row r="79" spans="1:9" ht="12.6" customHeight="1">
      <c r="A79" s="920"/>
      <c r="B79" s="696" t="s">
        <v>140</v>
      </c>
      <c r="C79" s="1443"/>
      <c r="D79" s="1443"/>
      <c r="E79" s="1443"/>
      <c r="F79" s="1443"/>
      <c r="G79" s="1443"/>
      <c r="H79" s="695"/>
      <c r="I79" s="916"/>
    </row>
    <row r="80" spans="1:9" ht="13.5" thickBot="1">
      <c r="A80" s="920"/>
      <c r="B80" s="697" t="s">
        <v>141</v>
      </c>
      <c r="C80" s="764"/>
      <c r="D80" s="764"/>
      <c r="E80" s="764"/>
      <c r="F80" s="764">
        <v>1590</v>
      </c>
      <c r="G80" s="764">
        <f>1590+80</f>
        <v>1670</v>
      </c>
      <c r="H80" s="764">
        <v>1670</v>
      </c>
      <c r="I80" s="1439">
        <f>H80/G80</f>
        <v>1</v>
      </c>
    </row>
    <row r="81" spans="1:9" ht="13.5" thickBot="1">
      <c r="A81" s="920"/>
      <c r="B81" s="698" t="s">
        <v>142</v>
      </c>
      <c r="C81" s="1450"/>
      <c r="D81" s="1450"/>
      <c r="E81" s="1450"/>
      <c r="F81" s="1450">
        <v>1590</v>
      </c>
      <c r="G81" s="1450">
        <f>1590+80</f>
        <v>1670</v>
      </c>
      <c r="H81" s="1450">
        <f>SUM(H80)</f>
        <v>1670</v>
      </c>
      <c r="I81" s="1431">
        <f>H81/G81</f>
        <v>1</v>
      </c>
    </row>
    <row r="82" spans="1:9">
      <c r="A82" s="920"/>
      <c r="B82" s="696" t="s">
        <v>143</v>
      </c>
      <c r="C82" s="754"/>
      <c r="D82" s="754"/>
      <c r="E82" s="754"/>
      <c r="F82" s="754"/>
      <c r="G82" s="754"/>
      <c r="H82" s="902"/>
      <c r="I82" s="1444"/>
    </row>
    <row r="83" spans="1:9">
      <c r="A83" s="920"/>
      <c r="B83" s="685" t="s">
        <v>144</v>
      </c>
      <c r="C83" s="757"/>
      <c r="D83" s="757"/>
      <c r="E83" s="757"/>
      <c r="F83" s="757"/>
      <c r="G83" s="757"/>
      <c r="H83" s="905"/>
      <c r="I83" s="916"/>
    </row>
    <row r="84" spans="1:9">
      <c r="A84" s="920"/>
      <c r="B84" s="685" t="s">
        <v>145</v>
      </c>
      <c r="C84" s="757"/>
      <c r="D84" s="757"/>
      <c r="E84" s="757"/>
      <c r="F84" s="757"/>
      <c r="G84" s="757"/>
      <c r="H84" s="905"/>
      <c r="I84" s="916"/>
    </row>
    <row r="85" spans="1:9">
      <c r="A85" s="920"/>
      <c r="B85" s="686" t="s">
        <v>146</v>
      </c>
      <c r="C85" s="754"/>
      <c r="D85" s="754"/>
      <c r="E85" s="754"/>
      <c r="F85" s="754"/>
      <c r="G85" s="754"/>
      <c r="H85" s="902"/>
      <c r="I85" s="916"/>
    </row>
    <row r="86" spans="1:9">
      <c r="A86" s="920"/>
      <c r="B86" s="686" t="s">
        <v>147</v>
      </c>
      <c r="C86" s="754"/>
      <c r="D86" s="754"/>
      <c r="E86" s="754"/>
      <c r="F86" s="754"/>
      <c r="G86" s="754"/>
      <c r="H86" s="902"/>
      <c r="I86" s="916"/>
    </row>
    <row r="87" spans="1:9">
      <c r="A87" s="920"/>
      <c r="B87" s="686" t="s">
        <v>148</v>
      </c>
      <c r="C87" s="754"/>
      <c r="D87" s="754"/>
      <c r="E87" s="754"/>
      <c r="F87" s="754"/>
      <c r="G87" s="754"/>
      <c r="H87" s="902"/>
      <c r="I87" s="916"/>
    </row>
    <row r="88" spans="1:9">
      <c r="A88" s="920"/>
      <c r="B88" s="687" t="s">
        <v>351</v>
      </c>
      <c r="C88" s="754"/>
      <c r="D88" s="754"/>
      <c r="E88" s="754"/>
      <c r="F88" s="754"/>
      <c r="G88" s="754"/>
      <c r="H88" s="902"/>
      <c r="I88" s="916"/>
    </row>
    <row r="89" spans="1:9" ht="13.5" thickBot="1">
      <c r="A89" s="920"/>
      <c r="B89" s="688" t="s">
        <v>149</v>
      </c>
      <c r="C89" s="766"/>
      <c r="D89" s="766"/>
      <c r="E89" s="766"/>
      <c r="F89" s="766"/>
      <c r="G89" s="766">
        <v>1</v>
      </c>
      <c r="H89" s="906">
        <v>1</v>
      </c>
      <c r="I89" s="1439">
        <f>H89/G89</f>
        <v>1</v>
      </c>
    </row>
    <row r="90" spans="1:9" ht="13.5" thickBot="1">
      <c r="A90" s="920"/>
      <c r="B90" s="689" t="s">
        <v>270</v>
      </c>
      <c r="C90" s="767"/>
      <c r="D90" s="767"/>
      <c r="E90" s="767"/>
      <c r="F90" s="767"/>
      <c r="G90" s="767">
        <v>1</v>
      </c>
      <c r="H90" s="907">
        <f>SUM(H83:H89)</f>
        <v>1</v>
      </c>
      <c r="I90" s="1431">
        <f>H90/G90</f>
        <v>1</v>
      </c>
    </row>
    <row r="91" spans="1:9" ht="13.5" thickBot="1">
      <c r="A91" s="920"/>
      <c r="B91" s="690" t="s">
        <v>176</v>
      </c>
      <c r="C91" s="767"/>
      <c r="D91" s="767"/>
      <c r="E91" s="767"/>
      <c r="F91" s="767"/>
      <c r="G91" s="767"/>
      <c r="H91" s="907"/>
      <c r="I91" s="1434"/>
    </row>
    <row r="92" spans="1:9" ht="13.15" customHeight="1" thickBot="1">
      <c r="A92" s="920"/>
      <c r="B92" s="691" t="s">
        <v>44</v>
      </c>
      <c r="C92" s="1451"/>
      <c r="D92" s="770"/>
      <c r="E92" s="770"/>
      <c r="F92" s="1450">
        <v>1590</v>
      </c>
      <c r="G92" s="765">
        <f>1590+81</f>
        <v>1671</v>
      </c>
      <c r="H92" s="756">
        <f>H81+H90</f>
        <v>1671</v>
      </c>
      <c r="I92" s="1431">
        <f t="shared" ref="I92:I97" si="31">H92/G92</f>
        <v>1</v>
      </c>
    </row>
    <row r="93" spans="1:9" ht="13.5" thickBot="1">
      <c r="A93" s="920"/>
      <c r="B93" s="699" t="s">
        <v>359</v>
      </c>
      <c r="C93" s="768"/>
      <c r="D93" s="768"/>
      <c r="E93" s="768"/>
      <c r="F93" s="768">
        <v>300</v>
      </c>
      <c r="G93" s="768">
        <v>300</v>
      </c>
      <c r="H93" s="908">
        <v>300</v>
      </c>
      <c r="I93" s="1439">
        <f t="shared" si="31"/>
        <v>1</v>
      </c>
    </row>
    <row r="94" spans="1:9" ht="13.5" thickBot="1">
      <c r="A94" s="920"/>
      <c r="B94" s="700" t="s">
        <v>45</v>
      </c>
      <c r="C94" s="769"/>
      <c r="D94" s="769"/>
      <c r="E94" s="769"/>
      <c r="F94" s="769">
        <v>300</v>
      </c>
      <c r="G94" s="769">
        <v>300</v>
      </c>
      <c r="H94" s="909">
        <f>H93</f>
        <v>300</v>
      </c>
      <c r="I94" s="1431">
        <f t="shared" si="31"/>
        <v>1</v>
      </c>
    </row>
    <row r="95" spans="1:9">
      <c r="A95" s="920"/>
      <c r="B95" s="701" t="s">
        <v>327</v>
      </c>
      <c r="C95" s="1428"/>
      <c r="D95" s="1428">
        <v>100</v>
      </c>
      <c r="E95" s="1428">
        <v>100</v>
      </c>
      <c r="F95" s="1428">
        <v>100</v>
      </c>
      <c r="G95" s="1428">
        <v>100</v>
      </c>
      <c r="H95" s="1428">
        <v>100</v>
      </c>
      <c r="I95" s="1438">
        <f t="shared" si="31"/>
        <v>1</v>
      </c>
    </row>
    <row r="96" spans="1:9" ht="13.5" thickBot="1">
      <c r="A96" s="920"/>
      <c r="B96" s="702" t="s">
        <v>355</v>
      </c>
      <c r="C96" s="906">
        <v>147465</v>
      </c>
      <c r="D96" s="906">
        <f>147465+807+10493</f>
        <v>158765</v>
      </c>
      <c r="E96" s="906">
        <f>158765+1375</f>
        <v>160140</v>
      </c>
      <c r="F96" s="906">
        <f>158765+1375+6951</f>
        <v>167091</v>
      </c>
      <c r="G96" s="906">
        <f>158765+1375+6951</f>
        <v>167091</v>
      </c>
      <c r="H96" s="906">
        <v>160546</v>
      </c>
      <c r="I96" s="1439">
        <f t="shared" si="31"/>
        <v>0.96082972751374995</v>
      </c>
    </row>
    <row r="97" spans="1:9" ht="13.5" thickBot="1">
      <c r="A97" s="920"/>
      <c r="B97" s="703" t="s">
        <v>38</v>
      </c>
      <c r="C97" s="769">
        <f t="shared" ref="C97" si="32">SUM(C95:C96)</f>
        <v>147465</v>
      </c>
      <c r="D97" s="769">
        <f t="shared" ref="D97:E97" si="33">SUM(D95:D96)</f>
        <v>158865</v>
      </c>
      <c r="E97" s="769">
        <f t="shared" si="33"/>
        <v>160240</v>
      </c>
      <c r="F97" s="769">
        <f t="shared" ref="F97:G97" si="34">SUM(F95:F96)</f>
        <v>167191</v>
      </c>
      <c r="G97" s="769">
        <f t="shared" si="34"/>
        <v>167191</v>
      </c>
      <c r="H97" s="909">
        <f>SUM(H95:H96)</f>
        <v>160646</v>
      </c>
      <c r="I97" s="1431">
        <f t="shared" si="31"/>
        <v>0.96085315597131427</v>
      </c>
    </row>
    <row r="98" spans="1:9" ht="13.5" thickBot="1">
      <c r="A98" s="920"/>
      <c r="B98" s="704" t="s">
        <v>327</v>
      </c>
      <c r="C98" s="768"/>
      <c r="D98" s="768"/>
      <c r="E98" s="768"/>
      <c r="F98" s="768"/>
      <c r="G98" s="768"/>
      <c r="H98" s="908"/>
      <c r="I98" s="1441"/>
    </row>
    <row r="99" spans="1:9" ht="13.5" thickBot="1">
      <c r="A99" s="920"/>
      <c r="B99" s="703" t="s">
        <v>40</v>
      </c>
      <c r="C99" s="769"/>
      <c r="D99" s="769"/>
      <c r="E99" s="769"/>
      <c r="F99" s="769"/>
      <c r="G99" s="769"/>
      <c r="H99" s="909"/>
      <c r="I99" s="1441"/>
    </row>
    <row r="100" spans="1:9" ht="15.75" thickBot="1">
      <c r="A100" s="920"/>
      <c r="B100" s="705" t="s">
        <v>49</v>
      </c>
      <c r="C100" s="771">
        <f t="shared" ref="C100" si="35">SUM(C92+C94+C97+C99)</f>
        <v>147465</v>
      </c>
      <c r="D100" s="767">
        <f t="shared" ref="D100:E100" si="36">SUM(D92+D94+D97+D99)</f>
        <v>158865</v>
      </c>
      <c r="E100" s="767">
        <f t="shared" si="36"/>
        <v>160240</v>
      </c>
      <c r="F100" s="767">
        <f t="shared" ref="F100:G100" si="37">SUM(F92+F94+F97+F99)</f>
        <v>169081</v>
      </c>
      <c r="G100" s="767">
        <f t="shared" si="37"/>
        <v>169162</v>
      </c>
      <c r="H100" s="907">
        <f t="shared" ref="H100" si="38">SUM(H92+H94+H97+H99)</f>
        <v>162617</v>
      </c>
      <c r="I100" s="1431">
        <f>H100/G100</f>
        <v>0.96130927749731032</v>
      </c>
    </row>
    <row r="101" spans="1:9">
      <c r="A101" s="920"/>
      <c r="B101" s="706" t="s">
        <v>251</v>
      </c>
      <c r="C101" s="754">
        <v>123659</v>
      </c>
      <c r="D101" s="754">
        <f>123659+80+400+9286</f>
        <v>133425</v>
      </c>
      <c r="E101" s="754">
        <f>133425+420</f>
        <v>133845</v>
      </c>
      <c r="F101" s="754">
        <f>133425+420+6951</f>
        <v>140796</v>
      </c>
      <c r="G101" s="754">
        <f>133425+420+6951</f>
        <v>140796</v>
      </c>
      <c r="H101" s="754">
        <v>137467</v>
      </c>
      <c r="I101" s="1439">
        <f>H101/G101</f>
        <v>0.97635586238245409</v>
      </c>
    </row>
    <row r="102" spans="1:9">
      <c r="A102" s="920"/>
      <c r="B102" s="706" t="s">
        <v>252</v>
      </c>
      <c r="C102" s="1428">
        <v>16643</v>
      </c>
      <c r="D102" s="1428">
        <f>16643+20+275+1207</f>
        <v>18145</v>
      </c>
      <c r="E102" s="1428">
        <f>18145+55</f>
        <v>18200</v>
      </c>
      <c r="F102" s="1428">
        <f>18145+55</f>
        <v>18200</v>
      </c>
      <c r="G102" s="1428">
        <f>18145+55</f>
        <v>18200</v>
      </c>
      <c r="H102" s="1428">
        <v>15597</v>
      </c>
      <c r="I102" s="1439">
        <f>H102/G102</f>
        <v>0.85697802197802198</v>
      </c>
    </row>
    <row r="103" spans="1:9">
      <c r="A103" s="920"/>
      <c r="B103" s="706" t="s">
        <v>253</v>
      </c>
      <c r="C103" s="754">
        <v>4369</v>
      </c>
      <c r="D103" s="754">
        <f>4369+132</f>
        <v>4501</v>
      </c>
      <c r="E103" s="754">
        <f>4369+132</f>
        <v>4501</v>
      </c>
      <c r="F103" s="754">
        <f>4369+132+1590</f>
        <v>6091</v>
      </c>
      <c r="G103" s="754">
        <f>4369+132+1590+81</f>
        <v>6172</v>
      </c>
      <c r="H103" s="754">
        <v>3714</v>
      </c>
      <c r="I103" s="1439">
        <f>H103/G103</f>
        <v>0.601749837977965</v>
      </c>
    </row>
    <row r="104" spans="1:9">
      <c r="A104" s="920"/>
      <c r="B104" s="707" t="s">
        <v>255</v>
      </c>
      <c r="C104" s="754"/>
      <c r="D104" s="754"/>
      <c r="E104" s="754"/>
      <c r="F104" s="754"/>
      <c r="G104" s="754"/>
      <c r="H104" s="902"/>
      <c r="I104" s="916"/>
    </row>
    <row r="105" spans="1:9" ht="13.5" thickBot="1">
      <c r="A105" s="920"/>
      <c r="B105" s="708" t="s">
        <v>254</v>
      </c>
      <c r="C105" s="766"/>
      <c r="D105" s="766"/>
      <c r="E105" s="766"/>
      <c r="F105" s="766"/>
      <c r="G105" s="766"/>
      <c r="H105" s="906"/>
      <c r="I105" s="1434"/>
    </row>
    <row r="106" spans="1:9" ht="13.5" thickBot="1">
      <c r="A106" s="920"/>
      <c r="B106" s="709" t="s">
        <v>37</v>
      </c>
      <c r="C106" s="767">
        <f t="shared" ref="C106" si="39">SUM(C101:C105)</f>
        <v>144671</v>
      </c>
      <c r="D106" s="767">
        <f t="shared" ref="D106:E106" si="40">SUM(D101:D105)</f>
        <v>156071</v>
      </c>
      <c r="E106" s="767">
        <f t="shared" si="40"/>
        <v>156546</v>
      </c>
      <c r="F106" s="767">
        <f>SUM(F101:F105)</f>
        <v>165087</v>
      </c>
      <c r="G106" s="767">
        <f>SUM(G101:G105)</f>
        <v>165168</v>
      </c>
      <c r="H106" s="907">
        <f>SUM(H101:H105)</f>
        <v>156778</v>
      </c>
      <c r="I106" s="1431">
        <f>H106/G106</f>
        <v>0.94920323549355812</v>
      </c>
    </row>
    <row r="107" spans="1:9">
      <c r="A107" s="920"/>
      <c r="B107" s="706" t="s">
        <v>759</v>
      </c>
      <c r="C107" s="754">
        <v>2794</v>
      </c>
      <c r="D107" s="754">
        <v>2794</v>
      </c>
      <c r="E107" s="754">
        <f>2794+900</f>
        <v>3694</v>
      </c>
      <c r="F107" s="754">
        <f>2794+900+300</f>
        <v>3994</v>
      </c>
      <c r="G107" s="754">
        <f>2794+900+300</f>
        <v>3994</v>
      </c>
      <c r="H107" s="902">
        <v>3297</v>
      </c>
      <c r="I107" s="1439">
        <f>H107/G107</f>
        <v>0.82548823234852275</v>
      </c>
    </row>
    <row r="108" spans="1:9">
      <c r="A108" s="920"/>
      <c r="B108" s="706" t="s">
        <v>196</v>
      </c>
      <c r="C108" s="754"/>
      <c r="D108" s="754"/>
      <c r="E108" s="754"/>
      <c r="F108" s="754"/>
      <c r="G108" s="754"/>
      <c r="H108" s="902"/>
      <c r="I108" s="916"/>
    </row>
    <row r="109" spans="1:9" ht="13.5" thickBot="1">
      <c r="A109" s="920"/>
      <c r="B109" s="708" t="s">
        <v>336</v>
      </c>
      <c r="C109" s="766"/>
      <c r="D109" s="766"/>
      <c r="E109" s="766"/>
      <c r="F109" s="766"/>
      <c r="G109" s="766"/>
      <c r="H109" s="906"/>
      <c r="I109" s="1434"/>
    </row>
    <row r="110" spans="1:9" ht="13.5" thickBot="1">
      <c r="A110" s="920"/>
      <c r="B110" s="710" t="s">
        <v>43</v>
      </c>
      <c r="C110" s="767">
        <f t="shared" ref="C110" si="41">SUM(C107:C109)</f>
        <v>2794</v>
      </c>
      <c r="D110" s="767">
        <f t="shared" ref="D110:E110" si="42">SUM(D107:D109)</f>
        <v>2794</v>
      </c>
      <c r="E110" s="767">
        <f t="shared" si="42"/>
        <v>3694</v>
      </c>
      <c r="F110" s="767">
        <f t="shared" ref="F110:G110" si="43">SUM(F107:F109)</f>
        <v>3994</v>
      </c>
      <c r="G110" s="767">
        <f t="shared" si="43"/>
        <v>3994</v>
      </c>
      <c r="H110" s="907">
        <f t="shared" ref="H110" si="44">SUM(H107:H109)</f>
        <v>3297</v>
      </c>
      <c r="I110" s="1431">
        <f>H110/G110</f>
        <v>0.82548823234852275</v>
      </c>
    </row>
    <row r="111" spans="1:9" ht="15.75" thickBot="1">
      <c r="A111" s="921"/>
      <c r="B111" s="711" t="s">
        <v>81</v>
      </c>
      <c r="C111" s="771">
        <f t="shared" ref="C111" si="45">SUM(C106+C110)</f>
        <v>147465</v>
      </c>
      <c r="D111" s="767">
        <f t="shared" ref="D111:E111" si="46">SUM(D106+D110)</f>
        <v>158865</v>
      </c>
      <c r="E111" s="767">
        <f t="shared" si="46"/>
        <v>160240</v>
      </c>
      <c r="F111" s="767">
        <f t="shared" ref="F111:G111" si="47">SUM(F106+F110)</f>
        <v>169081</v>
      </c>
      <c r="G111" s="767">
        <f t="shared" si="47"/>
        <v>169162</v>
      </c>
      <c r="H111" s="907">
        <f t="shared" ref="H111" si="48">SUM(H106+H110)</f>
        <v>160075</v>
      </c>
      <c r="I111" s="1431">
        <f>H111/G111</f>
        <v>0.94628226197372933</v>
      </c>
    </row>
    <row r="112" spans="1:9" ht="15">
      <c r="A112" s="922">
        <v>2315</v>
      </c>
      <c r="B112" s="713" t="s">
        <v>151</v>
      </c>
      <c r="C112" s="754"/>
      <c r="D112" s="754"/>
      <c r="E112" s="754"/>
      <c r="F112" s="754"/>
      <c r="G112" s="754"/>
      <c r="H112" s="902"/>
      <c r="I112" s="1444"/>
    </row>
    <row r="113" spans="1:9" ht="12.6" customHeight="1">
      <c r="A113" s="920"/>
      <c r="B113" s="696" t="s">
        <v>140</v>
      </c>
      <c r="C113" s="1443"/>
      <c r="D113" s="1443"/>
      <c r="E113" s="1443"/>
      <c r="F113" s="1443"/>
      <c r="G113" s="1443"/>
      <c r="H113" s="695"/>
      <c r="I113" s="916"/>
    </row>
    <row r="114" spans="1:9" ht="13.5" thickBot="1">
      <c r="A114" s="920"/>
      <c r="B114" s="697" t="s">
        <v>141</v>
      </c>
      <c r="C114" s="764"/>
      <c r="D114" s="764"/>
      <c r="E114" s="764"/>
      <c r="F114" s="764">
        <v>3068</v>
      </c>
      <c r="G114" s="764">
        <f>3068+850</f>
        <v>3918</v>
      </c>
      <c r="H114" s="903">
        <v>3918</v>
      </c>
      <c r="I114" s="1439">
        <f>H114/G114</f>
        <v>1</v>
      </c>
    </row>
    <row r="115" spans="1:9" ht="13.5" thickBot="1">
      <c r="A115" s="920"/>
      <c r="B115" s="689" t="s">
        <v>142</v>
      </c>
      <c r="C115" s="765"/>
      <c r="D115" s="765"/>
      <c r="E115" s="765"/>
      <c r="F115" s="765">
        <v>3068</v>
      </c>
      <c r="G115" s="765">
        <f>3068+850</f>
        <v>3918</v>
      </c>
      <c r="H115" s="904">
        <f>SUM(H114)</f>
        <v>3918</v>
      </c>
      <c r="I115" s="1431">
        <f>H115/G115</f>
        <v>1</v>
      </c>
    </row>
    <row r="116" spans="1:9">
      <c r="A116" s="920"/>
      <c r="B116" s="696" t="s">
        <v>143</v>
      </c>
      <c r="C116" s="754"/>
      <c r="D116" s="754"/>
      <c r="E116" s="754"/>
      <c r="F116" s="754"/>
      <c r="G116" s="754"/>
      <c r="H116" s="902"/>
      <c r="I116" s="1444"/>
    </row>
    <row r="117" spans="1:9">
      <c r="A117" s="920"/>
      <c r="B117" s="685" t="s">
        <v>144</v>
      </c>
      <c r="C117" s="757"/>
      <c r="D117" s="757"/>
      <c r="E117" s="757"/>
      <c r="F117" s="757"/>
      <c r="G117" s="757"/>
      <c r="H117" s="905"/>
      <c r="I117" s="916"/>
    </row>
    <row r="118" spans="1:9">
      <c r="A118" s="920"/>
      <c r="B118" s="685" t="s">
        <v>145</v>
      </c>
      <c r="C118" s="757"/>
      <c r="D118" s="757"/>
      <c r="E118" s="757"/>
      <c r="F118" s="757"/>
      <c r="G118" s="757"/>
      <c r="H118" s="905"/>
      <c r="I118" s="916"/>
    </row>
    <row r="119" spans="1:9">
      <c r="A119" s="920"/>
      <c r="B119" s="686" t="s">
        <v>146</v>
      </c>
      <c r="C119" s="754"/>
      <c r="D119" s="754"/>
      <c r="E119" s="754"/>
      <c r="F119" s="754"/>
      <c r="G119" s="754"/>
      <c r="H119" s="902"/>
      <c r="I119" s="916"/>
    </row>
    <row r="120" spans="1:9">
      <c r="A120" s="920"/>
      <c r="B120" s="686" t="s">
        <v>147</v>
      </c>
      <c r="C120" s="754"/>
      <c r="D120" s="754"/>
      <c r="E120" s="754"/>
      <c r="F120" s="754"/>
      <c r="G120" s="754"/>
      <c r="H120" s="902"/>
      <c r="I120" s="916"/>
    </row>
    <row r="121" spans="1:9">
      <c r="A121" s="920"/>
      <c r="B121" s="686" t="s">
        <v>148</v>
      </c>
      <c r="C121" s="754"/>
      <c r="D121" s="754"/>
      <c r="E121" s="754"/>
      <c r="F121" s="754"/>
      <c r="G121" s="754"/>
      <c r="H121" s="902"/>
      <c r="I121" s="916"/>
    </row>
    <row r="122" spans="1:9">
      <c r="A122" s="920"/>
      <c r="B122" s="686" t="s">
        <v>274</v>
      </c>
      <c r="C122" s="754"/>
      <c r="D122" s="754"/>
      <c r="E122" s="754"/>
      <c r="F122" s="754"/>
      <c r="G122" s="754"/>
      <c r="H122" s="902"/>
      <c r="I122" s="916"/>
    </row>
    <row r="123" spans="1:9">
      <c r="A123" s="920"/>
      <c r="B123" s="687" t="s">
        <v>351</v>
      </c>
      <c r="C123" s="754"/>
      <c r="D123" s="754"/>
      <c r="E123" s="754"/>
      <c r="F123" s="754"/>
      <c r="G123" s="754"/>
      <c r="H123" s="902"/>
      <c r="I123" s="916"/>
    </row>
    <row r="124" spans="1:9" ht="13.5" thickBot="1">
      <c r="A124" s="920"/>
      <c r="B124" s="688" t="s">
        <v>149</v>
      </c>
      <c r="C124" s="1447"/>
      <c r="D124" s="1447"/>
      <c r="E124" s="1447"/>
      <c r="F124" s="1447">
        <v>34</v>
      </c>
      <c r="G124" s="1447">
        <v>34</v>
      </c>
      <c r="H124" s="1448">
        <v>34</v>
      </c>
      <c r="I124" s="1439">
        <f>H124/G124</f>
        <v>1</v>
      </c>
    </row>
    <row r="125" spans="1:9" ht="13.5" thickBot="1">
      <c r="A125" s="920"/>
      <c r="B125" s="689" t="s">
        <v>270</v>
      </c>
      <c r="C125" s="767"/>
      <c r="D125" s="767"/>
      <c r="E125" s="767"/>
      <c r="F125" s="767">
        <v>34</v>
      </c>
      <c r="G125" s="767">
        <v>34</v>
      </c>
      <c r="H125" s="907">
        <f>SUM(H118:H124)</f>
        <v>34</v>
      </c>
      <c r="I125" s="1431">
        <f>H125/G125</f>
        <v>1</v>
      </c>
    </row>
    <row r="126" spans="1:9" ht="13.5" thickBot="1">
      <c r="A126" s="920"/>
      <c r="B126" s="690" t="s">
        <v>176</v>
      </c>
      <c r="C126" s="767"/>
      <c r="D126" s="767"/>
      <c r="E126" s="767"/>
      <c r="F126" s="767"/>
      <c r="G126" s="767"/>
      <c r="H126" s="907"/>
      <c r="I126" s="1434"/>
    </row>
    <row r="127" spans="1:9" ht="13.5" thickBot="1">
      <c r="A127" s="920"/>
      <c r="B127" s="691" t="s">
        <v>44</v>
      </c>
      <c r="C127" s="770"/>
      <c r="D127" s="770"/>
      <c r="E127" s="770"/>
      <c r="F127" s="773">
        <f>F115+F124</f>
        <v>3102</v>
      </c>
      <c r="G127" s="773">
        <f>G115+G124</f>
        <v>3952</v>
      </c>
      <c r="H127" s="756">
        <f>H115+H124</f>
        <v>3952</v>
      </c>
      <c r="I127" s="1431">
        <f t="shared" ref="I127:I132" si="49">H127/G127</f>
        <v>1</v>
      </c>
    </row>
    <row r="128" spans="1:9" ht="13.5" thickBot="1">
      <c r="A128" s="920"/>
      <c r="B128" s="699" t="s">
        <v>359</v>
      </c>
      <c r="C128" s="768"/>
      <c r="D128" s="768"/>
      <c r="E128" s="768"/>
      <c r="F128" s="768">
        <v>600</v>
      </c>
      <c r="G128" s="768">
        <v>600</v>
      </c>
      <c r="H128" s="908">
        <v>600</v>
      </c>
      <c r="I128" s="1439">
        <f t="shared" si="49"/>
        <v>1</v>
      </c>
    </row>
    <row r="129" spans="1:9" ht="13.5" thickBot="1">
      <c r="A129" s="920"/>
      <c r="B129" s="700" t="s">
        <v>45</v>
      </c>
      <c r="C129" s="769"/>
      <c r="D129" s="769"/>
      <c r="E129" s="769"/>
      <c r="F129" s="769">
        <v>600</v>
      </c>
      <c r="G129" s="769">
        <v>600</v>
      </c>
      <c r="H129" s="909">
        <f>SUM(H128)</f>
        <v>600</v>
      </c>
      <c r="I129" s="1431">
        <f t="shared" si="49"/>
        <v>1</v>
      </c>
    </row>
    <row r="130" spans="1:9">
      <c r="A130" s="920"/>
      <c r="B130" s="701" t="s">
        <v>327</v>
      </c>
      <c r="C130" s="1428"/>
      <c r="D130" s="1428">
        <v>5664</v>
      </c>
      <c r="E130" s="1428">
        <v>5664</v>
      </c>
      <c r="F130" s="1428">
        <v>5664</v>
      </c>
      <c r="G130" s="1428">
        <v>5664</v>
      </c>
      <c r="H130" s="760">
        <v>5664</v>
      </c>
      <c r="I130" s="1438">
        <f t="shared" si="49"/>
        <v>1</v>
      </c>
    </row>
    <row r="131" spans="1:9" ht="13.5" thickBot="1">
      <c r="A131" s="920"/>
      <c r="B131" s="702" t="s">
        <v>355</v>
      </c>
      <c r="C131" s="1448">
        <v>529891</v>
      </c>
      <c r="D131" s="1448">
        <f>529891+3056-4499</f>
        <v>528448</v>
      </c>
      <c r="E131" s="1448">
        <f>528448+6468</f>
        <v>534916</v>
      </c>
      <c r="F131" s="1448">
        <f>528448+6468+22303</f>
        <v>557219</v>
      </c>
      <c r="G131" s="1448">
        <f>528448+6468+22303</f>
        <v>557219</v>
      </c>
      <c r="H131" s="1448">
        <v>547412</v>
      </c>
      <c r="I131" s="1439">
        <f t="shared" si="49"/>
        <v>0.98240009762768321</v>
      </c>
    </row>
    <row r="132" spans="1:9" ht="13.5" thickBot="1">
      <c r="A132" s="920"/>
      <c r="B132" s="703" t="s">
        <v>38</v>
      </c>
      <c r="C132" s="769">
        <f t="shared" ref="C132" si="50">SUM(C130:C131)</f>
        <v>529891</v>
      </c>
      <c r="D132" s="769">
        <f t="shared" ref="D132:E132" si="51">SUM(D130:D131)</f>
        <v>534112</v>
      </c>
      <c r="E132" s="769">
        <f t="shared" si="51"/>
        <v>540580</v>
      </c>
      <c r="F132" s="769">
        <f t="shared" ref="F132:G132" si="52">SUM(F130:F131)</f>
        <v>562883</v>
      </c>
      <c r="G132" s="769">
        <f t="shared" si="52"/>
        <v>562883</v>
      </c>
      <c r="H132" s="909">
        <f t="shared" ref="H132" si="53">SUM(H130:H131)</f>
        <v>553076</v>
      </c>
      <c r="I132" s="1431">
        <f t="shared" si="49"/>
        <v>0.98257719632676777</v>
      </c>
    </row>
    <row r="133" spans="1:9" ht="13.5" thickBot="1">
      <c r="A133" s="920"/>
      <c r="B133" s="704" t="s">
        <v>327</v>
      </c>
      <c r="C133" s="768"/>
      <c r="D133" s="768"/>
      <c r="E133" s="768"/>
      <c r="F133" s="768"/>
      <c r="G133" s="768"/>
      <c r="H133" s="908"/>
      <c r="I133" s="1441"/>
    </row>
    <row r="134" spans="1:9" ht="13.5" thickBot="1">
      <c r="A134" s="920"/>
      <c r="B134" s="703" t="s">
        <v>40</v>
      </c>
      <c r="C134" s="769"/>
      <c r="D134" s="769"/>
      <c r="E134" s="769"/>
      <c r="F134" s="769"/>
      <c r="G134" s="769"/>
      <c r="H134" s="909"/>
      <c r="I134" s="1441"/>
    </row>
    <row r="135" spans="1:9" ht="15.75" thickBot="1">
      <c r="A135" s="920"/>
      <c r="B135" s="705" t="s">
        <v>49</v>
      </c>
      <c r="C135" s="771">
        <f t="shared" ref="C135" si="54">SUM(C127+C129+C132+C134)</f>
        <v>529891</v>
      </c>
      <c r="D135" s="767">
        <f t="shared" ref="D135:E135" si="55">SUM(D127+D129+D132+D134)</f>
        <v>534112</v>
      </c>
      <c r="E135" s="767">
        <f t="shared" si="55"/>
        <v>540580</v>
      </c>
      <c r="F135" s="767">
        <f t="shared" ref="F135:G135" si="56">SUM(F127+F129+F132+F134)</f>
        <v>566585</v>
      </c>
      <c r="G135" s="767">
        <f t="shared" si="56"/>
        <v>567435</v>
      </c>
      <c r="H135" s="907">
        <f t="shared" ref="H135" si="57">SUM(H127+H129+H132+H134)</f>
        <v>557628</v>
      </c>
      <c r="I135" s="1431">
        <f>H135/G135</f>
        <v>0.98271696317639901</v>
      </c>
    </row>
    <row r="136" spans="1:9">
      <c r="A136" s="920"/>
      <c r="B136" s="706" t="s">
        <v>251</v>
      </c>
      <c r="C136" s="754">
        <v>450140</v>
      </c>
      <c r="D136" s="754">
        <f>450140+713+3-4016</f>
        <v>446840</v>
      </c>
      <c r="E136" s="754">
        <f>446840+1492</f>
        <v>448332</v>
      </c>
      <c r="F136" s="754">
        <f>446840+1492+20646</f>
        <v>468978</v>
      </c>
      <c r="G136" s="754">
        <f>446840+1492+20646</f>
        <v>468978</v>
      </c>
      <c r="H136" s="754">
        <v>462960</v>
      </c>
      <c r="I136" s="1439">
        <f>H136/G136</f>
        <v>0.98716784156186432</v>
      </c>
    </row>
    <row r="137" spans="1:9">
      <c r="A137" s="920"/>
      <c r="B137" s="706" t="s">
        <v>252</v>
      </c>
      <c r="C137" s="754">
        <v>68092</v>
      </c>
      <c r="D137" s="754">
        <f>68092+1990-483</f>
        <v>69599</v>
      </c>
      <c r="E137" s="754">
        <f>69599+187</f>
        <v>69786</v>
      </c>
      <c r="F137" s="754">
        <f>69599+187+1657</f>
        <v>71443</v>
      </c>
      <c r="G137" s="754">
        <f>69599+187+1657</f>
        <v>71443</v>
      </c>
      <c r="H137" s="754">
        <v>67301</v>
      </c>
      <c r="I137" s="1439">
        <f>H137/G137</f>
        <v>0.94202371121033546</v>
      </c>
    </row>
    <row r="138" spans="1:9">
      <c r="A138" s="920"/>
      <c r="B138" s="706" t="s">
        <v>253</v>
      </c>
      <c r="C138" s="754">
        <v>10897</v>
      </c>
      <c r="D138" s="754">
        <f>10897+2961+2203</f>
        <v>16061</v>
      </c>
      <c r="E138" s="754">
        <f>16061+2089</f>
        <v>18150</v>
      </c>
      <c r="F138" s="754">
        <f>16061+2089+3102</f>
        <v>21252</v>
      </c>
      <c r="G138" s="754">
        <f>16061+2089+3102+850</f>
        <v>22102</v>
      </c>
      <c r="H138" s="754">
        <v>15848</v>
      </c>
      <c r="I138" s="1439">
        <f>H138/G138</f>
        <v>0.71703918197448191</v>
      </c>
    </row>
    <row r="139" spans="1:9">
      <c r="A139" s="920"/>
      <c r="B139" s="707" t="s">
        <v>255</v>
      </c>
      <c r="C139" s="754"/>
      <c r="D139" s="754"/>
      <c r="E139" s="754"/>
      <c r="F139" s="754"/>
      <c r="G139" s="754"/>
      <c r="H139" s="754"/>
      <c r="I139" s="916"/>
    </row>
    <row r="140" spans="1:9" ht="13.5" thickBot="1">
      <c r="A140" s="920"/>
      <c r="B140" s="708" t="s">
        <v>254</v>
      </c>
      <c r="C140" s="766"/>
      <c r="D140" s="766"/>
      <c r="E140" s="766"/>
      <c r="F140" s="766"/>
      <c r="G140" s="766"/>
      <c r="H140" s="906"/>
      <c r="I140" s="1434"/>
    </row>
    <row r="141" spans="1:9" ht="13.5" thickBot="1">
      <c r="A141" s="920"/>
      <c r="B141" s="709" t="s">
        <v>37</v>
      </c>
      <c r="C141" s="771">
        <f t="shared" ref="C141" si="58">SUM(C136:C140)</f>
        <v>529129</v>
      </c>
      <c r="D141" s="767">
        <f t="shared" ref="D141:E141" si="59">SUM(D136:D140)</f>
        <v>532500</v>
      </c>
      <c r="E141" s="767">
        <f t="shared" si="59"/>
        <v>536268</v>
      </c>
      <c r="F141" s="767">
        <f t="shared" ref="F141:G141" si="60">SUM(F136:F140)</f>
        <v>561673</v>
      </c>
      <c r="G141" s="767">
        <f t="shared" si="60"/>
        <v>562523</v>
      </c>
      <c r="H141" s="907">
        <f t="shared" ref="H141" si="61">SUM(H136:H140)</f>
        <v>546109</v>
      </c>
      <c r="I141" s="1431">
        <f>H141/G141</f>
        <v>0.97082074866272139</v>
      </c>
    </row>
    <row r="142" spans="1:9">
      <c r="A142" s="920"/>
      <c r="B142" s="706" t="s">
        <v>759</v>
      </c>
      <c r="C142" s="1428">
        <v>762</v>
      </c>
      <c r="D142" s="1428">
        <f>762+850</f>
        <v>1612</v>
      </c>
      <c r="E142" s="1428">
        <f>1612+2700</f>
        <v>4312</v>
      </c>
      <c r="F142" s="1428">
        <f>1612+2700+600</f>
        <v>4912</v>
      </c>
      <c r="G142" s="1428">
        <f>1612+2700+600</f>
        <v>4912</v>
      </c>
      <c r="H142" s="760">
        <v>4648</v>
      </c>
      <c r="I142" s="1439">
        <f>H142/G142</f>
        <v>0.94625407166123776</v>
      </c>
    </row>
    <row r="143" spans="1:9">
      <c r="A143" s="920"/>
      <c r="B143" s="706" t="s">
        <v>196</v>
      </c>
      <c r="C143" s="754"/>
      <c r="D143" s="754"/>
      <c r="E143" s="754"/>
      <c r="F143" s="754"/>
      <c r="G143" s="754"/>
      <c r="H143" s="902"/>
      <c r="I143" s="916"/>
    </row>
    <row r="144" spans="1:9" ht="13.5" thickBot="1">
      <c r="A144" s="920"/>
      <c r="B144" s="708" t="s">
        <v>336</v>
      </c>
      <c r="C144" s="766"/>
      <c r="D144" s="766"/>
      <c r="E144" s="766"/>
      <c r="F144" s="766"/>
      <c r="G144" s="766"/>
      <c r="H144" s="906"/>
      <c r="I144" s="1434"/>
    </row>
    <row r="145" spans="1:9" ht="13.5" thickBot="1">
      <c r="A145" s="920"/>
      <c r="B145" s="710" t="s">
        <v>43</v>
      </c>
      <c r="C145" s="771">
        <f t="shared" ref="C145" si="62">SUM(C142:C144)</f>
        <v>762</v>
      </c>
      <c r="D145" s="767">
        <f t="shared" ref="D145:E145" si="63">SUM(D142:D144)</f>
        <v>1612</v>
      </c>
      <c r="E145" s="767">
        <f t="shared" si="63"/>
        <v>4312</v>
      </c>
      <c r="F145" s="767">
        <f t="shared" ref="F145:G145" si="64">SUM(F142:F144)</f>
        <v>4912</v>
      </c>
      <c r="G145" s="767">
        <f t="shared" si="64"/>
        <v>4912</v>
      </c>
      <c r="H145" s="907">
        <f t="shared" ref="H145" si="65">SUM(H142:H144)</f>
        <v>4648</v>
      </c>
      <c r="I145" s="1431">
        <f>H145/G145</f>
        <v>0.94625407166123776</v>
      </c>
    </row>
    <row r="146" spans="1:9" ht="15.75" thickBot="1">
      <c r="A146" s="921"/>
      <c r="B146" s="711" t="s">
        <v>81</v>
      </c>
      <c r="C146" s="771">
        <f t="shared" ref="C146" si="66">SUM(C141+C145)</f>
        <v>529891</v>
      </c>
      <c r="D146" s="767">
        <f t="shared" ref="D146:E146" si="67">SUM(D141+D145)</f>
        <v>534112</v>
      </c>
      <c r="E146" s="767">
        <f t="shared" si="67"/>
        <v>540580</v>
      </c>
      <c r="F146" s="767">
        <f t="shared" ref="F146:G146" si="68">SUM(F141+F145)</f>
        <v>566585</v>
      </c>
      <c r="G146" s="767">
        <f t="shared" si="68"/>
        <v>567435</v>
      </c>
      <c r="H146" s="907">
        <f t="shared" ref="H146" si="69">SUM(H141+H145)</f>
        <v>550757</v>
      </c>
      <c r="I146" s="1431">
        <f>H146/G146</f>
        <v>0.97060808726990755</v>
      </c>
    </row>
    <row r="147" spans="1:9" ht="15">
      <c r="A147" s="922">
        <v>2325</v>
      </c>
      <c r="B147" s="714" t="s">
        <v>258</v>
      </c>
      <c r="C147" s="754"/>
      <c r="D147" s="754"/>
      <c r="E147" s="754"/>
      <c r="F147" s="754"/>
      <c r="G147" s="754"/>
      <c r="H147" s="902"/>
      <c r="I147" s="1444"/>
    </row>
    <row r="148" spans="1:9" ht="12.6" customHeight="1">
      <c r="A148" s="920"/>
      <c r="B148" s="696" t="s">
        <v>140</v>
      </c>
      <c r="C148" s="1443"/>
      <c r="D148" s="1443"/>
      <c r="E148" s="1443"/>
      <c r="F148" s="1443"/>
      <c r="G148" s="1443"/>
      <c r="H148" s="695"/>
      <c r="I148" s="916"/>
    </row>
    <row r="149" spans="1:9" ht="13.5" thickBot="1">
      <c r="A149" s="920"/>
      <c r="B149" s="697" t="s">
        <v>141</v>
      </c>
      <c r="C149" s="764"/>
      <c r="D149" s="764"/>
      <c r="E149" s="764"/>
      <c r="F149" s="764">
        <v>2200</v>
      </c>
      <c r="G149" s="764">
        <f>2200+150</f>
        <v>2350</v>
      </c>
      <c r="H149" s="903">
        <v>2350</v>
      </c>
      <c r="I149" s="1439">
        <f>H149/G149</f>
        <v>1</v>
      </c>
    </row>
    <row r="150" spans="1:9" ht="13.5" thickBot="1">
      <c r="A150" s="920"/>
      <c r="B150" s="689" t="s">
        <v>142</v>
      </c>
      <c r="C150" s="765"/>
      <c r="D150" s="765"/>
      <c r="E150" s="765"/>
      <c r="F150" s="765">
        <v>2200</v>
      </c>
      <c r="G150" s="765">
        <f>2200+150</f>
        <v>2350</v>
      </c>
      <c r="H150" s="904">
        <f>SUM(H149)</f>
        <v>2350</v>
      </c>
      <c r="I150" s="1431">
        <f>H150/G150</f>
        <v>1</v>
      </c>
    </row>
    <row r="151" spans="1:9">
      <c r="A151" s="920"/>
      <c r="B151" s="696" t="s">
        <v>143</v>
      </c>
      <c r="C151" s="754"/>
      <c r="D151" s="754"/>
      <c r="E151" s="754"/>
      <c r="F151" s="754"/>
      <c r="G151" s="754"/>
      <c r="H151" s="902"/>
      <c r="I151" s="1444"/>
    </row>
    <row r="152" spans="1:9">
      <c r="A152" s="920"/>
      <c r="B152" s="685" t="s">
        <v>144</v>
      </c>
      <c r="C152" s="757"/>
      <c r="D152" s="757"/>
      <c r="E152" s="757"/>
      <c r="F152" s="757"/>
      <c r="G152" s="757"/>
      <c r="H152" s="905"/>
      <c r="I152" s="916"/>
    </row>
    <row r="153" spans="1:9">
      <c r="A153" s="920"/>
      <c r="B153" s="685" t="s">
        <v>145</v>
      </c>
      <c r="C153" s="757"/>
      <c r="D153" s="757"/>
      <c r="E153" s="757"/>
      <c r="F153" s="757"/>
      <c r="G153" s="757"/>
      <c r="H153" s="905"/>
      <c r="I153" s="916"/>
    </row>
    <row r="154" spans="1:9">
      <c r="A154" s="920"/>
      <c r="B154" s="686" t="s">
        <v>146</v>
      </c>
      <c r="C154" s="754"/>
      <c r="D154" s="754"/>
      <c r="E154" s="754"/>
      <c r="F154" s="754"/>
      <c r="G154" s="754"/>
      <c r="H154" s="902"/>
      <c r="I154" s="916"/>
    </row>
    <row r="155" spans="1:9">
      <c r="A155" s="920"/>
      <c r="B155" s="686" t="s">
        <v>147</v>
      </c>
      <c r="C155" s="754"/>
      <c r="D155" s="754"/>
      <c r="E155" s="754"/>
      <c r="F155" s="754"/>
      <c r="G155" s="754"/>
      <c r="H155" s="902"/>
      <c r="I155" s="916"/>
    </row>
    <row r="156" spans="1:9">
      <c r="A156" s="920"/>
      <c r="B156" s="686" t="s">
        <v>148</v>
      </c>
      <c r="C156" s="754"/>
      <c r="D156" s="754"/>
      <c r="E156" s="754"/>
      <c r="F156" s="754"/>
      <c r="G156" s="754"/>
      <c r="H156" s="902"/>
      <c r="I156" s="916"/>
    </row>
    <row r="157" spans="1:9">
      <c r="A157" s="920"/>
      <c r="B157" s="687" t="s">
        <v>351</v>
      </c>
      <c r="C157" s="754"/>
      <c r="D157" s="754"/>
      <c r="E157" s="754"/>
      <c r="F157" s="754"/>
      <c r="G157" s="754"/>
      <c r="H157" s="902"/>
      <c r="I157" s="916"/>
    </row>
    <row r="158" spans="1:9" ht="13.5" thickBot="1">
      <c r="A158" s="920"/>
      <c r="B158" s="688" t="s">
        <v>149</v>
      </c>
      <c r="C158" s="766"/>
      <c r="D158" s="766"/>
      <c r="E158" s="766"/>
      <c r="F158" s="766"/>
      <c r="G158" s="766"/>
      <c r="H158" s="906"/>
      <c r="I158" s="1434"/>
    </row>
    <row r="159" spans="1:9" ht="13.5" thickBot="1">
      <c r="A159" s="920"/>
      <c r="B159" s="689" t="s">
        <v>270</v>
      </c>
      <c r="C159" s="767"/>
      <c r="D159" s="767"/>
      <c r="E159" s="767"/>
      <c r="F159" s="767"/>
      <c r="G159" s="767"/>
      <c r="H159" s="907"/>
      <c r="I159" s="1434"/>
    </row>
    <row r="160" spans="1:9" ht="13.5" thickBot="1">
      <c r="A160" s="920"/>
      <c r="B160" s="690" t="s">
        <v>176</v>
      </c>
      <c r="C160" s="767"/>
      <c r="D160" s="767"/>
      <c r="E160" s="767"/>
      <c r="F160" s="767"/>
      <c r="G160" s="767"/>
      <c r="H160" s="907"/>
      <c r="I160" s="1434"/>
    </row>
    <row r="161" spans="1:9" ht="13.5" thickBot="1">
      <c r="A161" s="920"/>
      <c r="B161" s="691" t="s">
        <v>44</v>
      </c>
      <c r="C161" s="770"/>
      <c r="D161" s="770"/>
      <c r="E161" s="770"/>
      <c r="F161" s="770">
        <f>F150</f>
        <v>2200</v>
      </c>
      <c r="G161" s="769">
        <f>G150</f>
        <v>2350</v>
      </c>
      <c r="H161" s="909">
        <f>H150</f>
        <v>2350</v>
      </c>
      <c r="I161" s="1431">
        <f t="shared" ref="I161:I166" si="70">H161/G161</f>
        <v>1</v>
      </c>
    </row>
    <row r="162" spans="1:9" ht="13.5" thickBot="1">
      <c r="A162" s="920"/>
      <c r="B162" s="715" t="s">
        <v>359</v>
      </c>
      <c r="C162" s="1432"/>
      <c r="D162" s="1432"/>
      <c r="E162" s="1432"/>
      <c r="F162" s="1432">
        <v>300</v>
      </c>
      <c r="G162" s="768">
        <v>300</v>
      </c>
      <c r="H162" s="908">
        <v>300</v>
      </c>
      <c r="I162" s="1439">
        <f t="shared" si="70"/>
        <v>1</v>
      </c>
    </row>
    <row r="163" spans="1:9" ht="13.5" thickBot="1">
      <c r="A163" s="920"/>
      <c r="B163" s="716" t="s">
        <v>45</v>
      </c>
      <c r="C163" s="770"/>
      <c r="D163" s="770"/>
      <c r="E163" s="770"/>
      <c r="F163" s="770">
        <v>300</v>
      </c>
      <c r="G163" s="769">
        <v>300</v>
      </c>
      <c r="H163" s="909">
        <f>SUM(H162)</f>
        <v>300</v>
      </c>
      <c r="I163" s="1431">
        <f t="shared" si="70"/>
        <v>1</v>
      </c>
    </row>
    <row r="164" spans="1:9">
      <c r="A164" s="920"/>
      <c r="B164" s="701" t="s">
        <v>327</v>
      </c>
      <c r="C164" s="1428"/>
      <c r="D164" s="1428">
        <v>2316</v>
      </c>
      <c r="E164" s="1428">
        <v>2316</v>
      </c>
      <c r="F164" s="1428">
        <v>2316</v>
      </c>
      <c r="G164" s="1428">
        <v>2316</v>
      </c>
      <c r="H164" s="1428">
        <v>2316</v>
      </c>
      <c r="I164" s="1438">
        <f t="shared" si="70"/>
        <v>1</v>
      </c>
    </row>
    <row r="165" spans="1:9" ht="13.5" thickBot="1">
      <c r="A165" s="920"/>
      <c r="B165" s="702" t="s">
        <v>355</v>
      </c>
      <c r="C165" s="766">
        <v>307916</v>
      </c>
      <c r="D165" s="766">
        <f>307916+1780</f>
        <v>309696</v>
      </c>
      <c r="E165" s="766">
        <f>309696+2053</f>
        <v>311749</v>
      </c>
      <c r="F165" s="766">
        <f>309696+2053+19205</f>
        <v>330954</v>
      </c>
      <c r="G165" s="766">
        <f>309696+2053+19205</f>
        <v>330954</v>
      </c>
      <c r="H165" s="766">
        <v>321433</v>
      </c>
      <c r="I165" s="1439">
        <f t="shared" si="70"/>
        <v>0.97123165152861124</v>
      </c>
    </row>
    <row r="166" spans="1:9" ht="13.5" thickBot="1">
      <c r="A166" s="920"/>
      <c r="B166" s="703" t="s">
        <v>38</v>
      </c>
      <c r="C166" s="769">
        <f t="shared" ref="C166" si="71">SUM(C164:C165)</f>
        <v>307916</v>
      </c>
      <c r="D166" s="769">
        <f t="shared" ref="D166:E166" si="72">SUM(D164:D165)</f>
        <v>312012</v>
      </c>
      <c r="E166" s="769">
        <f t="shared" si="72"/>
        <v>314065</v>
      </c>
      <c r="F166" s="769">
        <f t="shared" ref="F166:G166" si="73">SUM(F164:F165)</f>
        <v>333270</v>
      </c>
      <c r="G166" s="769">
        <f t="shared" si="73"/>
        <v>333270</v>
      </c>
      <c r="H166" s="769">
        <f t="shared" ref="H166" si="74">SUM(H164:H165)</f>
        <v>323749</v>
      </c>
      <c r="I166" s="1431">
        <f t="shared" si="70"/>
        <v>0.9714315719986798</v>
      </c>
    </row>
    <row r="167" spans="1:9" ht="13.5" thickBot="1">
      <c r="A167" s="920"/>
      <c r="B167" s="704" t="s">
        <v>327</v>
      </c>
      <c r="C167" s="768"/>
      <c r="D167" s="768"/>
      <c r="E167" s="768"/>
      <c r="F167" s="768"/>
      <c r="G167" s="768"/>
      <c r="H167" s="908"/>
      <c r="I167" s="1441"/>
    </row>
    <row r="168" spans="1:9" ht="13.5" thickBot="1">
      <c r="A168" s="920"/>
      <c r="B168" s="703" t="s">
        <v>40</v>
      </c>
      <c r="C168" s="769"/>
      <c r="D168" s="769"/>
      <c r="E168" s="769"/>
      <c r="F168" s="769"/>
      <c r="G168" s="769"/>
      <c r="H168" s="909"/>
      <c r="I168" s="1441"/>
    </row>
    <row r="169" spans="1:9" ht="15.75" thickBot="1">
      <c r="A169" s="920"/>
      <c r="B169" s="705" t="s">
        <v>49</v>
      </c>
      <c r="C169" s="771">
        <f t="shared" ref="C169:H169" si="75">SUM(C161+C163+C166+C168)</f>
        <v>307916</v>
      </c>
      <c r="D169" s="767">
        <f t="shared" si="75"/>
        <v>312012</v>
      </c>
      <c r="E169" s="767">
        <f t="shared" si="75"/>
        <v>314065</v>
      </c>
      <c r="F169" s="767">
        <f t="shared" si="75"/>
        <v>335770</v>
      </c>
      <c r="G169" s="767">
        <f t="shared" si="75"/>
        <v>335920</v>
      </c>
      <c r="H169" s="907">
        <f t="shared" si="75"/>
        <v>326399</v>
      </c>
      <c r="I169" s="1431">
        <f>H169/G169</f>
        <v>0.97165694212907838</v>
      </c>
    </row>
    <row r="170" spans="1:9">
      <c r="A170" s="920"/>
      <c r="B170" s="706" t="s">
        <v>251</v>
      </c>
      <c r="C170" s="754">
        <v>254580</v>
      </c>
      <c r="D170" s="754">
        <f>254580+705</f>
        <v>255285</v>
      </c>
      <c r="E170" s="754">
        <f>255285+1020</f>
        <v>256305</v>
      </c>
      <c r="F170" s="754">
        <f>255285+1020+17410</f>
        <v>273715</v>
      </c>
      <c r="G170" s="754">
        <f>255285+1020+17410</f>
        <v>273715</v>
      </c>
      <c r="H170" s="754">
        <v>271415</v>
      </c>
      <c r="I170" s="1439">
        <f>H170/G170</f>
        <v>0.99159709917249694</v>
      </c>
    </row>
    <row r="171" spans="1:9">
      <c r="A171" s="920"/>
      <c r="B171" s="706" t="s">
        <v>252</v>
      </c>
      <c r="C171" s="754">
        <v>38406</v>
      </c>
      <c r="D171" s="754">
        <f>38406+1094</f>
        <v>39500</v>
      </c>
      <c r="E171" s="754">
        <f>39500+133</f>
        <v>39633</v>
      </c>
      <c r="F171" s="754">
        <f>39500+133+1795</f>
        <v>41428</v>
      </c>
      <c r="G171" s="754">
        <f>39500+133+1795</f>
        <v>41428</v>
      </c>
      <c r="H171" s="754">
        <v>39045</v>
      </c>
      <c r="I171" s="1439">
        <f>H171/G171</f>
        <v>0.94247851694506135</v>
      </c>
    </row>
    <row r="172" spans="1:9">
      <c r="A172" s="920"/>
      <c r="B172" s="706" t="s">
        <v>253</v>
      </c>
      <c r="C172" s="754">
        <v>6954</v>
      </c>
      <c r="D172" s="754">
        <f>6954+517+1780</f>
        <v>9251</v>
      </c>
      <c r="E172" s="754">
        <f>9251-611</f>
        <v>8640</v>
      </c>
      <c r="F172" s="754">
        <f>9251-611+2200</f>
        <v>10840</v>
      </c>
      <c r="G172" s="754">
        <f>9251-611+2200+150</f>
        <v>10990</v>
      </c>
      <c r="H172" s="754">
        <v>8626</v>
      </c>
      <c r="I172" s="1439">
        <f>H172/G172</f>
        <v>0.78489535941765243</v>
      </c>
    </row>
    <row r="173" spans="1:9">
      <c r="A173" s="920"/>
      <c r="B173" s="707" t="s">
        <v>255</v>
      </c>
      <c r="C173" s="754"/>
      <c r="D173" s="754"/>
      <c r="E173" s="754"/>
      <c r="F173" s="754"/>
      <c r="G173" s="754"/>
      <c r="H173" s="754"/>
      <c r="I173" s="916"/>
    </row>
    <row r="174" spans="1:9" ht="13.5" thickBot="1">
      <c r="A174" s="920"/>
      <c r="B174" s="708" t="s">
        <v>254</v>
      </c>
      <c r="C174" s="766"/>
      <c r="D174" s="766"/>
      <c r="E174" s="766">
        <v>611</v>
      </c>
      <c r="F174" s="766">
        <v>611</v>
      </c>
      <c r="G174" s="766">
        <v>611</v>
      </c>
      <c r="H174" s="906">
        <v>611</v>
      </c>
      <c r="I174" s="1439">
        <f t="shared" ref="I174" si="76">H174/G174</f>
        <v>1</v>
      </c>
    </row>
    <row r="175" spans="1:9" ht="13.5" thickBot="1">
      <c r="A175" s="920"/>
      <c r="B175" s="709" t="s">
        <v>37</v>
      </c>
      <c r="C175" s="767">
        <f t="shared" ref="C175" si="77">SUM(C170:C174)</f>
        <v>299940</v>
      </c>
      <c r="D175" s="767">
        <f t="shared" ref="D175:E175" si="78">SUM(D170:D174)</f>
        <v>304036</v>
      </c>
      <c r="E175" s="767">
        <f t="shared" si="78"/>
        <v>305189</v>
      </c>
      <c r="F175" s="767">
        <f t="shared" ref="F175:G175" si="79">SUM(F170:F174)</f>
        <v>326594</v>
      </c>
      <c r="G175" s="767">
        <f t="shared" si="79"/>
        <v>326744</v>
      </c>
      <c r="H175" s="907">
        <f t="shared" ref="H175" si="80">SUM(H170:H174)</f>
        <v>319697</v>
      </c>
      <c r="I175" s="1431">
        <f>H175/G175</f>
        <v>0.97843265675880808</v>
      </c>
    </row>
    <row r="176" spans="1:9">
      <c r="A176" s="920"/>
      <c r="B176" s="706" t="s">
        <v>759</v>
      </c>
      <c r="C176" s="754">
        <v>7976</v>
      </c>
      <c r="D176" s="754">
        <v>7976</v>
      </c>
      <c r="E176" s="754">
        <f>7976+900</f>
        <v>8876</v>
      </c>
      <c r="F176" s="754">
        <f>7976+900+300</f>
        <v>9176</v>
      </c>
      <c r="G176" s="754">
        <f>7976+900+300</f>
        <v>9176</v>
      </c>
      <c r="H176" s="902">
        <v>3209</v>
      </c>
      <c r="I176" s="1439">
        <f>H176/G176</f>
        <v>0.349716652136007</v>
      </c>
    </row>
    <row r="177" spans="1:9">
      <c r="A177" s="920"/>
      <c r="B177" s="706" t="s">
        <v>196</v>
      </c>
      <c r="C177" s="754"/>
      <c r="D177" s="754"/>
      <c r="E177" s="754"/>
      <c r="F177" s="754"/>
      <c r="G177" s="754"/>
      <c r="H177" s="902"/>
      <c r="I177" s="916"/>
    </row>
    <row r="178" spans="1:9" ht="13.5" thickBot="1">
      <c r="A178" s="920"/>
      <c r="B178" s="708" t="s">
        <v>336</v>
      </c>
      <c r="C178" s="766"/>
      <c r="D178" s="766"/>
      <c r="E178" s="766"/>
      <c r="F178" s="766"/>
      <c r="G178" s="766"/>
      <c r="H178" s="906"/>
      <c r="I178" s="1434"/>
    </row>
    <row r="179" spans="1:9" ht="13.5" thickBot="1">
      <c r="A179" s="920"/>
      <c r="B179" s="710" t="s">
        <v>43</v>
      </c>
      <c r="C179" s="767">
        <f t="shared" ref="C179" si="81">SUM(C176:C178)</f>
        <v>7976</v>
      </c>
      <c r="D179" s="767">
        <f t="shared" ref="D179:E179" si="82">SUM(D176:D178)</f>
        <v>7976</v>
      </c>
      <c r="E179" s="767">
        <f t="shared" si="82"/>
        <v>8876</v>
      </c>
      <c r="F179" s="767">
        <f t="shared" ref="F179:G179" si="83">SUM(F176:F178)</f>
        <v>9176</v>
      </c>
      <c r="G179" s="767">
        <f t="shared" si="83"/>
        <v>9176</v>
      </c>
      <c r="H179" s="907">
        <f t="shared" ref="H179" si="84">SUM(H176:H178)</f>
        <v>3209</v>
      </c>
      <c r="I179" s="1431">
        <f>H179/G179</f>
        <v>0.349716652136007</v>
      </c>
    </row>
    <row r="180" spans="1:9" ht="15.75" thickBot="1">
      <c r="A180" s="921"/>
      <c r="B180" s="711" t="s">
        <v>81</v>
      </c>
      <c r="C180" s="767">
        <f t="shared" ref="C180" si="85">SUM(C175+C179)</f>
        <v>307916</v>
      </c>
      <c r="D180" s="767">
        <f t="shared" ref="D180:E180" si="86">SUM(D175+D179)</f>
        <v>312012</v>
      </c>
      <c r="E180" s="767">
        <f t="shared" si="86"/>
        <v>314065</v>
      </c>
      <c r="F180" s="767">
        <f t="shared" ref="F180:G180" si="87">SUM(F175+F179)</f>
        <v>335770</v>
      </c>
      <c r="G180" s="767">
        <f t="shared" si="87"/>
        <v>335920</v>
      </c>
      <c r="H180" s="907">
        <f t="shared" ref="H180" si="88">SUM(H175+H179)</f>
        <v>322906</v>
      </c>
      <c r="I180" s="1431">
        <f>H180/G180</f>
        <v>0.96125863300785896</v>
      </c>
    </row>
    <row r="181" spans="1:9" ht="15">
      <c r="A181" s="922">
        <v>2330</v>
      </c>
      <c r="B181" s="713" t="s">
        <v>259</v>
      </c>
      <c r="C181" s="754"/>
      <c r="D181" s="754"/>
      <c r="E181" s="754"/>
      <c r="F181" s="754"/>
      <c r="G181" s="754"/>
      <c r="H181" s="902"/>
      <c r="I181" s="1444"/>
    </row>
    <row r="182" spans="1:9" ht="12.6" customHeight="1">
      <c r="A182" s="920"/>
      <c r="B182" s="696" t="s">
        <v>140</v>
      </c>
      <c r="C182" s="1443"/>
      <c r="D182" s="1443"/>
      <c r="E182" s="1443"/>
      <c r="F182" s="1443"/>
      <c r="G182" s="1443"/>
      <c r="H182" s="695"/>
      <c r="I182" s="916"/>
    </row>
    <row r="183" spans="1:9" ht="13.5" thickBot="1">
      <c r="A183" s="920"/>
      <c r="B183" s="697" t="s">
        <v>141</v>
      </c>
      <c r="C183" s="764"/>
      <c r="D183" s="764"/>
      <c r="E183" s="764"/>
      <c r="F183" s="764">
        <v>1080</v>
      </c>
      <c r="G183" s="764">
        <f>1080+600</f>
        <v>1680</v>
      </c>
      <c r="H183" s="903">
        <v>1680</v>
      </c>
      <c r="I183" s="1439">
        <f>H183/G183</f>
        <v>1</v>
      </c>
    </row>
    <row r="184" spans="1:9" ht="13.5" thickBot="1">
      <c r="A184" s="920"/>
      <c r="B184" s="689" t="s">
        <v>152</v>
      </c>
      <c r="C184" s="765"/>
      <c r="D184" s="765"/>
      <c r="E184" s="765"/>
      <c r="F184" s="765">
        <v>1080</v>
      </c>
      <c r="G184" s="765">
        <f>1080+600</f>
        <v>1680</v>
      </c>
      <c r="H184" s="904">
        <f>SUM(H183)</f>
        <v>1680</v>
      </c>
      <c r="I184" s="1431">
        <f>H184/G184</f>
        <v>1</v>
      </c>
    </row>
    <row r="185" spans="1:9">
      <c r="A185" s="920"/>
      <c r="B185" s="696" t="s">
        <v>143</v>
      </c>
      <c r="C185" s="754"/>
      <c r="D185" s="754"/>
      <c r="E185" s="754"/>
      <c r="F185" s="754"/>
      <c r="G185" s="754"/>
      <c r="H185" s="902"/>
      <c r="I185" s="1444"/>
    </row>
    <row r="186" spans="1:9">
      <c r="A186" s="920"/>
      <c r="B186" s="685" t="s">
        <v>144</v>
      </c>
      <c r="C186" s="757"/>
      <c r="D186" s="757"/>
      <c r="E186" s="757"/>
      <c r="F186" s="757"/>
      <c r="G186" s="757"/>
      <c r="H186" s="905"/>
      <c r="I186" s="916"/>
    </row>
    <row r="187" spans="1:9">
      <c r="A187" s="920"/>
      <c r="B187" s="685" t="s">
        <v>145</v>
      </c>
      <c r="C187" s="757"/>
      <c r="D187" s="757"/>
      <c r="E187" s="757"/>
      <c r="F187" s="757"/>
      <c r="G187" s="757"/>
      <c r="H187" s="905"/>
      <c r="I187" s="916"/>
    </row>
    <row r="188" spans="1:9">
      <c r="A188" s="920"/>
      <c r="B188" s="686" t="s">
        <v>146</v>
      </c>
      <c r="C188" s="754"/>
      <c r="D188" s="754"/>
      <c r="E188" s="754"/>
      <c r="F188" s="754"/>
      <c r="G188" s="754"/>
      <c r="H188" s="902"/>
      <c r="I188" s="916"/>
    </row>
    <row r="189" spans="1:9">
      <c r="A189" s="920"/>
      <c r="B189" s="686" t="s">
        <v>147</v>
      </c>
      <c r="C189" s="754"/>
      <c r="D189" s="754"/>
      <c r="E189" s="754"/>
      <c r="F189" s="754"/>
      <c r="G189" s="754"/>
      <c r="H189" s="902"/>
      <c r="I189" s="916"/>
    </row>
    <row r="190" spans="1:9">
      <c r="A190" s="920"/>
      <c r="B190" s="686" t="s">
        <v>148</v>
      </c>
      <c r="C190" s="754"/>
      <c r="D190" s="754"/>
      <c r="E190" s="754"/>
      <c r="F190" s="754"/>
      <c r="G190" s="754"/>
      <c r="H190" s="902"/>
      <c r="I190" s="916"/>
    </row>
    <row r="191" spans="1:9">
      <c r="A191" s="920"/>
      <c r="B191" s="687" t="s">
        <v>351</v>
      </c>
      <c r="C191" s="754"/>
      <c r="D191" s="754"/>
      <c r="E191" s="754"/>
      <c r="F191" s="754"/>
      <c r="G191" s="754"/>
      <c r="H191" s="902"/>
      <c r="I191" s="916"/>
    </row>
    <row r="192" spans="1:9" ht="13.5" thickBot="1">
      <c r="A192" s="920"/>
      <c r="B192" s="688" t="s">
        <v>149</v>
      </c>
      <c r="C192" s="766"/>
      <c r="D192" s="766"/>
      <c r="E192" s="766"/>
      <c r="F192" s="766"/>
      <c r="G192" s="766"/>
      <c r="H192" s="906"/>
      <c r="I192" s="1434"/>
    </row>
    <row r="193" spans="1:9" ht="13.5" thickBot="1">
      <c r="A193" s="920"/>
      <c r="B193" s="689" t="s">
        <v>270</v>
      </c>
      <c r="C193" s="767"/>
      <c r="D193" s="767"/>
      <c r="E193" s="767"/>
      <c r="F193" s="767"/>
      <c r="G193" s="767"/>
      <c r="H193" s="907"/>
      <c r="I193" s="1434"/>
    </row>
    <row r="194" spans="1:9" ht="13.5" thickBot="1">
      <c r="A194" s="920"/>
      <c r="B194" s="690" t="s">
        <v>176</v>
      </c>
      <c r="C194" s="767"/>
      <c r="D194" s="767"/>
      <c r="E194" s="767"/>
      <c r="F194" s="767"/>
      <c r="G194" s="767"/>
      <c r="H194" s="907"/>
      <c r="I194" s="1434"/>
    </row>
    <row r="195" spans="1:9" ht="13.5" thickBot="1">
      <c r="A195" s="920"/>
      <c r="B195" s="691" t="s">
        <v>44</v>
      </c>
      <c r="C195" s="770"/>
      <c r="D195" s="770"/>
      <c r="E195" s="770"/>
      <c r="F195" s="770">
        <f>F184</f>
        <v>1080</v>
      </c>
      <c r="G195" s="770">
        <f>G184</f>
        <v>1680</v>
      </c>
      <c r="H195" s="762">
        <f>H184</f>
        <v>1680</v>
      </c>
      <c r="I195" s="1431">
        <f>H195/G195</f>
        <v>1</v>
      </c>
    </row>
    <row r="196" spans="1:9" ht="13.5" thickBot="1">
      <c r="A196" s="920"/>
      <c r="B196" s="699" t="s">
        <v>359</v>
      </c>
      <c r="C196" s="768"/>
      <c r="D196" s="768"/>
      <c r="E196" s="768"/>
      <c r="F196" s="768"/>
      <c r="G196" s="768"/>
      <c r="H196" s="908"/>
      <c r="I196" s="1434"/>
    </row>
    <row r="197" spans="1:9" ht="13.5" thickBot="1">
      <c r="A197" s="920"/>
      <c r="B197" s="700" t="s">
        <v>45</v>
      </c>
      <c r="C197" s="769"/>
      <c r="D197" s="769"/>
      <c r="E197" s="769"/>
      <c r="F197" s="769"/>
      <c r="G197" s="769"/>
      <c r="H197" s="909"/>
      <c r="I197" s="1434"/>
    </row>
    <row r="198" spans="1:9">
      <c r="A198" s="920"/>
      <c r="B198" s="701" t="s">
        <v>327</v>
      </c>
      <c r="C198" s="1428"/>
      <c r="D198" s="1428">
        <v>1508</v>
      </c>
      <c r="E198" s="1428">
        <f>1508+178</f>
        <v>1686</v>
      </c>
      <c r="F198" s="1428">
        <f>1508+178</f>
        <v>1686</v>
      </c>
      <c r="G198" s="1428">
        <f>1508+178</f>
        <v>1686</v>
      </c>
      <c r="H198" s="1428">
        <v>1686</v>
      </c>
      <c r="I198" s="1438">
        <f>H198/G198</f>
        <v>1</v>
      </c>
    </row>
    <row r="199" spans="1:9" ht="13.5" thickBot="1">
      <c r="A199" s="920"/>
      <c r="B199" s="702" t="s">
        <v>355</v>
      </c>
      <c r="C199" s="1448">
        <v>234054</v>
      </c>
      <c r="D199" s="1448">
        <v>234054</v>
      </c>
      <c r="E199" s="1448">
        <f>234054+814</f>
        <v>234868</v>
      </c>
      <c r="F199" s="1448">
        <f>234054+814+18289</f>
        <v>253157</v>
      </c>
      <c r="G199" s="1448">
        <f>234054+814+18289</f>
        <v>253157</v>
      </c>
      <c r="H199" s="1448">
        <v>248050</v>
      </c>
      <c r="I199" s="1439">
        <f>H199/G199</f>
        <v>0.97982674782842272</v>
      </c>
    </row>
    <row r="200" spans="1:9" ht="13.5" thickBot="1">
      <c r="A200" s="920"/>
      <c r="B200" s="703" t="s">
        <v>38</v>
      </c>
      <c r="C200" s="769">
        <f t="shared" ref="C200" si="89">SUM(C198:C199)</f>
        <v>234054</v>
      </c>
      <c r="D200" s="769">
        <f t="shared" ref="D200:E200" si="90">SUM(D198:D199)</f>
        <v>235562</v>
      </c>
      <c r="E200" s="769">
        <f t="shared" si="90"/>
        <v>236554</v>
      </c>
      <c r="F200" s="769">
        <f t="shared" ref="F200:G200" si="91">SUM(F198:F199)</f>
        <v>254843</v>
      </c>
      <c r="G200" s="769">
        <f t="shared" si="91"/>
        <v>254843</v>
      </c>
      <c r="H200" s="769">
        <f t="shared" ref="H200" si="92">SUM(H198:H199)</f>
        <v>249736</v>
      </c>
      <c r="I200" s="1431">
        <f>H200/G200</f>
        <v>0.97996021079645113</v>
      </c>
    </row>
    <row r="201" spans="1:9" ht="13.5" thickBot="1">
      <c r="A201" s="920"/>
      <c r="B201" s="717" t="s">
        <v>327</v>
      </c>
      <c r="C201" s="768"/>
      <c r="D201" s="768"/>
      <c r="E201" s="768"/>
      <c r="F201" s="768"/>
      <c r="G201" s="768"/>
      <c r="H201" s="908"/>
      <c r="I201" s="1441"/>
    </row>
    <row r="202" spans="1:9" ht="13.5" thickBot="1">
      <c r="A202" s="920"/>
      <c r="B202" s="703" t="s">
        <v>40</v>
      </c>
      <c r="C202" s="769"/>
      <c r="D202" s="769"/>
      <c r="E202" s="769"/>
      <c r="F202" s="769"/>
      <c r="G202" s="769"/>
      <c r="H202" s="909"/>
      <c r="I202" s="1441"/>
    </row>
    <row r="203" spans="1:9" ht="15.75" thickBot="1">
      <c r="A203" s="920"/>
      <c r="B203" s="705" t="s">
        <v>49</v>
      </c>
      <c r="C203" s="771">
        <f t="shared" ref="C203:H203" si="93">SUM(C195+C197+C200)+C202</f>
        <v>234054</v>
      </c>
      <c r="D203" s="767">
        <f t="shared" si="93"/>
        <v>235562</v>
      </c>
      <c r="E203" s="767">
        <f t="shared" si="93"/>
        <v>236554</v>
      </c>
      <c r="F203" s="767">
        <f t="shared" si="93"/>
        <v>255923</v>
      </c>
      <c r="G203" s="767">
        <f t="shared" si="93"/>
        <v>256523</v>
      </c>
      <c r="H203" s="767">
        <f t="shared" si="93"/>
        <v>251416</v>
      </c>
      <c r="I203" s="1431">
        <f>H203/G203</f>
        <v>0.98009145378776952</v>
      </c>
    </row>
    <row r="204" spans="1:9">
      <c r="A204" s="920"/>
      <c r="B204" s="706" t="s">
        <v>251</v>
      </c>
      <c r="C204" s="754">
        <v>197641</v>
      </c>
      <c r="D204" s="754">
        <f>197641+28</f>
        <v>197669</v>
      </c>
      <c r="E204" s="754">
        <f>197669+720</f>
        <v>198389</v>
      </c>
      <c r="F204" s="754">
        <f>197669+720+16086</f>
        <v>214475</v>
      </c>
      <c r="G204" s="754">
        <f>197669+720+16086</f>
        <v>214475</v>
      </c>
      <c r="H204" s="754">
        <v>211184</v>
      </c>
      <c r="I204" s="1439">
        <f>H204/G204</f>
        <v>0.9846555542604033</v>
      </c>
    </row>
    <row r="205" spans="1:9">
      <c r="A205" s="920"/>
      <c r="B205" s="706" t="s">
        <v>252</v>
      </c>
      <c r="C205" s="754">
        <v>26515</v>
      </c>
      <c r="D205" s="754">
        <f>26515+35</f>
        <v>26550</v>
      </c>
      <c r="E205" s="754">
        <f>26550+94</f>
        <v>26644</v>
      </c>
      <c r="F205" s="754">
        <f>26550+94+2203</f>
        <v>28847</v>
      </c>
      <c r="G205" s="754">
        <f>26550+94+2203</f>
        <v>28847</v>
      </c>
      <c r="H205" s="754">
        <v>28095</v>
      </c>
      <c r="I205" s="1439">
        <f>H205/G205</f>
        <v>0.97393143134468052</v>
      </c>
    </row>
    <row r="206" spans="1:9">
      <c r="A206" s="920"/>
      <c r="B206" s="706" t="s">
        <v>253</v>
      </c>
      <c r="C206" s="754">
        <v>6215</v>
      </c>
      <c r="D206" s="754">
        <f>6215+1445</f>
        <v>7660</v>
      </c>
      <c r="E206" s="754">
        <f>7660+178-291</f>
        <v>7547</v>
      </c>
      <c r="F206" s="754">
        <f>7660+178-291+1080</f>
        <v>8627</v>
      </c>
      <c r="G206" s="754">
        <f>7660+178-291+1080+600</f>
        <v>9227</v>
      </c>
      <c r="H206" s="754">
        <v>6485</v>
      </c>
      <c r="I206" s="1439">
        <f>H206/G206</f>
        <v>0.70282865503413894</v>
      </c>
    </row>
    <row r="207" spans="1:9">
      <c r="A207" s="920"/>
      <c r="B207" s="707" t="s">
        <v>255</v>
      </c>
      <c r="C207" s="754"/>
      <c r="D207" s="754"/>
      <c r="E207" s="754"/>
      <c r="F207" s="754"/>
      <c r="G207" s="754"/>
      <c r="H207" s="902"/>
      <c r="I207" s="916"/>
    </row>
    <row r="208" spans="1:9" ht="13.5" thickBot="1">
      <c r="A208" s="920"/>
      <c r="B208" s="708" t="s">
        <v>254</v>
      </c>
      <c r="C208" s="766"/>
      <c r="D208" s="766"/>
      <c r="E208" s="766">
        <v>291</v>
      </c>
      <c r="F208" s="766">
        <v>291</v>
      </c>
      <c r="G208" s="766">
        <v>291</v>
      </c>
      <c r="H208" s="906">
        <v>291</v>
      </c>
      <c r="I208" s="1439">
        <f>H208/G208</f>
        <v>1</v>
      </c>
    </row>
    <row r="209" spans="1:9" ht="13.5" thickBot="1">
      <c r="A209" s="920"/>
      <c r="B209" s="709" t="s">
        <v>37</v>
      </c>
      <c r="C209" s="767">
        <f t="shared" ref="C209" si="94">SUM(C204:C208)</f>
        <v>230371</v>
      </c>
      <c r="D209" s="767">
        <f t="shared" ref="D209:E209" si="95">SUM(D204:D208)</f>
        <v>231879</v>
      </c>
      <c r="E209" s="767">
        <f t="shared" si="95"/>
        <v>232871</v>
      </c>
      <c r="F209" s="767">
        <f t="shared" ref="F209:G209" si="96">SUM(F204:F208)</f>
        <v>252240</v>
      </c>
      <c r="G209" s="767">
        <f t="shared" si="96"/>
        <v>252840</v>
      </c>
      <c r="H209" s="907">
        <f t="shared" ref="H209" si="97">SUM(H204:H208)</f>
        <v>246055</v>
      </c>
      <c r="I209" s="1431">
        <f>H209/G209</f>
        <v>0.97316484733428255</v>
      </c>
    </row>
    <row r="210" spans="1:9">
      <c r="A210" s="920"/>
      <c r="B210" s="706" t="s">
        <v>759</v>
      </c>
      <c r="C210" s="1428">
        <v>3683</v>
      </c>
      <c r="D210" s="1428">
        <v>3683</v>
      </c>
      <c r="E210" s="1428">
        <v>3683</v>
      </c>
      <c r="F210" s="1428">
        <v>3683</v>
      </c>
      <c r="G210" s="1428">
        <v>3683</v>
      </c>
      <c r="H210" s="760">
        <v>2727</v>
      </c>
      <c r="I210" s="1439">
        <f>H210/G210</f>
        <v>0.74042899809937546</v>
      </c>
    </row>
    <row r="211" spans="1:9">
      <c r="A211" s="920"/>
      <c r="B211" s="706" t="s">
        <v>196</v>
      </c>
      <c r="C211" s="754"/>
      <c r="D211" s="754"/>
      <c r="E211" s="754"/>
      <c r="F211" s="754"/>
      <c r="G211" s="754"/>
      <c r="H211" s="902"/>
      <c r="I211" s="916"/>
    </row>
    <row r="212" spans="1:9" ht="13.5" thickBot="1">
      <c r="A212" s="920"/>
      <c r="B212" s="708" t="s">
        <v>336</v>
      </c>
      <c r="C212" s="766"/>
      <c r="D212" s="766"/>
      <c r="E212" s="766"/>
      <c r="F212" s="766"/>
      <c r="G212" s="766"/>
      <c r="H212" s="906"/>
      <c r="I212" s="1434"/>
    </row>
    <row r="213" spans="1:9" ht="13.5" thickBot="1">
      <c r="A213" s="920"/>
      <c r="B213" s="710" t="s">
        <v>43</v>
      </c>
      <c r="C213" s="767">
        <f t="shared" ref="C213" si="98">SUM(C210:C212)</f>
        <v>3683</v>
      </c>
      <c r="D213" s="767">
        <f t="shared" ref="D213:E213" si="99">SUM(D210:D212)</f>
        <v>3683</v>
      </c>
      <c r="E213" s="767">
        <f t="shared" si="99"/>
        <v>3683</v>
      </c>
      <c r="F213" s="767">
        <f t="shared" ref="F213:G213" si="100">SUM(F210:F212)</f>
        <v>3683</v>
      </c>
      <c r="G213" s="767">
        <f t="shared" si="100"/>
        <v>3683</v>
      </c>
      <c r="H213" s="907">
        <f t="shared" ref="H213" si="101">SUM(H210:H212)</f>
        <v>2727</v>
      </c>
      <c r="I213" s="1431">
        <f>H213/G213</f>
        <v>0.74042899809937546</v>
      </c>
    </row>
    <row r="214" spans="1:9" ht="15.75" thickBot="1">
      <c r="A214" s="921"/>
      <c r="B214" s="711" t="s">
        <v>81</v>
      </c>
      <c r="C214" s="767">
        <f t="shared" ref="C214" si="102">SUM(C209+C213)</f>
        <v>234054</v>
      </c>
      <c r="D214" s="767">
        <f t="shared" ref="D214:E214" si="103">SUM(D209+D213)</f>
        <v>235562</v>
      </c>
      <c r="E214" s="767">
        <f t="shared" si="103"/>
        <v>236554</v>
      </c>
      <c r="F214" s="767">
        <f t="shared" ref="F214:G214" si="104">SUM(F209+F213)</f>
        <v>255923</v>
      </c>
      <c r="G214" s="767">
        <f t="shared" si="104"/>
        <v>256523</v>
      </c>
      <c r="H214" s="907">
        <f t="shared" ref="H214" si="105">SUM(H209+H213)</f>
        <v>248782</v>
      </c>
      <c r="I214" s="1431">
        <f>H214/G214</f>
        <v>0.96982336866479812</v>
      </c>
    </row>
    <row r="215" spans="1:9" ht="15">
      <c r="A215" s="923">
        <v>2335</v>
      </c>
      <c r="B215" s="713" t="s">
        <v>260</v>
      </c>
      <c r="C215" s="754"/>
      <c r="D215" s="754"/>
      <c r="E215" s="754"/>
      <c r="F215" s="754"/>
      <c r="G215" s="754"/>
      <c r="H215" s="902"/>
      <c r="I215" s="1444"/>
    </row>
    <row r="216" spans="1:9" ht="12.6" customHeight="1">
      <c r="A216" s="920"/>
      <c r="B216" s="696" t="s">
        <v>140</v>
      </c>
      <c r="C216" s="1443"/>
      <c r="D216" s="1443"/>
      <c r="E216" s="1443"/>
      <c r="F216" s="1443"/>
      <c r="G216" s="1443"/>
      <c r="H216" s="695"/>
      <c r="I216" s="916"/>
    </row>
    <row r="217" spans="1:9" ht="13.5" thickBot="1">
      <c r="A217" s="920"/>
      <c r="B217" s="697" t="s">
        <v>141</v>
      </c>
      <c r="C217" s="764"/>
      <c r="D217" s="764"/>
      <c r="E217" s="764"/>
      <c r="F217" s="764">
        <v>1800</v>
      </c>
      <c r="G217" s="764">
        <f>1800+80</f>
        <v>1880</v>
      </c>
      <c r="H217" s="903">
        <v>1880</v>
      </c>
      <c r="I217" s="1439">
        <f>H217/G217</f>
        <v>1</v>
      </c>
    </row>
    <row r="218" spans="1:9" ht="13.5" thickBot="1">
      <c r="A218" s="920"/>
      <c r="B218" s="689" t="s">
        <v>152</v>
      </c>
      <c r="C218" s="765"/>
      <c r="D218" s="765"/>
      <c r="E218" s="765"/>
      <c r="F218" s="765">
        <v>1800</v>
      </c>
      <c r="G218" s="765">
        <f>1800+80</f>
        <v>1880</v>
      </c>
      <c r="H218" s="904">
        <f>SUM(H217)</f>
        <v>1880</v>
      </c>
      <c r="I218" s="1431">
        <f>H218/G218</f>
        <v>1</v>
      </c>
    </row>
    <row r="219" spans="1:9">
      <c r="A219" s="920"/>
      <c r="B219" s="696" t="s">
        <v>143</v>
      </c>
      <c r="C219" s="754"/>
      <c r="D219" s="754"/>
      <c r="E219" s="754"/>
      <c r="F219" s="754"/>
      <c r="G219" s="754"/>
      <c r="H219" s="902"/>
      <c r="I219" s="1444"/>
    </row>
    <row r="220" spans="1:9">
      <c r="A220" s="920"/>
      <c r="B220" s="685" t="s">
        <v>144</v>
      </c>
      <c r="C220" s="757"/>
      <c r="D220" s="757"/>
      <c r="E220" s="757"/>
      <c r="F220" s="757"/>
      <c r="G220" s="757"/>
      <c r="H220" s="905"/>
      <c r="I220" s="916"/>
    </row>
    <row r="221" spans="1:9">
      <c r="A221" s="920"/>
      <c r="B221" s="685" t="s">
        <v>145</v>
      </c>
      <c r="C221" s="757"/>
      <c r="D221" s="757"/>
      <c r="E221" s="757"/>
      <c r="F221" s="757"/>
      <c r="G221" s="757"/>
      <c r="H221" s="905"/>
      <c r="I221" s="916"/>
    </row>
    <row r="222" spans="1:9">
      <c r="A222" s="920"/>
      <c r="B222" s="686" t="s">
        <v>146</v>
      </c>
      <c r="C222" s="754"/>
      <c r="D222" s="754"/>
      <c r="E222" s="754"/>
      <c r="F222" s="754"/>
      <c r="G222" s="754"/>
      <c r="H222" s="902"/>
      <c r="I222" s="916"/>
    </row>
    <row r="223" spans="1:9">
      <c r="A223" s="920"/>
      <c r="B223" s="686" t="s">
        <v>147</v>
      </c>
      <c r="C223" s="754"/>
      <c r="D223" s="754"/>
      <c r="E223" s="754"/>
      <c r="F223" s="754"/>
      <c r="G223" s="754"/>
      <c r="H223" s="902"/>
      <c r="I223" s="916"/>
    </row>
    <row r="224" spans="1:9">
      <c r="A224" s="920"/>
      <c r="B224" s="686" t="s">
        <v>148</v>
      </c>
      <c r="C224" s="754"/>
      <c r="D224" s="754"/>
      <c r="E224" s="754"/>
      <c r="F224" s="754"/>
      <c r="G224" s="754"/>
      <c r="H224" s="902"/>
      <c r="I224" s="916"/>
    </row>
    <row r="225" spans="1:9">
      <c r="A225" s="920"/>
      <c r="B225" s="687" t="s">
        <v>351</v>
      </c>
      <c r="C225" s="754"/>
      <c r="D225" s="754"/>
      <c r="E225" s="754"/>
      <c r="F225" s="754"/>
      <c r="G225" s="754"/>
      <c r="H225" s="902"/>
      <c r="I225" s="916"/>
    </row>
    <row r="226" spans="1:9" ht="13.5" thickBot="1">
      <c r="A226" s="920"/>
      <c r="B226" s="688" t="s">
        <v>149</v>
      </c>
      <c r="C226" s="766"/>
      <c r="D226" s="766"/>
      <c r="E226" s="766"/>
      <c r="F226" s="766"/>
      <c r="G226" s="766">
        <v>1</v>
      </c>
      <c r="H226" s="906">
        <v>1</v>
      </c>
      <c r="I226" s="1439">
        <f>H226/G226</f>
        <v>1</v>
      </c>
    </row>
    <row r="227" spans="1:9" ht="13.5" thickBot="1">
      <c r="A227" s="920"/>
      <c r="B227" s="689" t="s">
        <v>270</v>
      </c>
      <c r="C227" s="767"/>
      <c r="D227" s="767"/>
      <c r="E227" s="767"/>
      <c r="F227" s="767"/>
      <c r="G227" s="767">
        <v>1</v>
      </c>
      <c r="H227" s="907">
        <f>SUM(H220:H226)</f>
        <v>1</v>
      </c>
      <c r="I227" s="1431">
        <f>H227/G227</f>
        <v>1</v>
      </c>
    </row>
    <row r="228" spans="1:9" ht="13.5" thickBot="1">
      <c r="A228" s="920"/>
      <c r="B228" s="690" t="s">
        <v>176</v>
      </c>
      <c r="C228" s="767"/>
      <c r="D228" s="767"/>
      <c r="E228" s="767"/>
      <c r="F228" s="767"/>
      <c r="G228" s="767"/>
      <c r="H228" s="907"/>
      <c r="I228" s="1434"/>
    </row>
    <row r="229" spans="1:9" ht="13.5" thickBot="1">
      <c r="A229" s="920"/>
      <c r="B229" s="691" t="s">
        <v>44</v>
      </c>
      <c r="C229" s="770"/>
      <c r="D229" s="770"/>
      <c r="E229" s="770"/>
      <c r="F229" s="770">
        <f>F218</f>
        <v>1800</v>
      </c>
      <c r="G229" s="770">
        <f>G218+G227</f>
        <v>1881</v>
      </c>
      <c r="H229" s="762">
        <f>H218+H227</f>
        <v>1881</v>
      </c>
      <c r="I229" s="1431">
        <f>H229/G229</f>
        <v>1</v>
      </c>
    </row>
    <row r="230" spans="1:9" ht="13.5" thickBot="1">
      <c r="A230" s="920"/>
      <c r="B230" s="699" t="s">
        <v>359</v>
      </c>
      <c r="C230" s="768"/>
      <c r="D230" s="768"/>
      <c r="E230" s="768"/>
      <c r="F230" s="768"/>
      <c r="G230" s="768"/>
      <c r="H230" s="908"/>
      <c r="I230" s="1434"/>
    </row>
    <row r="231" spans="1:9" ht="13.5" thickBot="1">
      <c r="A231" s="920"/>
      <c r="B231" s="700" t="s">
        <v>45</v>
      </c>
      <c r="C231" s="769"/>
      <c r="D231" s="769"/>
      <c r="E231" s="769"/>
      <c r="F231" s="769"/>
      <c r="G231" s="769"/>
      <c r="H231" s="909"/>
      <c r="I231" s="1434"/>
    </row>
    <row r="232" spans="1:9">
      <c r="A232" s="920"/>
      <c r="B232" s="701" t="s">
        <v>327</v>
      </c>
      <c r="C232" s="754"/>
      <c r="D232" s="754">
        <v>1433</v>
      </c>
      <c r="E232" s="754">
        <v>1433</v>
      </c>
      <c r="F232" s="754">
        <v>1433</v>
      </c>
      <c r="G232" s="754">
        <v>1433</v>
      </c>
      <c r="H232" s="754">
        <v>1433</v>
      </c>
      <c r="I232" s="1438">
        <f t="shared" ref="I232:I240" si="106">H232/G232</f>
        <v>1</v>
      </c>
    </row>
    <row r="233" spans="1:9" ht="13.5" thickBot="1">
      <c r="A233" s="920"/>
      <c r="B233" s="702" t="s">
        <v>355</v>
      </c>
      <c r="C233" s="906">
        <v>156267</v>
      </c>
      <c r="D233" s="906">
        <f>156267+248</f>
        <v>156515</v>
      </c>
      <c r="E233" s="906">
        <f>156515+610</f>
        <v>157125</v>
      </c>
      <c r="F233" s="906">
        <f>156515+610+5963</f>
        <v>163088</v>
      </c>
      <c r="G233" s="906">
        <f>156515+610+5963</f>
        <v>163088</v>
      </c>
      <c r="H233" s="906">
        <v>158332</v>
      </c>
      <c r="I233" s="1439">
        <f t="shared" si="106"/>
        <v>0.97083782988325318</v>
      </c>
    </row>
    <row r="234" spans="1:9" ht="13.5" thickBot="1">
      <c r="A234" s="920"/>
      <c r="B234" s="703" t="s">
        <v>38</v>
      </c>
      <c r="C234" s="769">
        <f t="shared" ref="C234:H234" si="107">SUM(C232:C233)</f>
        <v>156267</v>
      </c>
      <c r="D234" s="769">
        <f t="shared" si="107"/>
        <v>157948</v>
      </c>
      <c r="E234" s="769">
        <f t="shared" si="107"/>
        <v>158558</v>
      </c>
      <c r="F234" s="769">
        <f t="shared" si="107"/>
        <v>164521</v>
      </c>
      <c r="G234" s="769">
        <f t="shared" si="107"/>
        <v>164521</v>
      </c>
      <c r="H234" s="769">
        <f t="shared" si="107"/>
        <v>159765</v>
      </c>
      <c r="I234" s="1431">
        <f t="shared" si="106"/>
        <v>0.97109183630053308</v>
      </c>
    </row>
    <row r="235" spans="1:9" ht="13.5" thickBot="1">
      <c r="A235" s="920"/>
      <c r="B235" s="704" t="s">
        <v>327</v>
      </c>
      <c r="C235" s="768"/>
      <c r="D235" s="768">
        <v>500</v>
      </c>
      <c r="E235" s="768">
        <v>500</v>
      </c>
      <c r="F235" s="768">
        <v>500</v>
      </c>
      <c r="G235" s="768">
        <v>500</v>
      </c>
      <c r="H235" s="908">
        <v>500</v>
      </c>
      <c r="I235" s="1452">
        <f t="shared" si="106"/>
        <v>1</v>
      </c>
    </row>
    <row r="236" spans="1:9" ht="13.5" thickBot="1">
      <c r="A236" s="920"/>
      <c r="B236" s="703" t="s">
        <v>40</v>
      </c>
      <c r="C236" s="769"/>
      <c r="D236" s="769">
        <f>SUM(D235)</f>
        <v>500</v>
      </c>
      <c r="E236" s="769">
        <f>SUM(E235)</f>
        <v>500</v>
      </c>
      <c r="F236" s="769">
        <f>SUM(F235)</f>
        <v>500</v>
      </c>
      <c r="G236" s="769">
        <f>SUM(G235)</f>
        <v>500</v>
      </c>
      <c r="H236" s="769">
        <f>SUM(H235)</f>
        <v>500</v>
      </c>
      <c r="I236" s="1439">
        <f t="shared" si="106"/>
        <v>1</v>
      </c>
    </row>
    <row r="237" spans="1:9" ht="15.75" thickBot="1">
      <c r="A237" s="920"/>
      <c r="B237" s="705" t="s">
        <v>49</v>
      </c>
      <c r="C237" s="771">
        <f t="shared" ref="C237:H237" si="108">SUM(C229+C231+C234+C236)</f>
        <v>156267</v>
      </c>
      <c r="D237" s="767">
        <f t="shared" si="108"/>
        <v>158448</v>
      </c>
      <c r="E237" s="767">
        <f t="shared" si="108"/>
        <v>159058</v>
      </c>
      <c r="F237" s="767">
        <f t="shared" si="108"/>
        <v>166821</v>
      </c>
      <c r="G237" s="767">
        <f t="shared" si="108"/>
        <v>166902</v>
      </c>
      <c r="H237" s="767">
        <f t="shared" si="108"/>
        <v>162146</v>
      </c>
      <c r="I237" s="1431">
        <f t="shared" si="106"/>
        <v>0.97150423601874158</v>
      </c>
    </row>
    <row r="238" spans="1:9">
      <c r="A238" s="920"/>
      <c r="B238" s="706" t="s">
        <v>251</v>
      </c>
      <c r="C238" s="754">
        <v>130038</v>
      </c>
      <c r="D238" s="754">
        <f>130038+288</f>
        <v>130326</v>
      </c>
      <c r="E238" s="754">
        <f>130326+540</f>
        <v>130866</v>
      </c>
      <c r="F238" s="754">
        <f>130326+540+4987</f>
        <v>135853</v>
      </c>
      <c r="G238" s="754">
        <f>130326+540+4987-212</f>
        <v>135641</v>
      </c>
      <c r="H238" s="754">
        <v>131428</v>
      </c>
      <c r="I238" s="1439">
        <f t="shared" si="106"/>
        <v>0.96894006974292435</v>
      </c>
    </row>
    <row r="239" spans="1:9">
      <c r="A239" s="920"/>
      <c r="B239" s="706" t="s">
        <v>252</v>
      </c>
      <c r="C239" s="754">
        <v>17479</v>
      </c>
      <c r="D239" s="754">
        <f>17479+272</f>
        <v>17751</v>
      </c>
      <c r="E239" s="754">
        <f>17751+70</f>
        <v>17821</v>
      </c>
      <c r="F239" s="754">
        <f>17751+70+976</f>
        <v>18797</v>
      </c>
      <c r="G239" s="754">
        <f>17751+70+976+212</f>
        <v>19009</v>
      </c>
      <c r="H239" s="754">
        <v>18264</v>
      </c>
      <c r="I239" s="1439">
        <f t="shared" si="106"/>
        <v>0.96080803829764849</v>
      </c>
    </row>
    <row r="240" spans="1:9">
      <c r="A240" s="920"/>
      <c r="B240" s="706" t="s">
        <v>253</v>
      </c>
      <c r="C240" s="754">
        <v>5626</v>
      </c>
      <c r="D240" s="754">
        <f>5626+873+248</f>
        <v>6747</v>
      </c>
      <c r="E240" s="754">
        <f>5626+873+248</f>
        <v>6747</v>
      </c>
      <c r="F240" s="754">
        <f>5626+873+248+1800</f>
        <v>8547</v>
      </c>
      <c r="G240" s="754">
        <f>5626+873+248+1800+81</f>
        <v>8628</v>
      </c>
      <c r="H240" s="754">
        <v>6422</v>
      </c>
      <c r="I240" s="1439">
        <f t="shared" si="106"/>
        <v>0.74432081594807609</v>
      </c>
    </row>
    <row r="241" spans="1:9">
      <c r="A241" s="920"/>
      <c r="B241" s="707" t="s">
        <v>255</v>
      </c>
      <c r="C241" s="754"/>
      <c r="D241" s="754"/>
      <c r="E241" s="754"/>
      <c r="F241" s="754"/>
      <c r="G241" s="754"/>
      <c r="H241" s="902"/>
      <c r="I241" s="916"/>
    </row>
    <row r="242" spans="1:9" ht="13.5" thickBot="1">
      <c r="A242" s="920"/>
      <c r="B242" s="708" t="s">
        <v>254</v>
      </c>
      <c r="C242" s="766"/>
      <c r="D242" s="766"/>
      <c r="E242" s="766"/>
      <c r="F242" s="766"/>
      <c r="G242" s="766"/>
      <c r="H242" s="906"/>
      <c r="I242" s="1434"/>
    </row>
    <row r="243" spans="1:9" ht="13.5" thickBot="1">
      <c r="A243" s="920"/>
      <c r="B243" s="709" t="s">
        <v>37</v>
      </c>
      <c r="C243" s="771">
        <f t="shared" ref="C243" si="109">SUM(C238:C242)</f>
        <v>153143</v>
      </c>
      <c r="D243" s="767">
        <f t="shared" ref="D243:E243" si="110">SUM(D238:D242)</f>
        <v>154824</v>
      </c>
      <c r="E243" s="767">
        <f t="shared" si="110"/>
        <v>155434</v>
      </c>
      <c r="F243" s="767">
        <f t="shared" ref="F243:G243" si="111">SUM(F238:F242)</f>
        <v>163197</v>
      </c>
      <c r="G243" s="767">
        <f t="shared" si="111"/>
        <v>163278</v>
      </c>
      <c r="H243" s="907">
        <f t="shared" ref="H243" si="112">SUM(H238:H242)</f>
        <v>156114</v>
      </c>
      <c r="I243" s="1431">
        <f>H243/G243</f>
        <v>0.95612391136589125</v>
      </c>
    </row>
    <row r="244" spans="1:9">
      <c r="A244" s="920"/>
      <c r="B244" s="706" t="s">
        <v>759</v>
      </c>
      <c r="C244" s="1428">
        <v>3124</v>
      </c>
      <c r="D244" s="1428">
        <f>3124+500</f>
        <v>3624</v>
      </c>
      <c r="E244" s="1428">
        <f>3124+500</f>
        <v>3624</v>
      </c>
      <c r="F244" s="1428">
        <f>3124+500</f>
        <v>3624</v>
      </c>
      <c r="G244" s="1428">
        <f>3124+500</f>
        <v>3624</v>
      </c>
      <c r="H244" s="760">
        <v>3619</v>
      </c>
      <c r="I244" s="1439">
        <f>H244/G244</f>
        <v>0.99862030905077259</v>
      </c>
    </row>
    <row r="245" spans="1:9">
      <c r="A245" s="920"/>
      <c r="B245" s="706" t="s">
        <v>196</v>
      </c>
      <c r="C245" s="754"/>
      <c r="D245" s="754"/>
      <c r="E245" s="754"/>
      <c r="F245" s="754"/>
      <c r="G245" s="754"/>
      <c r="H245" s="902"/>
      <c r="I245" s="916"/>
    </row>
    <row r="246" spans="1:9" ht="13.5" thickBot="1">
      <c r="A246" s="920"/>
      <c r="B246" s="708" t="s">
        <v>336</v>
      </c>
      <c r="C246" s="766"/>
      <c r="D246" s="766"/>
      <c r="E246" s="766"/>
      <c r="F246" s="766"/>
      <c r="G246" s="766"/>
      <c r="H246" s="906"/>
      <c r="I246" s="1434"/>
    </row>
    <row r="247" spans="1:9" ht="13.5" thickBot="1">
      <c r="A247" s="920"/>
      <c r="B247" s="710" t="s">
        <v>43</v>
      </c>
      <c r="C247" s="767">
        <f t="shared" ref="C247" si="113">SUM(C244:C246)</f>
        <v>3124</v>
      </c>
      <c r="D247" s="767">
        <f t="shared" ref="D247:E247" si="114">SUM(D244:D246)</f>
        <v>3624</v>
      </c>
      <c r="E247" s="767">
        <f t="shared" si="114"/>
        <v>3624</v>
      </c>
      <c r="F247" s="767">
        <f t="shared" ref="F247:G247" si="115">SUM(F244:F246)</f>
        <v>3624</v>
      </c>
      <c r="G247" s="767">
        <f t="shared" si="115"/>
        <v>3624</v>
      </c>
      <c r="H247" s="907">
        <f t="shared" ref="H247" si="116">SUM(H244:H246)</f>
        <v>3619</v>
      </c>
      <c r="I247" s="1431">
        <f>H247/G247</f>
        <v>0.99862030905077259</v>
      </c>
    </row>
    <row r="248" spans="1:9" ht="15.75" thickBot="1">
      <c r="A248" s="921"/>
      <c r="B248" s="711" t="s">
        <v>81</v>
      </c>
      <c r="C248" s="771">
        <f t="shared" ref="C248" si="117">SUM(C243+C247)</f>
        <v>156267</v>
      </c>
      <c r="D248" s="767">
        <f t="shared" ref="D248:E248" si="118">SUM(D243+D247)</f>
        <v>158448</v>
      </c>
      <c r="E248" s="767">
        <f t="shared" si="118"/>
        <v>159058</v>
      </c>
      <c r="F248" s="767">
        <f t="shared" ref="F248:G248" si="119">SUM(F243+F247)</f>
        <v>166821</v>
      </c>
      <c r="G248" s="767">
        <f t="shared" si="119"/>
        <v>166902</v>
      </c>
      <c r="H248" s="907">
        <f t="shared" ref="H248" si="120">SUM(H243+H247)</f>
        <v>159733</v>
      </c>
      <c r="I248" s="1431">
        <f>H248/G248</f>
        <v>0.95704665013001644</v>
      </c>
    </row>
    <row r="249" spans="1:9" ht="15">
      <c r="A249" s="922">
        <v>2345</v>
      </c>
      <c r="B249" s="718" t="s">
        <v>261</v>
      </c>
      <c r="C249" s="754"/>
      <c r="D249" s="754"/>
      <c r="E249" s="754"/>
      <c r="F249" s="754"/>
      <c r="G249" s="754"/>
      <c r="H249" s="902"/>
      <c r="I249" s="1444"/>
    </row>
    <row r="250" spans="1:9" ht="12.6" customHeight="1">
      <c r="A250" s="920"/>
      <c r="B250" s="696" t="s">
        <v>140</v>
      </c>
      <c r="C250" s="1443"/>
      <c r="D250" s="1443"/>
      <c r="E250" s="1443"/>
      <c r="F250" s="1443"/>
      <c r="G250" s="1443"/>
      <c r="H250" s="695"/>
      <c r="I250" s="916"/>
    </row>
    <row r="251" spans="1:9" ht="13.5" thickBot="1">
      <c r="A251" s="920"/>
      <c r="B251" s="697" t="s">
        <v>141</v>
      </c>
      <c r="C251" s="764"/>
      <c r="D251" s="764"/>
      <c r="E251" s="764"/>
      <c r="F251" s="764">
        <v>1632</v>
      </c>
      <c r="G251" s="764">
        <f>1632+530</f>
        <v>2162</v>
      </c>
      <c r="H251" s="903">
        <v>2162</v>
      </c>
      <c r="I251" s="1439">
        <f>H251/G251</f>
        <v>1</v>
      </c>
    </row>
    <row r="252" spans="1:9" ht="13.5" thickBot="1">
      <c r="A252" s="920"/>
      <c r="B252" s="698" t="s">
        <v>152</v>
      </c>
      <c r="C252" s="1453"/>
      <c r="D252" s="1453"/>
      <c r="E252" s="1453"/>
      <c r="F252" s="765">
        <v>1632</v>
      </c>
      <c r="G252" s="765">
        <f>1632+530</f>
        <v>2162</v>
      </c>
      <c r="H252" s="904">
        <f>SUM(H251)</f>
        <v>2162</v>
      </c>
      <c r="I252" s="1431">
        <f>H252/G252</f>
        <v>1</v>
      </c>
    </row>
    <row r="253" spans="1:9">
      <c r="A253" s="920"/>
      <c r="B253" s="696" t="s">
        <v>143</v>
      </c>
      <c r="C253" s="754"/>
      <c r="D253" s="754"/>
      <c r="E253" s="754"/>
      <c r="F253" s="754"/>
      <c r="G253" s="754"/>
      <c r="H253" s="902"/>
      <c r="I253" s="1444"/>
    </row>
    <row r="254" spans="1:9">
      <c r="A254" s="920"/>
      <c r="B254" s="685" t="s">
        <v>144</v>
      </c>
      <c r="C254" s="757"/>
      <c r="D254" s="757"/>
      <c r="E254" s="757"/>
      <c r="F254" s="757"/>
      <c r="G254" s="757"/>
      <c r="H254" s="905"/>
      <c r="I254" s="916"/>
    </row>
    <row r="255" spans="1:9">
      <c r="A255" s="920"/>
      <c r="B255" s="685" t="s">
        <v>145</v>
      </c>
      <c r="C255" s="757"/>
      <c r="D255" s="757"/>
      <c r="E255" s="757"/>
      <c r="F255" s="757"/>
      <c r="G255" s="757"/>
      <c r="H255" s="905"/>
      <c r="I255" s="916"/>
    </row>
    <row r="256" spans="1:9">
      <c r="A256" s="920"/>
      <c r="B256" s="686" t="s">
        <v>146</v>
      </c>
      <c r="C256" s="754"/>
      <c r="D256" s="754"/>
      <c r="E256" s="754"/>
      <c r="F256" s="754"/>
      <c r="G256" s="754"/>
      <c r="H256" s="902"/>
      <c r="I256" s="916"/>
    </row>
    <row r="257" spans="1:9">
      <c r="A257" s="920"/>
      <c r="B257" s="686" t="s">
        <v>147</v>
      </c>
      <c r="C257" s="754"/>
      <c r="D257" s="754"/>
      <c r="E257" s="754"/>
      <c r="F257" s="754"/>
      <c r="G257" s="754"/>
      <c r="H257" s="902"/>
      <c r="I257" s="916"/>
    </row>
    <row r="258" spans="1:9">
      <c r="A258" s="920"/>
      <c r="B258" s="686" t="s">
        <v>148</v>
      </c>
      <c r="C258" s="754"/>
      <c r="D258" s="754"/>
      <c r="E258" s="754"/>
      <c r="F258" s="754"/>
      <c r="G258" s="754"/>
      <c r="H258" s="902"/>
      <c r="I258" s="916"/>
    </row>
    <row r="259" spans="1:9">
      <c r="A259" s="920"/>
      <c r="B259" s="687" t="s">
        <v>351</v>
      </c>
      <c r="C259" s="754"/>
      <c r="D259" s="754"/>
      <c r="E259" s="754"/>
      <c r="F259" s="754"/>
      <c r="G259" s="754"/>
      <c r="H259" s="902"/>
      <c r="I259" s="916"/>
    </row>
    <row r="260" spans="1:9" ht="13.5" thickBot="1">
      <c r="A260" s="920"/>
      <c r="B260" s="688" t="s">
        <v>149</v>
      </c>
      <c r="C260" s="754"/>
      <c r="D260" s="906"/>
      <c r="E260" s="906"/>
      <c r="F260" s="766"/>
      <c r="G260" s="766"/>
      <c r="H260" s="906"/>
      <c r="I260" s="1434"/>
    </row>
    <row r="261" spans="1:9" ht="13.5" thickBot="1">
      <c r="A261" s="920"/>
      <c r="B261" s="689" t="s">
        <v>270</v>
      </c>
      <c r="C261" s="771"/>
      <c r="D261" s="767"/>
      <c r="E261" s="767"/>
      <c r="F261" s="767"/>
      <c r="G261" s="767"/>
      <c r="H261" s="907"/>
      <c r="I261" s="1434"/>
    </row>
    <row r="262" spans="1:9" ht="13.5" thickBot="1">
      <c r="A262" s="920"/>
      <c r="B262" s="690" t="s">
        <v>176</v>
      </c>
      <c r="C262" s="767"/>
      <c r="D262" s="767"/>
      <c r="E262" s="767"/>
      <c r="F262" s="767"/>
      <c r="G262" s="767"/>
      <c r="H262" s="907"/>
      <c r="I262" s="1434"/>
    </row>
    <row r="263" spans="1:9" ht="13.5" thickBot="1">
      <c r="A263" s="920"/>
      <c r="B263" s="691" t="s">
        <v>44</v>
      </c>
      <c r="C263" s="770"/>
      <c r="D263" s="770"/>
      <c r="E263" s="770"/>
      <c r="F263" s="770">
        <f>F252</f>
        <v>1632</v>
      </c>
      <c r="G263" s="770">
        <f>G252</f>
        <v>2162</v>
      </c>
      <c r="H263" s="762">
        <f>H252</f>
        <v>2162</v>
      </c>
      <c r="I263" s="1431">
        <f>H263/G263</f>
        <v>1</v>
      </c>
    </row>
    <row r="264" spans="1:9" ht="13.5" thickBot="1">
      <c r="A264" s="920"/>
      <c r="B264" s="699" t="s">
        <v>359</v>
      </c>
      <c r="C264" s="768"/>
      <c r="D264" s="768"/>
      <c r="E264" s="768"/>
      <c r="F264" s="768"/>
      <c r="G264" s="768"/>
      <c r="H264" s="908"/>
      <c r="I264" s="1434"/>
    </row>
    <row r="265" spans="1:9" ht="13.5" thickBot="1">
      <c r="A265" s="920"/>
      <c r="B265" s="700" t="s">
        <v>45</v>
      </c>
      <c r="C265" s="769"/>
      <c r="D265" s="769"/>
      <c r="E265" s="769"/>
      <c r="F265" s="769"/>
      <c r="G265" s="769"/>
      <c r="H265" s="909"/>
      <c r="I265" s="1434"/>
    </row>
    <row r="266" spans="1:9">
      <c r="A266" s="920"/>
      <c r="B266" s="701" t="s">
        <v>327</v>
      </c>
      <c r="C266" s="1428"/>
      <c r="D266" s="1428">
        <v>1780</v>
      </c>
      <c r="E266" s="1428">
        <v>1780</v>
      </c>
      <c r="F266" s="1428">
        <v>1780</v>
      </c>
      <c r="G266" s="1428">
        <v>1780</v>
      </c>
      <c r="H266" s="760">
        <v>1780</v>
      </c>
      <c r="I266" s="1438">
        <f>H266/G266</f>
        <v>1</v>
      </c>
    </row>
    <row r="267" spans="1:9" ht="13.5" thickBot="1">
      <c r="A267" s="920"/>
      <c r="B267" s="702" t="s">
        <v>355</v>
      </c>
      <c r="C267" s="1448">
        <v>150372</v>
      </c>
      <c r="D267" s="1448">
        <f>150372+153+10409</f>
        <v>160934</v>
      </c>
      <c r="E267" s="1448">
        <f>160934+610</f>
        <v>161544</v>
      </c>
      <c r="F267" s="1448">
        <f>160934+610+13411</f>
        <v>174955</v>
      </c>
      <c r="G267" s="1448">
        <f>160934+610+13411</f>
        <v>174955</v>
      </c>
      <c r="H267" s="1448">
        <v>171190</v>
      </c>
      <c r="I267" s="1454">
        <f>H267/G267</f>
        <v>0.97848018061787312</v>
      </c>
    </row>
    <row r="268" spans="1:9" ht="13.5" thickBot="1">
      <c r="A268" s="920"/>
      <c r="B268" s="703" t="s">
        <v>38</v>
      </c>
      <c r="C268" s="769">
        <f t="shared" ref="C268" si="121">SUM(C266:C267)</f>
        <v>150372</v>
      </c>
      <c r="D268" s="769">
        <f t="shared" ref="D268:E268" si="122">SUM(D266:D267)</f>
        <v>162714</v>
      </c>
      <c r="E268" s="769">
        <f t="shared" si="122"/>
        <v>163324</v>
      </c>
      <c r="F268" s="769">
        <f t="shared" ref="F268:G268" si="123">SUM(F266:F267)</f>
        <v>176735</v>
      </c>
      <c r="G268" s="769">
        <f t="shared" si="123"/>
        <v>176735</v>
      </c>
      <c r="H268" s="909">
        <f t="shared" ref="H268" si="124">SUM(H266:H267)</f>
        <v>172970</v>
      </c>
      <c r="I268" s="1431">
        <f>H268/G268</f>
        <v>0.97869691911619094</v>
      </c>
    </row>
    <row r="269" spans="1:9" ht="13.5" thickBot="1">
      <c r="A269" s="920"/>
      <c r="B269" s="704" t="s">
        <v>327</v>
      </c>
      <c r="C269" s="1455"/>
      <c r="D269" s="1448"/>
      <c r="E269" s="1448"/>
      <c r="F269" s="1448"/>
      <c r="G269" s="1448"/>
      <c r="H269" s="1448"/>
      <c r="I269" s="1441"/>
    </row>
    <row r="270" spans="1:9" ht="13.5" thickBot="1">
      <c r="A270" s="920"/>
      <c r="B270" s="703" t="s">
        <v>40</v>
      </c>
      <c r="C270" s="769"/>
      <c r="D270" s="769"/>
      <c r="E270" s="769"/>
      <c r="F270" s="769"/>
      <c r="G270" s="769"/>
      <c r="H270" s="909"/>
      <c r="I270" s="1441"/>
    </row>
    <row r="271" spans="1:9" ht="15.75" thickBot="1">
      <c r="A271" s="920"/>
      <c r="B271" s="705" t="s">
        <v>49</v>
      </c>
      <c r="C271" s="771">
        <f t="shared" ref="C271" si="125">SUM(C263+C265+C268+C270)</f>
        <v>150372</v>
      </c>
      <c r="D271" s="767">
        <f t="shared" ref="D271:E271" si="126">SUM(D263+D265+D268+D270)</f>
        <v>162714</v>
      </c>
      <c r="E271" s="767">
        <f t="shared" si="126"/>
        <v>163324</v>
      </c>
      <c r="F271" s="767">
        <f t="shared" ref="F271:G271" si="127">SUM(F263+F265+F268+F270)</f>
        <v>178367</v>
      </c>
      <c r="G271" s="767">
        <f t="shared" si="127"/>
        <v>178897</v>
      </c>
      <c r="H271" s="767">
        <f t="shared" ref="H271" si="128">SUM(H263+H265+H268+H270)</f>
        <v>175132</v>
      </c>
      <c r="I271" s="1431">
        <f>H271/G271</f>
        <v>0.97895437039190147</v>
      </c>
    </row>
    <row r="272" spans="1:9">
      <c r="A272" s="920"/>
      <c r="B272" s="706" t="s">
        <v>251</v>
      </c>
      <c r="C272" s="754">
        <v>127080</v>
      </c>
      <c r="D272" s="754">
        <f>127080+24+9212</f>
        <v>136316</v>
      </c>
      <c r="E272" s="754">
        <f>136316+540</f>
        <v>136856</v>
      </c>
      <c r="F272" s="754">
        <f>136316+540+12668</f>
        <v>149524</v>
      </c>
      <c r="G272" s="754">
        <f>136316+540+12668</f>
        <v>149524</v>
      </c>
      <c r="H272" s="754">
        <v>147845</v>
      </c>
      <c r="I272" s="1439">
        <f>H272/G272</f>
        <v>0.98877103341269634</v>
      </c>
    </row>
    <row r="273" spans="1:9">
      <c r="A273" s="920"/>
      <c r="B273" s="706" t="s">
        <v>252</v>
      </c>
      <c r="C273" s="754">
        <v>17095</v>
      </c>
      <c r="D273" s="754">
        <f>17095+63+1197</f>
        <v>18355</v>
      </c>
      <c r="E273" s="754">
        <f>18355+70</f>
        <v>18425</v>
      </c>
      <c r="F273" s="754">
        <f>18355+70+743</f>
        <v>19168</v>
      </c>
      <c r="G273" s="754">
        <f>18355+70+743</f>
        <v>19168</v>
      </c>
      <c r="H273" s="754">
        <v>18094</v>
      </c>
      <c r="I273" s="1439">
        <f>H273/G273</f>
        <v>0.94396911519198667</v>
      </c>
    </row>
    <row r="274" spans="1:9">
      <c r="A274" s="920"/>
      <c r="B274" s="706" t="s">
        <v>253</v>
      </c>
      <c r="C274" s="754">
        <v>3581</v>
      </c>
      <c r="D274" s="754">
        <f>3581+1693+153</f>
        <v>5427</v>
      </c>
      <c r="E274" s="754">
        <f>3581+1693+153</f>
        <v>5427</v>
      </c>
      <c r="F274" s="754">
        <f>3581+1693+153+1632</f>
        <v>7059</v>
      </c>
      <c r="G274" s="754">
        <f>3581+1693+153+1632+530</f>
        <v>7589</v>
      </c>
      <c r="H274" s="754">
        <v>4558</v>
      </c>
      <c r="I274" s="1439">
        <f>H274/G274</f>
        <v>0.60060614046646466</v>
      </c>
    </row>
    <row r="275" spans="1:9">
      <c r="A275" s="920"/>
      <c r="B275" s="707" t="s">
        <v>255</v>
      </c>
      <c r="C275" s="754"/>
      <c r="D275" s="754"/>
      <c r="E275" s="754"/>
      <c r="F275" s="754"/>
      <c r="G275" s="754"/>
      <c r="H275" s="902"/>
      <c r="I275" s="916"/>
    </row>
    <row r="276" spans="1:9" ht="13.5" thickBot="1">
      <c r="A276" s="920"/>
      <c r="B276" s="708" t="s">
        <v>254</v>
      </c>
      <c r="C276" s="754"/>
      <c r="D276" s="754"/>
      <c r="E276" s="754"/>
      <c r="F276" s="754"/>
      <c r="G276" s="754"/>
      <c r="H276" s="902"/>
      <c r="I276" s="1434"/>
    </row>
    <row r="277" spans="1:9" ht="13.5" thickBot="1">
      <c r="A277" s="920"/>
      <c r="B277" s="709" t="s">
        <v>37</v>
      </c>
      <c r="C277" s="771">
        <f t="shared" ref="C277" si="129">SUM(C272:C276)</f>
        <v>147756</v>
      </c>
      <c r="D277" s="771">
        <f t="shared" ref="D277:E277" si="130">SUM(D272:D276)</f>
        <v>160098</v>
      </c>
      <c r="E277" s="771">
        <f t="shared" si="130"/>
        <v>160708</v>
      </c>
      <c r="F277" s="771">
        <f t="shared" ref="F277:G277" si="131">SUM(F272:F276)</f>
        <v>175751</v>
      </c>
      <c r="G277" s="771">
        <f t="shared" si="131"/>
        <v>176281</v>
      </c>
      <c r="H277" s="910">
        <f t="shared" ref="H277" si="132">SUM(H272:H276)</f>
        <v>170497</v>
      </c>
      <c r="I277" s="1431">
        <f>H277/G277</f>
        <v>0.96718874978018055</v>
      </c>
    </row>
    <row r="278" spans="1:9">
      <c r="A278" s="920"/>
      <c r="B278" s="706" t="s">
        <v>759</v>
      </c>
      <c r="C278" s="1428">
        <v>2616</v>
      </c>
      <c r="D278" s="1428">
        <v>2616</v>
      </c>
      <c r="E278" s="1428">
        <v>2616</v>
      </c>
      <c r="F278" s="1428">
        <v>2616</v>
      </c>
      <c r="G278" s="1428">
        <v>2616</v>
      </c>
      <c r="H278" s="760">
        <v>1982</v>
      </c>
      <c r="I278" s="1439">
        <f>H278/G278</f>
        <v>0.75764525993883791</v>
      </c>
    </row>
    <row r="279" spans="1:9">
      <c r="A279" s="920"/>
      <c r="B279" s="706" t="s">
        <v>196</v>
      </c>
      <c r="C279" s="754"/>
      <c r="D279" s="754"/>
      <c r="E279" s="754"/>
      <c r="F279" s="754"/>
      <c r="G279" s="754"/>
      <c r="H279" s="902"/>
      <c r="I279" s="916"/>
    </row>
    <row r="280" spans="1:9" ht="13.5" thickBot="1">
      <c r="A280" s="920"/>
      <c r="B280" s="708" t="s">
        <v>336</v>
      </c>
      <c r="C280" s="754"/>
      <c r="D280" s="754"/>
      <c r="E280" s="754"/>
      <c r="F280" s="754"/>
      <c r="G280" s="754"/>
      <c r="H280" s="902"/>
      <c r="I280" s="1434"/>
    </row>
    <row r="281" spans="1:9" ht="13.5" thickBot="1">
      <c r="A281" s="920"/>
      <c r="B281" s="710" t="s">
        <v>43</v>
      </c>
      <c r="C281" s="771">
        <f t="shared" ref="C281" si="133">SUM(C278:C280)</f>
        <v>2616</v>
      </c>
      <c r="D281" s="771">
        <f t="shared" ref="D281:E281" si="134">SUM(D278:D280)</f>
        <v>2616</v>
      </c>
      <c r="E281" s="771">
        <f t="shared" si="134"/>
        <v>2616</v>
      </c>
      <c r="F281" s="771">
        <f t="shared" ref="F281:G281" si="135">SUM(F278:F280)</f>
        <v>2616</v>
      </c>
      <c r="G281" s="771">
        <f t="shared" si="135"/>
        <v>2616</v>
      </c>
      <c r="H281" s="910">
        <f t="shared" ref="H281" si="136">SUM(H278:H280)</f>
        <v>1982</v>
      </c>
      <c r="I281" s="1431">
        <f>H281/G281</f>
        <v>0.75764525993883791</v>
      </c>
    </row>
    <row r="282" spans="1:9" ht="15.75" thickBot="1">
      <c r="A282" s="921"/>
      <c r="B282" s="711" t="s">
        <v>81</v>
      </c>
      <c r="C282" s="767">
        <f t="shared" ref="C282" si="137">SUM(C277+C281)</f>
        <v>150372</v>
      </c>
      <c r="D282" s="767">
        <f t="shared" ref="D282:E282" si="138">SUM(D277+D281)</f>
        <v>162714</v>
      </c>
      <c r="E282" s="767">
        <f t="shared" si="138"/>
        <v>163324</v>
      </c>
      <c r="F282" s="767">
        <f t="shared" ref="F282:G282" si="139">SUM(F277+F281)</f>
        <v>178367</v>
      </c>
      <c r="G282" s="767">
        <f t="shared" si="139"/>
        <v>178897</v>
      </c>
      <c r="H282" s="907">
        <f t="shared" ref="H282" si="140">SUM(H277+H281)</f>
        <v>172479</v>
      </c>
      <c r="I282" s="1431">
        <f>H282/G282</f>
        <v>0.96412460801466771</v>
      </c>
    </row>
    <row r="283" spans="1:9" ht="15">
      <c r="A283" s="922">
        <v>2360</v>
      </c>
      <c r="B283" s="714" t="s">
        <v>262</v>
      </c>
      <c r="C283" s="754"/>
      <c r="D283" s="754"/>
      <c r="E283" s="754"/>
      <c r="F283" s="754"/>
      <c r="G283" s="754"/>
      <c r="H283" s="902"/>
      <c r="I283" s="1444"/>
    </row>
    <row r="284" spans="1:9" ht="12.75" customHeight="1">
      <c r="A284" s="920"/>
      <c r="B284" s="696" t="s">
        <v>140</v>
      </c>
      <c r="C284" s="1443"/>
      <c r="D284" s="1443"/>
      <c r="E284" s="1443"/>
      <c r="F284" s="1443"/>
      <c r="G284" s="1443"/>
      <c r="H284" s="695"/>
      <c r="I284" s="916"/>
    </row>
    <row r="285" spans="1:9" ht="13.5" thickBot="1">
      <c r="A285" s="920"/>
      <c r="B285" s="697" t="s">
        <v>141</v>
      </c>
      <c r="C285" s="764"/>
      <c r="D285" s="764"/>
      <c r="E285" s="764"/>
      <c r="F285" s="764">
        <v>1955</v>
      </c>
      <c r="G285" s="764">
        <f>1955+80</f>
        <v>2035</v>
      </c>
      <c r="H285" s="903">
        <v>2035</v>
      </c>
      <c r="I285" s="1439">
        <f>H285/G285</f>
        <v>1</v>
      </c>
    </row>
    <row r="286" spans="1:9" ht="13.5" thickBot="1">
      <c r="A286" s="920"/>
      <c r="B286" s="698" t="s">
        <v>152</v>
      </c>
      <c r="C286" s="1450"/>
      <c r="D286" s="1450"/>
      <c r="E286" s="1450"/>
      <c r="F286" s="765">
        <v>1955</v>
      </c>
      <c r="G286" s="765">
        <f>1955+80</f>
        <v>2035</v>
      </c>
      <c r="H286" s="904">
        <f>SUM(H285)</f>
        <v>2035</v>
      </c>
      <c r="I286" s="1431">
        <f>H286/G286</f>
        <v>1</v>
      </c>
    </row>
    <row r="287" spans="1:9">
      <c r="A287" s="920"/>
      <c r="B287" s="696" t="s">
        <v>143</v>
      </c>
      <c r="C287" s="754"/>
      <c r="D287" s="754"/>
      <c r="E287" s="754"/>
      <c r="F287" s="754"/>
      <c r="G287" s="754"/>
      <c r="H287" s="902"/>
      <c r="I287" s="1444"/>
    </row>
    <row r="288" spans="1:9">
      <c r="A288" s="920"/>
      <c r="B288" s="685" t="s">
        <v>144</v>
      </c>
      <c r="C288" s="757"/>
      <c r="D288" s="757"/>
      <c r="E288" s="757"/>
      <c r="F288" s="757"/>
      <c r="G288" s="757"/>
      <c r="H288" s="905"/>
      <c r="I288" s="916"/>
    </row>
    <row r="289" spans="1:9">
      <c r="A289" s="920"/>
      <c r="B289" s="685" t="s">
        <v>145</v>
      </c>
      <c r="C289" s="757"/>
      <c r="D289" s="757"/>
      <c r="E289" s="757"/>
      <c r="F289" s="757"/>
      <c r="G289" s="757"/>
      <c r="H289" s="905"/>
      <c r="I289" s="916"/>
    </row>
    <row r="290" spans="1:9">
      <c r="A290" s="920"/>
      <c r="B290" s="686" t="s">
        <v>146</v>
      </c>
      <c r="C290" s="754"/>
      <c r="D290" s="754"/>
      <c r="E290" s="754"/>
      <c r="F290" s="754"/>
      <c r="G290" s="754"/>
      <c r="H290" s="902"/>
      <c r="I290" s="916"/>
    </row>
    <row r="291" spans="1:9">
      <c r="A291" s="920"/>
      <c r="B291" s="686" t="s">
        <v>147</v>
      </c>
      <c r="C291" s="754"/>
      <c r="D291" s="754"/>
      <c r="E291" s="754"/>
      <c r="F291" s="754"/>
      <c r="G291" s="754"/>
      <c r="H291" s="902"/>
      <c r="I291" s="916"/>
    </row>
    <row r="292" spans="1:9">
      <c r="A292" s="920"/>
      <c r="B292" s="686" t="s">
        <v>148</v>
      </c>
      <c r="C292" s="754"/>
      <c r="D292" s="754"/>
      <c r="E292" s="754"/>
      <c r="F292" s="754"/>
      <c r="G292" s="754"/>
      <c r="H292" s="902"/>
      <c r="I292" s="916"/>
    </row>
    <row r="293" spans="1:9">
      <c r="A293" s="920"/>
      <c r="B293" s="687" t="s">
        <v>351</v>
      </c>
      <c r="C293" s="754"/>
      <c r="D293" s="754"/>
      <c r="E293" s="754"/>
      <c r="F293" s="754"/>
      <c r="G293" s="754"/>
      <c r="H293" s="902"/>
      <c r="I293" s="916"/>
    </row>
    <row r="294" spans="1:9" ht="13.5" thickBot="1">
      <c r="A294" s="920"/>
      <c r="B294" s="688" t="s">
        <v>149</v>
      </c>
      <c r="C294" s="766"/>
      <c r="D294" s="766"/>
      <c r="E294" s="766"/>
      <c r="F294" s="766"/>
      <c r="G294" s="766">
        <v>1</v>
      </c>
      <c r="H294" s="906">
        <v>1</v>
      </c>
      <c r="I294" s="1439">
        <f>H294/G294</f>
        <v>1</v>
      </c>
    </row>
    <row r="295" spans="1:9" ht="15" customHeight="1" thickBot="1">
      <c r="A295" s="920"/>
      <c r="B295" s="689" t="s">
        <v>270</v>
      </c>
      <c r="C295" s="767"/>
      <c r="D295" s="767"/>
      <c r="E295" s="767"/>
      <c r="F295" s="767"/>
      <c r="G295" s="767">
        <f>1</f>
        <v>1</v>
      </c>
      <c r="H295" s="907">
        <f>SUM(H288:H294)</f>
        <v>1</v>
      </c>
      <c r="I295" s="1431">
        <f>H295/G295</f>
        <v>1</v>
      </c>
    </row>
    <row r="296" spans="1:9" ht="13.5" thickBot="1">
      <c r="A296" s="920"/>
      <c r="B296" s="690" t="s">
        <v>176</v>
      </c>
      <c r="C296" s="767"/>
      <c r="D296" s="767"/>
      <c r="E296" s="767"/>
      <c r="F296" s="767"/>
      <c r="G296" s="767"/>
      <c r="H296" s="907"/>
      <c r="I296" s="1434"/>
    </row>
    <row r="297" spans="1:9" ht="13.5" thickBot="1">
      <c r="A297" s="920"/>
      <c r="B297" s="691" t="s">
        <v>44</v>
      </c>
      <c r="C297" s="770"/>
      <c r="D297" s="770"/>
      <c r="E297" s="770"/>
      <c r="F297" s="770">
        <f>F286</f>
        <v>1955</v>
      </c>
      <c r="G297" s="769">
        <f>G286+G295</f>
        <v>2036</v>
      </c>
      <c r="H297" s="769">
        <f>H286+H295</f>
        <v>2036</v>
      </c>
      <c r="I297" s="1431">
        <f t="shared" ref="I297:I302" si="141">H297/G297</f>
        <v>1</v>
      </c>
    </row>
    <row r="298" spans="1:9" ht="13.5" thickBot="1">
      <c r="A298" s="920"/>
      <c r="B298" s="699" t="s">
        <v>359</v>
      </c>
      <c r="C298" s="768"/>
      <c r="D298" s="768"/>
      <c r="E298" s="768"/>
      <c r="F298" s="768">
        <v>330</v>
      </c>
      <c r="G298" s="768">
        <v>330</v>
      </c>
      <c r="H298" s="908">
        <v>330</v>
      </c>
      <c r="I298" s="1438">
        <f t="shared" si="141"/>
        <v>1</v>
      </c>
    </row>
    <row r="299" spans="1:9" ht="13.5" thickBot="1">
      <c r="A299" s="920"/>
      <c r="B299" s="700" t="s">
        <v>45</v>
      </c>
      <c r="C299" s="769"/>
      <c r="D299" s="769"/>
      <c r="E299" s="769"/>
      <c r="F299" s="769">
        <v>330</v>
      </c>
      <c r="G299" s="769">
        <v>330</v>
      </c>
      <c r="H299" s="909">
        <f>SUM(H298)</f>
        <v>330</v>
      </c>
      <c r="I299" s="1431">
        <f t="shared" si="141"/>
        <v>1</v>
      </c>
    </row>
    <row r="300" spans="1:9">
      <c r="A300" s="920"/>
      <c r="B300" s="701" t="s">
        <v>327</v>
      </c>
      <c r="C300" s="1428"/>
      <c r="D300" s="1428">
        <v>2510</v>
      </c>
      <c r="E300" s="1428">
        <v>2510</v>
      </c>
      <c r="F300" s="1428">
        <v>2510</v>
      </c>
      <c r="G300" s="1428">
        <v>2510</v>
      </c>
      <c r="H300" s="1428">
        <v>2510</v>
      </c>
      <c r="I300" s="1438">
        <f t="shared" si="141"/>
        <v>1</v>
      </c>
    </row>
    <row r="301" spans="1:9" ht="13.5" thickBot="1">
      <c r="A301" s="920"/>
      <c r="B301" s="702" t="s">
        <v>355</v>
      </c>
      <c r="C301" s="906">
        <v>156347</v>
      </c>
      <c r="D301" s="906">
        <f>156347+73+1999</f>
        <v>158419</v>
      </c>
      <c r="E301" s="906">
        <f>158419+542</f>
        <v>158961</v>
      </c>
      <c r="F301" s="906">
        <f>158419+542+2786</f>
        <v>161747</v>
      </c>
      <c r="G301" s="906">
        <f>158419+542+2786</f>
        <v>161747</v>
      </c>
      <c r="H301" s="906">
        <v>157899</v>
      </c>
      <c r="I301" s="1454">
        <f t="shared" si="141"/>
        <v>0.97620975968642387</v>
      </c>
    </row>
    <row r="302" spans="1:9" ht="13.5" thickBot="1">
      <c r="A302" s="920"/>
      <c r="B302" s="703" t="s">
        <v>38</v>
      </c>
      <c r="C302" s="769">
        <f t="shared" ref="C302" si="142">SUM(C300:C301)</f>
        <v>156347</v>
      </c>
      <c r="D302" s="769">
        <f t="shared" ref="D302:E302" si="143">SUM(D300:D301)</f>
        <v>160929</v>
      </c>
      <c r="E302" s="769">
        <f t="shared" si="143"/>
        <v>161471</v>
      </c>
      <c r="F302" s="769">
        <f t="shared" ref="F302:G302" si="144">SUM(F300:F301)</f>
        <v>164257</v>
      </c>
      <c r="G302" s="769">
        <f t="shared" si="144"/>
        <v>164257</v>
      </c>
      <c r="H302" s="769">
        <f t="shared" ref="H302" si="145">SUM(H300:H301)</f>
        <v>160409</v>
      </c>
      <c r="I302" s="1431">
        <f t="shared" si="141"/>
        <v>0.97657329672403614</v>
      </c>
    </row>
    <row r="303" spans="1:9" ht="13.5" thickBot="1">
      <c r="A303" s="920"/>
      <c r="B303" s="704" t="s">
        <v>327</v>
      </c>
      <c r="C303" s="768"/>
      <c r="D303" s="768"/>
      <c r="E303" s="768"/>
      <c r="F303" s="768"/>
      <c r="G303" s="768"/>
      <c r="H303" s="908"/>
      <c r="I303" s="1441"/>
    </row>
    <row r="304" spans="1:9" ht="13.5" thickBot="1">
      <c r="A304" s="920"/>
      <c r="B304" s="703" t="s">
        <v>40</v>
      </c>
      <c r="C304" s="769"/>
      <c r="D304" s="769"/>
      <c r="E304" s="769"/>
      <c r="F304" s="769"/>
      <c r="G304" s="769"/>
      <c r="H304" s="909"/>
      <c r="I304" s="1441"/>
    </row>
    <row r="305" spans="1:9" ht="15.75" thickBot="1">
      <c r="A305" s="920"/>
      <c r="B305" s="705" t="s">
        <v>49</v>
      </c>
      <c r="C305" s="771">
        <f t="shared" ref="C305:H305" si="146">SUM(C297+C299+C302+C304)</f>
        <v>156347</v>
      </c>
      <c r="D305" s="767">
        <f t="shared" si="146"/>
        <v>160929</v>
      </c>
      <c r="E305" s="767">
        <f t="shared" si="146"/>
        <v>161471</v>
      </c>
      <c r="F305" s="767">
        <f t="shared" si="146"/>
        <v>166542</v>
      </c>
      <c r="G305" s="767">
        <f t="shared" si="146"/>
        <v>166623</v>
      </c>
      <c r="H305" s="767">
        <f t="shared" si="146"/>
        <v>162775</v>
      </c>
      <c r="I305" s="1431">
        <f>H305/G305</f>
        <v>0.97690594935873198</v>
      </c>
    </row>
    <row r="306" spans="1:9">
      <c r="A306" s="920"/>
      <c r="B306" s="706" t="s">
        <v>251</v>
      </c>
      <c r="C306" s="754">
        <v>131254</v>
      </c>
      <c r="D306" s="754">
        <f>131254+100+1769</f>
        <v>133123</v>
      </c>
      <c r="E306" s="754">
        <f>133123+480</f>
        <v>133603</v>
      </c>
      <c r="F306" s="754">
        <f>133123+480+2090</f>
        <v>135693</v>
      </c>
      <c r="G306" s="754">
        <f>133123+480+2090</f>
        <v>135693</v>
      </c>
      <c r="H306" s="754">
        <v>132918</v>
      </c>
      <c r="I306" s="1456">
        <f>H306/G306</f>
        <v>0.97954942406756429</v>
      </c>
    </row>
    <row r="307" spans="1:9">
      <c r="A307" s="920"/>
      <c r="B307" s="706" t="s">
        <v>252</v>
      </c>
      <c r="C307" s="754">
        <v>17638</v>
      </c>
      <c r="D307" s="754">
        <f>17638+139+230</f>
        <v>18007</v>
      </c>
      <c r="E307" s="754">
        <f>18007+62</f>
        <v>18069</v>
      </c>
      <c r="F307" s="754">
        <f>18007+62+696</f>
        <v>18765</v>
      </c>
      <c r="G307" s="754">
        <f>18007+62+696</f>
        <v>18765</v>
      </c>
      <c r="H307" s="754">
        <v>17953</v>
      </c>
      <c r="I307" s="1456">
        <f>H307/G307</f>
        <v>0.95672795097255525</v>
      </c>
    </row>
    <row r="308" spans="1:9">
      <c r="A308" s="920"/>
      <c r="B308" s="706" t="s">
        <v>253</v>
      </c>
      <c r="C308" s="754">
        <v>5220</v>
      </c>
      <c r="D308" s="754">
        <f>5220+2271+73</f>
        <v>7564</v>
      </c>
      <c r="E308" s="754">
        <f>5220+2271+73</f>
        <v>7564</v>
      </c>
      <c r="F308" s="754">
        <f>5220+2271+73+1955</f>
        <v>9519</v>
      </c>
      <c r="G308" s="754">
        <f>5220+2271+73+1955+81</f>
        <v>9600</v>
      </c>
      <c r="H308" s="754">
        <v>7111</v>
      </c>
      <c r="I308" s="1456">
        <f>H308/G308</f>
        <v>0.74072916666666666</v>
      </c>
    </row>
    <row r="309" spans="1:9">
      <c r="A309" s="920"/>
      <c r="B309" s="707" t="s">
        <v>255</v>
      </c>
      <c r="C309" s="754"/>
      <c r="D309" s="754"/>
      <c r="E309" s="754"/>
      <c r="F309" s="754"/>
      <c r="G309" s="754"/>
      <c r="H309" s="754"/>
      <c r="I309" s="916"/>
    </row>
    <row r="310" spans="1:9" ht="13.5" thickBot="1">
      <c r="A310" s="920"/>
      <c r="B310" s="708" t="s">
        <v>254</v>
      </c>
      <c r="C310" s="754"/>
      <c r="D310" s="754"/>
      <c r="E310" s="754"/>
      <c r="F310" s="754"/>
      <c r="G310" s="754"/>
      <c r="H310" s="902"/>
      <c r="I310" s="1434"/>
    </row>
    <row r="311" spans="1:9" ht="13.5" thickBot="1">
      <c r="A311" s="920"/>
      <c r="B311" s="709" t="s">
        <v>37</v>
      </c>
      <c r="C311" s="771">
        <f t="shared" ref="C311" si="147">SUM(C306:C310)</f>
        <v>154112</v>
      </c>
      <c r="D311" s="771">
        <f t="shared" ref="D311:E311" si="148">SUM(D306:D310)</f>
        <v>158694</v>
      </c>
      <c r="E311" s="771">
        <f t="shared" si="148"/>
        <v>159236</v>
      </c>
      <c r="F311" s="771">
        <f t="shared" ref="F311:G311" si="149">SUM(F306:F310)</f>
        <v>163977</v>
      </c>
      <c r="G311" s="771">
        <f t="shared" si="149"/>
        <v>164058</v>
      </c>
      <c r="H311" s="910">
        <f t="shared" ref="H311" si="150">SUM(H306:H310)</f>
        <v>157982</v>
      </c>
      <c r="I311" s="1430">
        <f>H311/G311</f>
        <v>0.96296431749747036</v>
      </c>
    </row>
    <row r="312" spans="1:9">
      <c r="A312" s="920"/>
      <c r="B312" s="706" t="s">
        <v>759</v>
      </c>
      <c r="C312" s="754">
        <v>2235</v>
      </c>
      <c r="D312" s="754">
        <v>2235</v>
      </c>
      <c r="E312" s="754">
        <v>2235</v>
      </c>
      <c r="F312" s="754">
        <f>2235+330</f>
        <v>2565</v>
      </c>
      <c r="G312" s="754">
        <f>2235+330</f>
        <v>2565</v>
      </c>
      <c r="H312" s="902">
        <v>2235</v>
      </c>
      <c r="I312" s="1456">
        <f>H312/G312</f>
        <v>0.87134502923976609</v>
      </c>
    </row>
    <row r="313" spans="1:9">
      <c r="A313" s="920"/>
      <c r="B313" s="706" t="s">
        <v>196</v>
      </c>
      <c r="C313" s="754"/>
      <c r="D313" s="754"/>
      <c r="E313" s="754"/>
      <c r="F313" s="754"/>
      <c r="G313" s="754"/>
      <c r="H313" s="902"/>
      <c r="I313" s="916"/>
    </row>
    <row r="314" spans="1:9" ht="13.5" thickBot="1">
      <c r="A314" s="920"/>
      <c r="B314" s="708" t="s">
        <v>336</v>
      </c>
      <c r="C314" s="754"/>
      <c r="D314" s="754"/>
      <c r="E314" s="754"/>
      <c r="F314" s="754"/>
      <c r="G314" s="754"/>
      <c r="H314" s="902"/>
      <c r="I314" s="1434"/>
    </row>
    <row r="315" spans="1:9" ht="13.5" thickBot="1">
      <c r="A315" s="920"/>
      <c r="B315" s="710" t="s">
        <v>43</v>
      </c>
      <c r="C315" s="771">
        <f t="shared" ref="C315" si="151">SUM(C312:C314)</f>
        <v>2235</v>
      </c>
      <c r="D315" s="771">
        <f t="shared" ref="D315:E315" si="152">SUM(D312:D314)</f>
        <v>2235</v>
      </c>
      <c r="E315" s="771">
        <f t="shared" si="152"/>
        <v>2235</v>
      </c>
      <c r="F315" s="771">
        <f t="shared" ref="F315:G315" si="153">SUM(F312:F314)</f>
        <v>2565</v>
      </c>
      <c r="G315" s="771">
        <f t="shared" si="153"/>
        <v>2565</v>
      </c>
      <c r="H315" s="910">
        <f t="shared" ref="H315" si="154">SUM(H312:H314)</f>
        <v>2235</v>
      </c>
      <c r="I315" s="1430">
        <f>H315/G315</f>
        <v>0.87134502923976609</v>
      </c>
    </row>
    <row r="316" spans="1:9" ht="15.75" thickBot="1">
      <c r="A316" s="921"/>
      <c r="B316" s="711" t="s">
        <v>81</v>
      </c>
      <c r="C316" s="771">
        <f t="shared" ref="C316" si="155">SUM(C311+C315)</f>
        <v>156347</v>
      </c>
      <c r="D316" s="767">
        <f t="shared" ref="D316:E316" si="156">SUM(D311+D315)</f>
        <v>160929</v>
      </c>
      <c r="E316" s="767">
        <f t="shared" si="156"/>
        <v>161471</v>
      </c>
      <c r="F316" s="767">
        <f t="shared" ref="F316:G316" si="157">SUM(F311+F315)</f>
        <v>166542</v>
      </c>
      <c r="G316" s="767">
        <f t="shared" si="157"/>
        <v>166623</v>
      </c>
      <c r="H316" s="907">
        <f t="shared" ref="H316" si="158">SUM(H311+H315)</f>
        <v>160217</v>
      </c>
      <c r="I316" s="1457">
        <f>H316/G316</f>
        <v>0.96155392712890775</v>
      </c>
    </row>
    <row r="317" spans="1:9" ht="15">
      <c r="A317" s="924">
        <v>2499</v>
      </c>
      <c r="B317" s="713" t="s">
        <v>263</v>
      </c>
      <c r="C317" s="1458"/>
      <c r="D317" s="1458"/>
      <c r="E317" s="1458"/>
      <c r="F317" s="1458"/>
      <c r="G317" s="1458"/>
      <c r="H317" s="1459"/>
      <c r="I317" s="1444"/>
    </row>
    <row r="318" spans="1:9" ht="12.75" customHeight="1">
      <c r="A318" s="924"/>
      <c r="B318" s="696" t="s">
        <v>140</v>
      </c>
      <c r="C318" s="1443"/>
      <c r="D318" s="1443"/>
      <c r="E318" s="1443"/>
      <c r="F318" s="1443"/>
      <c r="G318" s="1443"/>
      <c r="H318" s="695"/>
      <c r="I318" s="916"/>
    </row>
    <row r="319" spans="1:9" ht="12.75" customHeight="1" thickBot="1">
      <c r="A319" s="924"/>
      <c r="B319" s="697" t="s">
        <v>141</v>
      </c>
      <c r="C319" s="755"/>
      <c r="D319" s="755">
        <f>D285+D251+D217+D183+D149+D114+D80+D45+D11</f>
        <v>0</v>
      </c>
      <c r="E319" s="755">
        <f>E285+E251+E217+E183+E149+E114+E80+E45+E11</f>
        <v>0</v>
      </c>
      <c r="F319" s="755">
        <f>F285+F251+F217+F183+F149+F114+F80+F45+F11</f>
        <v>15075</v>
      </c>
      <c r="G319" s="755">
        <f>G285+G251+G217+G183+G149+G114+G80+G45+G11</f>
        <v>18075</v>
      </c>
      <c r="H319" s="911">
        <f>H285+H251+H217+H183+H149+H114+H80+H45+H11</f>
        <v>18075</v>
      </c>
      <c r="I319" s="1439">
        <f>H319/G319</f>
        <v>1</v>
      </c>
    </row>
    <row r="320" spans="1:9" ht="12.75" customHeight="1" thickBot="1">
      <c r="A320" s="924"/>
      <c r="B320" s="698" t="s">
        <v>152</v>
      </c>
      <c r="C320" s="1453">
        <f t="shared" ref="C320:H320" si="159">SUM(C319)</f>
        <v>0</v>
      </c>
      <c r="D320" s="1453">
        <f t="shared" si="159"/>
        <v>0</v>
      </c>
      <c r="E320" s="1453">
        <f t="shared" si="159"/>
        <v>0</v>
      </c>
      <c r="F320" s="1453">
        <f t="shared" si="159"/>
        <v>15075</v>
      </c>
      <c r="G320" s="1453">
        <f t="shared" si="159"/>
        <v>18075</v>
      </c>
      <c r="H320" s="1460">
        <f t="shared" si="159"/>
        <v>18075</v>
      </c>
      <c r="I320" s="1431">
        <f>H320/G320</f>
        <v>1</v>
      </c>
    </row>
    <row r="321" spans="1:9" ht="12.75" customHeight="1">
      <c r="A321" s="924"/>
      <c r="B321" s="696" t="s">
        <v>143</v>
      </c>
      <c r="C321" s="754"/>
      <c r="D321" s="754"/>
      <c r="E321" s="754"/>
      <c r="F321" s="754"/>
      <c r="G321" s="754"/>
      <c r="H321" s="902"/>
      <c r="I321" s="1444"/>
    </row>
    <row r="322" spans="1:9" ht="12.75" customHeight="1">
      <c r="A322" s="924"/>
      <c r="B322" s="685" t="s">
        <v>144</v>
      </c>
      <c r="C322" s="757"/>
      <c r="D322" s="757"/>
      <c r="E322" s="757"/>
      <c r="F322" s="757"/>
      <c r="G322" s="757"/>
      <c r="H322" s="905"/>
      <c r="I322" s="916"/>
    </row>
    <row r="323" spans="1:9" ht="12.75" customHeight="1">
      <c r="A323" s="924"/>
      <c r="B323" s="685" t="s">
        <v>145</v>
      </c>
      <c r="C323" s="757"/>
      <c r="D323" s="757"/>
      <c r="E323" s="757"/>
      <c r="F323" s="757"/>
      <c r="G323" s="757"/>
      <c r="H323" s="905"/>
      <c r="I323" s="916"/>
    </row>
    <row r="324" spans="1:9" ht="12.75" customHeight="1">
      <c r="A324" s="924"/>
      <c r="B324" s="686" t="s">
        <v>146</v>
      </c>
      <c r="C324" s="754"/>
      <c r="D324" s="754"/>
      <c r="E324" s="754"/>
      <c r="F324" s="754"/>
      <c r="G324" s="754"/>
      <c r="H324" s="902"/>
      <c r="I324" s="916"/>
    </row>
    <row r="325" spans="1:9" ht="12.75" customHeight="1">
      <c r="A325" s="924"/>
      <c r="B325" s="686" t="s">
        <v>147</v>
      </c>
      <c r="C325" s="754"/>
      <c r="D325" s="754"/>
      <c r="E325" s="754"/>
      <c r="F325" s="754"/>
      <c r="G325" s="754"/>
      <c r="H325" s="902"/>
      <c r="I325" s="916"/>
    </row>
    <row r="326" spans="1:9" ht="13.5" customHeight="1">
      <c r="A326" s="924"/>
      <c r="B326" s="686" t="s">
        <v>148</v>
      </c>
      <c r="C326" s="754"/>
      <c r="D326" s="754"/>
      <c r="E326" s="754"/>
      <c r="F326" s="754"/>
      <c r="G326" s="754"/>
      <c r="H326" s="902"/>
      <c r="I326" s="916"/>
    </row>
    <row r="327" spans="1:9" ht="12.75" customHeight="1">
      <c r="A327" s="924"/>
      <c r="B327" s="686" t="s">
        <v>274</v>
      </c>
      <c r="C327" s="754"/>
      <c r="D327" s="754"/>
      <c r="E327" s="754"/>
      <c r="F327" s="754"/>
      <c r="G327" s="754"/>
      <c r="H327" s="902"/>
      <c r="I327" s="916"/>
    </row>
    <row r="328" spans="1:9" ht="12.75" customHeight="1">
      <c r="A328" s="924"/>
      <c r="B328" s="687" t="s">
        <v>351</v>
      </c>
      <c r="C328" s="754"/>
      <c r="D328" s="754"/>
      <c r="E328" s="754"/>
      <c r="F328" s="754"/>
      <c r="G328" s="754"/>
      <c r="H328" s="902"/>
      <c r="I328" s="916"/>
    </row>
    <row r="329" spans="1:9" ht="12.75" customHeight="1" thickBot="1">
      <c r="A329" s="924"/>
      <c r="B329" s="688" t="s">
        <v>149</v>
      </c>
      <c r="C329" s="754"/>
      <c r="D329" s="755">
        <f>D295+D261+D227+D193+D159+D124+D90+D55+D21</f>
        <v>115</v>
      </c>
      <c r="E329" s="755">
        <f>E295+E261+E227+E193+E159+E124+E90+E55+E21</f>
        <v>115</v>
      </c>
      <c r="F329" s="755">
        <f>F295+F261+F227+F193+F159+F124+F90+F55+F21</f>
        <v>149</v>
      </c>
      <c r="G329" s="755">
        <f>G295+G261+G227+G193+G159+G125+G90+G55+G21</f>
        <v>157</v>
      </c>
      <c r="H329" s="911">
        <f>H295+H261+H227+H193+H159+H125+H90+H55+H21</f>
        <v>157</v>
      </c>
      <c r="I329" s="1454">
        <f>H329/G329</f>
        <v>1</v>
      </c>
    </row>
    <row r="330" spans="1:9" ht="12.75" customHeight="1" thickBot="1">
      <c r="A330" s="924"/>
      <c r="B330" s="689" t="s">
        <v>270</v>
      </c>
      <c r="C330" s="771"/>
      <c r="D330" s="771">
        <v>115</v>
      </c>
      <c r="E330" s="771">
        <v>115</v>
      </c>
      <c r="F330" s="771">
        <f>115+34</f>
        <v>149</v>
      </c>
      <c r="G330" s="771">
        <f>115+34+8</f>
        <v>157</v>
      </c>
      <c r="H330" s="910">
        <f>SUM(H323:H329)</f>
        <v>157</v>
      </c>
      <c r="I330" s="1430">
        <f>H330/G330</f>
        <v>1</v>
      </c>
    </row>
    <row r="331" spans="1:9" ht="12.75" customHeight="1" thickBot="1">
      <c r="A331" s="924"/>
      <c r="B331" s="690" t="s">
        <v>176</v>
      </c>
      <c r="C331" s="771"/>
      <c r="D331" s="767"/>
      <c r="E331" s="767"/>
      <c r="F331" s="767"/>
      <c r="G331" s="767"/>
      <c r="H331" s="907"/>
      <c r="I331" s="1434"/>
    </row>
    <row r="332" spans="1:9" ht="12.75" customHeight="1" thickBot="1">
      <c r="A332" s="924"/>
      <c r="B332" s="691" t="s">
        <v>44</v>
      </c>
      <c r="C332" s="1451">
        <f t="shared" ref="C332:H332" si="160">C320+C330+C331</f>
        <v>0</v>
      </c>
      <c r="D332" s="770">
        <f t="shared" si="160"/>
        <v>115</v>
      </c>
      <c r="E332" s="770">
        <f t="shared" si="160"/>
        <v>115</v>
      </c>
      <c r="F332" s="770">
        <f t="shared" si="160"/>
        <v>15224</v>
      </c>
      <c r="G332" s="770">
        <f t="shared" si="160"/>
        <v>18232</v>
      </c>
      <c r="H332" s="762">
        <f t="shared" si="160"/>
        <v>18232</v>
      </c>
      <c r="I332" s="1434">
        <f>H332/G332</f>
        <v>1</v>
      </c>
    </row>
    <row r="333" spans="1:9" ht="12.75" customHeight="1" thickBot="1">
      <c r="A333" s="924"/>
      <c r="B333" s="715" t="s">
        <v>359</v>
      </c>
      <c r="C333" s="1449"/>
      <c r="D333" s="1461">
        <f>D299+D265+D231+D197+D163+D128+D94+D59+D25</f>
        <v>0</v>
      </c>
      <c r="E333" s="1461">
        <f>E299+E265+E231+E197+E163+E128+E94+E59+E25</f>
        <v>0</v>
      </c>
      <c r="F333" s="1461">
        <f>F299+F265+F231+F197+F163+F128+F94+F59+F25</f>
        <v>1530</v>
      </c>
      <c r="G333" s="1461">
        <f>G299+G265+G231+G197+G163+G128+G94+G59+G25</f>
        <v>1530</v>
      </c>
      <c r="H333" s="1462">
        <f>H299+H265+H231+H197+H163+H128+H94+H59+H25</f>
        <v>1530</v>
      </c>
      <c r="I333" s="1441">
        <f t="shared" ref="I333:I343" si="161">H333/G333</f>
        <v>1</v>
      </c>
    </row>
    <row r="334" spans="1:9" ht="12.75" customHeight="1" thickBot="1">
      <c r="A334" s="924"/>
      <c r="B334" s="716" t="s">
        <v>45</v>
      </c>
      <c r="C334" s="1451"/>
      <c r="D334" s="770">
        <f>D299+D265+D231+D197+D163+D129+D94+D60+D25</f>
        <v>0</v>
      </c>
      <c r="E334" s="770">
        <f t="shared" ref="E334:F334" si="162">E299+E265+E231+E197+E163+E129+E94+E60+E25</f>
        <v>0</v>
      </c>
      <c r="F334" s="770">
        <f t="shared" si="162"/>
        <v>1530</v>
      </c>
      <c r="G334" s="770">
        <f t="shared" ref="G334:H334" si="163">G299+G265+G231+G197+G163+G129+G94+G60+G25</f>
        <v>1530</v>
      </c>
      <c r="H334" s="762">
        <f t="shared" si="163"/>
        <v>1530</v>
      </c>
      <c r="I334" s="1430">
        <f t="shared" si="161"/>
        <v>1</v>
      </c>
    </row>
    <row r="335" spans="1:9" ht="12.75" customHeight="1">
      <c r="A335" s="924"/>
      <c r="B335" s="701" t="s">
        <v>327</v>
      </c>
      <c r="C335" s="1463">
        <f t="shared" ref="C335:H335" si="164">C26+C61+C95+C130+C164+C198+C232+C266+C300</f>
        <v>0</v>
      </c>
      <c r="D335" s="1463">
        <f t="shared" si="164"/>
        <v>17843</v>
      </c>
      <c r="E335" s="1463">
        <f t="shared" si="164"/>
        <v>18021</v>
      </c>
      <c r="F335" s="1463">
        <f t="shared" si="164"/>
        <v>18021</v>
      </c>
      <c r="G335" s="1463">
        <f t="shared" si="164"/>
        <v>18021</v>
      </c>
      <c r="H335" s="1464">
        <f t="shared" si="164"/>
        <v>18021</v>
      </c>
      <c r="I335" s="1444">
        <f t="shared" si="161"/>
        <v>1</v>
      </c>
    </row>
    <row r="336" spans="1:9" ht="12.75" customHeight="1" thickBot="1">
      <c r="A336" s="924"/>
      <c r="B336" s="702" t="s">
        <v>355</v>
      </c>
      <c r="C336" s="766">
        <f t="shared" ref="C336" si="165">SUM(C27+C62+C96+C131+C165+C199+C233+C267+C301)</f>
        <v>2296387</v>
      </c>
      <c r="D336" s="766">
        <f t="shared" ref="D336:E336" si="166">SUM(D27+D62+D96+D131+D165+D199+D233+D267+D301)</f>
        <v>2330667</v>
      </c>
      <c r="E336" s="766">
        <f t="shared" si="166"/>
        <v>2345759</v>
      </c>
      <c r="F336" s="766">
        <f t="shared" ref="F336:G336" si="167">SUM(F27+F62+F96+F131+F165+F199+F233+F267+F301)</f>
        <v>2457822</v>
      </c>
      <c r="G336" s="766">
        <f t="shared" si="167"/>
        <v>2457822</v>
      </c>
      <c r="H336" s="906">
        <f t="shared" ref="H336" si="168">SUM(H27+H62+H96+H131+H165+H199+H233+H267+H301)</f>
        <v>2394408</v>
      </c>
      <c r="I336" s="1434">
        <f t="shared" si="161"/>
        <v>0.97419910799073328</v>
      </c>
    </row>
    <row r="337" spans="1:9" ht="12.75" customHeight="1" thickBot="1">
      <c r="A337" s="924"/>
      <c r="B337" s="703" t="s">
        <v>38</v>
      </c>
      <c r="C337" s="769">
        <f t="shared" ref="C337:H337" si="169">SUM(C335:C336)</f>
        <v>2296387</v>
      </c>
      <c r="D337" s="769">
        <f t="shared" si="169"/>
        <v>2348510</v>
      </c>
      <c r="E337" s="769">
        <f t="shared" si="169"/>
        <v>2363780</v>
      </c>
      <c r="F337" s="769">
        <f t="shared" si="169"/>
        <v>2475843</v>
      </c>
      <c r="G337" s="769">
        <f t="shared" si="169"/>
        <v>2475843</v>
      </c>
      <c r="H337" s="909">
        <f t="shared" si="169"/>
        <v>2412429</v>
      </c>
      <c r="I337" s="1457">
        <f t="shared" si="161"/>
        <v>0.97438690579329945</v>
      </c>
    </row>
    <row r="338" spans="1:9" ht="12.75" customHeight="1" thickBot="1">
      <c r="A338" s="924"/>
      <c r="B338" s="704" t="s">
        <v>327</v>
      </c>
      <c r="C338" s="768"/>
      <c r="D338" s="768">
        <f>D235</f>
        <v>500</v>
      </c>
      <c r="E338" s="768">
        <f>E235</f>
        <v>500</v>
      </c>
      <c r="F338" s="768">
        <f>F235</f>
        <v>500</v>
      </c>
      <c r="G338" s="768">
        <f>G235</f>
        <v>500</v>
      </c>
      <c r="H338" s="908">
        <f>H235</f>
        <v>500</v>
      </c>
      <c r="I338" s="1441">
        <f t="shared" si="161"/>
        <v>1</v>
      </c>
    </row>
    <row r="339" spans="1:9" ht="12.75" customHeight="1" thickBot="1">
      <c r="A339" s="924"/>
      <c r="B339" s="703" t="s">
        <v>40</v>
      </c>
      <c r="C339" s="769"/>
      <c r="D339" s="769">
        <f>D338</f>
        <v>500</v>
      </c>
      <c r="E339" s="769">
        <f>E338</f>
        <v>500</v>
      </c>
      <c r="F339" s="769">
        <f>F338</f>
        <v>500</v>
      </c>
      <c r="G339" s="769">
        <f>G338</f>
        <v>500</v>
      </c>
      <c r="H339" s="909">
        <f>H338</f>
        <v>500</v>
      </c>
      <c r="I339" s="1441">
        <f t="shared" si="161"/>
        <v>1</v>
      </c>
    </row>
    <row r="340" spans="1:9" ht="12.75" customHeight="1" thickBot="1">
      <c r="A340" s="924"/>
      <c r="B340" s="719" t="s">
        <v>49</v>
      </c>
      <c r="C340" s="1465">
        <f t="shared" ref="C340:H340" si="170">SUM(C332+C334+C337+C339)</f>
        <v>2296387</v>
      </c>
      <c r="D340" s="769">
        <f t="shared" si="170"/>
        <v>2349125</v>
      </c>
      <c r="E340" s="769">
        <f t="shared" si="170"/>
        <v>2364395</v>
      </c>
      <c r="F340" s="769">
        <f t="shared" si="170"/>
        <v>2493097</v>
      </c>
      <c r="G340" s="769">
        <f t="shared" si="170"/>
        <v>2496105</v>
      </c>
      <c r="H340" s="909">
        <f t="shared" si="170"/>
        <v>2432691</v>
      </c>
      <c r="I340" s="1430">
        <f t="shared" si="161"/>
        <v>0.97459481872757758</v>
      </c>
    </row>
    <row r="341" spans="1:9" ht="15">
      <c r="A341" s="924"/>
      <c r="B341" s="706" t="s">
        <v>251</v>
      </c>
      <c r="C341" s="754">
        <f t="shared" ref="C341:H341" si="171">SUM(C32+C67+C101+C136+C170+C204+C238+C272+C306)</f>
        <v>1933759</v>
      </c>
      <c r="D341" s="754">
        <f t="shared" si="171"/>
        <v>1959142</v>
      </c>
      <c r="E341" s="754">
        <f t="shared" si="171"/>
        <v>1966274</v>
      </c>
      <c r="F341" s="754">
        <f t="shared" si="171"/>
        <v>2070267</v>
      </c>
      <c r="G341" s="754">
        <f t="shared" si="171"/>
        <v>2070055</v>
      </c>
      <c r="H341" s="902">
        <f t="shared" si="171"/>
        <v>2039392</v>
      </c>
      <c r="I341" s="916">
        <f t="shared" si="161"/>
        <v>0.98518735009456271</v>
      </c>
    </row>
    <row r="342" spans="1:9">
      <c r="A342" s="920"/>
      <c r="B342" s="706" t="s">
        <v>252</v>
      </c>
      <c r="C342" s="754">
        <f t="shared" ref="C342" si="172">SUM(C33+C68+C102+C137+C171+C205+C239+C273+C307)</f>
        <v>279512</v>
      </c>
      <c r="D342" s="754">
        <f t="shared" ref="D342:E342" si="173">SUM(D33+D68+D102+D137+D171+D205+D239+D273+D307)</f>
        <v>288579</v>
      </c>
      <c r="E342" s="754">
        <f t="shared" si="173"/>
        <v>289500</v>
      </c>
      <c r="F342" s="754">
        <f t="shared" ref="F342:G342" si="174">SUM(F33+F68+F102+F137+F171+F205+F239+F273+F307)</f>
        <v>297570</v>
      </c>
      <c r="G342" s="754">
        <f t="shared" si="174"/>
        <v>297782</v>
      </c>
      <c r="H342" s="902">
        <f t="shared" ref="H342" si="175">SUM(H33+H68+H102+H137+H171+H205+H239+H273+H307)</f>
        <v>275620</v>
      </c>
      <c r="I342" s="916">
        <f t="shared" si="161"/>
        <v>0.92557642839392573</v>
      </c>
    </row>
    <row r="343" spans="1:9">
      <c r="A343" s="920"/>
      <c r="B343" s="706" t="s">
        <v>253</v>
      </c>
      <c r="C343" s="754">
        <f t="shared" ref="C343:H343" si="176">SUM(C34+C69+C103+C138+C172+C206+C240+C274+C308)</f>
        <v>55316</v>
      </c>
      <c r="D343" s="754">
        <f t="shared" si="176"/>
        <v>72254</v>
      </c>
      <c r="E343" s="754">
        <f t="shared" si="176"/>
        <v>73619</v>
      </c>
      <c r="F343" s="754">
        <f t="shared" si="176"/>
        <v>88728</v>
      </c>
      <c r="G343" s="754">
        <f t="shared" si="176"/>
        <v>91736</v>
      </c>
      <c r="H343" s="902">
        <f t="shared" si="176"/>
        <v>64540</v>
      </c>
      <c r="I343" s="916">
        <f t="shared" si="161"/>
        <v>0.70354059475015263</v>
      </c>
    </row>
    <row r="344" spans="1:9">
      <c r="A344" s="920"/>
      <c r="B344" s="707" t="s">
        <v>255</v>
      </c>
      <c r="C344" s="754"/>
      <c r="D344" s="754"/>
      <c r="E344" s="754"/>
      <c r="F344" s="754"/>
      <c r="G344" s="754"/>
      <c r="H344" s="902"/>
      <c r="I344" s="916"/>
    </row>
    <row r="345" spans="1:9" ht="13.5" thickBot="1">
      <c r="A345" s="920"/>
      <c r="B345" s="708" t="s">
        <v>254</v>
      </c>
      <c r="C345" s="754">
        <f>C208</f>
        <v>0</v>
      </c>
      <c r="D345" s="754">
        <f>D208</f>
        <v>0</v>
      </c>
      <c r="E345" s="754">
        <f>E208+E174</f>
        <v>902</v>
      </c>
      <c r="F345" s="754">
        <f>F208+F174</f>
        <v>902</v>
      </c>
      <c r="G345" s="754">
        <f>G208+G174</f>
        <v>902</v>
      </c>
      <c r="H345" s="902">
        <f>H208+H174</f>
        <v>902</v>
      </c>
      <c r="I345" s="1454">
        <f>H345/G345</f>
        <v>1</v>
      </c>
    </row>
    <row r="346" spans="1:9" ht="13.5" thickBot="1">
      <c r="A346" s="920"/>
      <c r="B346" s="709" t="s">
        <v>37</v>
      </c>
      <c r="C346" s="771">
        <f t="shared" ref="C346" si="177">SUM(C341:C345)</f>
        <v>2268587</v>
      </c>
      <c r="D346" s="771">
        <f t="shared" ref="D346:E346" si="178">SUM(D341:D345)</f>
        <v>2319975</v>
      </c>
      <c r="E346" s="771">
        <f t="shared" si="178"/>
        <v>2330295</v>
      </c>
      <c r="F346" s="771">
        <f t="shared" ref="F346:G346" si="179">SUM(F341:F345)</f>
        <v>2457467</v>
      </c>
      <c r="G346" s="771">
        <f t="shared" si="179"/>
        <v>2460475</v>
      </c>
      <c r="H346" s="910">
        <f t="shared" ref="H346" si="180">SUM(H341:H345)</f>
        <v>2380454</v>
      </c>
      <c r="I346" s="1430">
        <f>H346/G346</f>
        <v>0.96747741797823594</v>
      </c>
    </row>
    <row r="347" spans="1:9">
      <c r="A347" s="920"/>
      <c r="B347" s="706" t="s">
        <v>195</v>
      </c>
      <c r="C347" s="754">
        <f t="shared" ref="C347:H347" si="181">SUM(C312+C278+C244+C210+C176+C142+C107+C73+C38)</f>
        <v>27800</v>
      </c>
      <c r="D347" s="754">
        <f t="shared" si="181"/>
        <v>29150</v>
      </c>
      <c r="E347" s="754">
        <f t="shared" si="181"/>
        <v>34100</v>
      </c>
      <c r="F347" s="754">
        <f t="shared" si="181"/>
        <v>35630</v>
      </c>
      <c r="G347" s="754">
        <f t="shared" si="181"/>
        <v>35630</v>
      </c>
      <c r="H347" s="902">
        <f t="shared" si="181"/>
        <v>25302</v>
      </c>
      <c r="I347" s="916">
        <f>H347/G347</f>
        <v>0.7101319113106932</v>
      </c>
    </row>
    <row r="348" spans="1:9">
      <c r="A348" s="920"/>
      <c r="B348" s="706" t="s">
        <v>196</v>
      </c>
      <c r="C348" s="754"/>
      <c r="D348" s="754"/>
      <c r="E348" s="754"/>
      <c r="F348" s="754"/>
      <c r="G348" s="754"/>
      <c r="H348" s="902"/>
      <c r="I348" s="916"/>
    </row>
    <row r="349" spans="1:9" ht="13.5" thickBot="1">
      <c r="A349" s="920"/>
      <c r="B349" s="708" t="s">
        <v>336</v>
      </c>
      <c r="C349" s="766"/>
      <c r="D349" s="766"/>
      <c r="E349" s="766"/>
      <c r="F349" s="766"/>
      <c r="G349" s="766"/>
      <c r="H349" s="906"/>
      <c r="I349" s="1434"/>
    </row>
    <row r="350" spans="1:9" ht="13.5" thickBot="1">
      <c r="A350" s="920"/>
      <c r="B350" s="710" t="s">
        <v>43</v>
      </c>
      <c r="C350" s="771">
        <f t="shared" ref="C350" si="182">SUM(C347:C349)</f>
        <v>27800</v>
      </c>
      <c r="D350" s="767">
        <f t="shared" ref="D350:E350" si="183">SUM(D347:D349)</f>
        <v>29150</v>
      </c>
      <c r="E350" s="767">
        <f t="shared" si="183"/>
        <v>34100</v>
      </c>
      <c r="F350" s="767">
        <f t="shared" ref="F350:G350" si="184">SUM(F347:F349)</f>
        <v>35630</v>
      </c>
      <c r="G350" s="767">
        <f t="shared" si="184"/>
        <v>35630</v>
      </c>
      <c r="H350" s="907">
        <f t="shared" ref="H350" si="185">SUM(H347:H349)</f>
        <v>25302</v>
      </c>
      <c r="I350" s="1430">
        <f>H350/G350</f>
        <v>0.7101319113106932</v>
      </c>
    </row>
    <row r="351" spans="1:9" ht="15.75" thickBot="1">
      <c r="A351" s="921"/>
      <c r="B351" s="711" t="s">
        <v>81</v>
      </c>
      <c r="C351" s="771">
        <f t="shared" ref="C351" si="186">SUM(C346+C350)</f>
        <v>2296387</v>
      </c>
      <c r="D351" s="767">
        <f t="shared" ref="D351:E351" si="187">SUM(D346+D350)</f>
        <v>2349125</v>
      </c>
      <c r="E351" s="767">
        <f t="shared" si="187"/>
        <v>2364395</v>
      </c>
      <c r="F351" s="767">
        <f t="shared" ref="F351:G351" si="188">SUM(F346+F350)</f>
        <v>2493097</v>
      </c>
      <c r="G351" s="767">
        <f t="shared" si="188"/>
        <v>2496105</v>
      </c>
      <c r="H351" s="907">
        <f t="shared" ref="H351" si="189">SUM(H346+H350)</f>
        <v>2405756</v>
      </c>
      <c r="I351" s="1457">
        <f>H351/G351</f>
        <v>0.96380400664234878</v>
      </c>
    </row>
    <row r="352" spans="1:9" ht="15">
      <c r="A352" s="925">
        <v>2795</v>
      </c>
      <c r="B352" s="720" t="s">
        <v>13</v>
      </c>
      <c r="C352" s="1466"/>
      <c r="D352" s="1466"/>
      <c r="E352" s="1466"/>
      <c r="F352" s="1466"/>
      <c r="G352" s="1466"/>
      <c r="H352" s="1467"/>
      <c r="I352" s="1444"/>
    </row>
    <row r="353" spans="1:9" ht="12.6" customHeight="1">
      <c r="A353" s="920"/>
      <c r="B353" s="696" t="s">
        <v>140</v>
      </c>
      <c r="C353" s="1443"/>
      <c r="D353" s="1443"/>
      <c r="E353" s="1443"/>
      <c r="F353" s="1443"/>
      <c r="G353" s="1443"/>
      <c r="H353" s="695"/>
      <c r="I353" s="916"/>
    </row>
    <row r="354" spans="1:9" ht="13.5" thickBot="1">
      <c r="A354" s="920"/>
      <c r="B354" s="697" t="s">
        <v>141</v>
      </c>
      <c r="C354" s="766"/>
      <c r="D354" s="766"/>
      <c r="E354" s="766"/>
      <c r="F354" s="766"/>
      <c r="G354" s="766"/>
      <c r="H354" s="906"/>
      <c r="I354" s="1434"/>
    </row>
    <row r="355" spans="1:9" ht="13.5" thickBot="1">
      <c r="A355" s="920"/>
      <c r="B355" s="698" t="s">
        <v>152</v>
      </c>
      <c r="C355" s="1442"/>
      <c r="D355" s="1442"/>
      <c r="E355" s="1442"/>
      <c r="F355" s="1442"/>
      <c r="G355" s="1442"/>
      <c r="H355" s="1429"/>
      <c r="I355" s="1434"/>
    </row>
    <row r="356" spans="1:9">
      <c r="A356" s="920"/>
      <c r="B356" s="696" t="s">
        <v>143</v>
      </c>
      <c r="C356" s="754">
        <f t="shared" ref="C356" si="190">SUM(C357:C358)</f>
        <v>95005</v>
      </c>
      <c r="D356" s="754">
        <f t="shared" ref="D356:E356" si="191">SUM(D357:D358)</f>
        <v>95005</v>
      </c>
      <c r="E356" s="754">
        <f t="shared" si="191"/>
        <v>95005</v>
      </c>
      <c r="F356" s="754">
        <f t="shared" ref="F356:H356" si="192">SUM(F357:F358)</f>
        <v>114972</v>
      </c>
      <c r="G356" s="754">
        <f t="shared" si="192"/>
        <v>140482</v>
      </c>
      <c r="H356" s="754">
        <f t="shared" si="192"/>
        <v>140483</v>
      </c>
      <c r="I356" s="1444">
        <f t="shared" ref="I356:I364" si="193">H356/G356</f>
        <v>1.0000071183496817</v>
      </c>
    </row>
    <row r="357" spans="1:9">
      <c r="A357" s="920"/>
      <c r="B357" s="685" t="s">
        <v>144</v>
      </c>
      <c r="C357" s="757">
        <v>25000</v>
      </c>
      <c r="D357" s="757">
        <v>25000</v>
      </c>
      <c r="E357" s="757">
        <v>25000</v>
      </c>
      <c r="F357" s="757">
        <f>25000+8062</f>
        <v>33062</v>
      </c>
      <c r="G357" s="757">
        <f>25000+8062+855+3111</f>
        <v>37028</v>
      </c>
      <c r="H357" s="757">
        <v>37029</v>
      </c>
      <c r="I357" s="916">
        <f t="shared" si="193"/>
        <v>1.000027006589608</v>
      </c>
    </row>
    <row r="358" spans="1:9">
      <c r="A358" s="920"/>
      <c r="B358" s="685" t="s">
        <v>145</v>
      </c>
      <c r="C358" s="757">
        <v>70005</v>
      </c>
      <c r="D358" s="757">
        <v>70005</v>
      </c>
      <c r="E358" s="757">
        <v>70005</v>
      </c>
      <c r="F358" s="757">
        <f>70005+11905</f>
        <v>81910</v>
      </c>
      <c r="G358" s="757">
        <f>70005+11905+21544</f>
        <v>103454</v>
      </c>
      <c r="H358" s="757">
        <v>103454</v>
      </c>
      <c r="I358" s="916">
        <f t="shared" si="193"/>
        <v>1</v>
      </c>
    </row>
    <row r="359" spans="1:9">
      <c r="A359" s="920"/>
      <c r="B359" s="686" t="s">
        <v>146</v>
      </c>
      <c r="C359" s="1428">
        <v>3836</v>
      </c>
      <c r="D359" s="1428">
        <v>3836</v>
      </c>
      <c r="E359" s="1428">
        <f>3836+1594</f>
        <v>5430</v>
      </c>
      <c r="F359" s="1428">
        <f>3836+1594+2236</f>
        <v>7666</v>
      </c>
      <c r="G359" s="1428">
        <f>3836+1594+2236+3507</f>
        <v>11173</v>
      </c>
      <c r="H359" s="1428">
        <v>11174</v>
      </c>
      <c r="I359" s="916">
        <f t="shared" si="193"/>
        <v>1.0000895014767743</v>
      </c>
    </row>
    <row r="360" spans="1:9">
      <c r="A360" s="920"/>
      <c r="B360" s="686" t="s">
        <v>147</v>
      </c>
      <c r="C360" s="754">
        <v>132400</v>
      </c>
      <c r="D360" s="754">
        <v>132400</v>
      </c>
      <c r="E360" s="754">
        <v>132400</v>
      </c>
      <c r="F360" s="754">
        <v>132400</v>
      </c>
      <c r="G360" s="754">
        <f>132400+38645</f>
        <v>171045</v>
      </c>
      <c r="H360" s="754">
        <v>171128</v>
      </c>
      <c r="I360" s="916">
        <f t="shared" si="193"/>
        <v>1.000485252418954</v>
      </c>
    </row>
    <row r="361" spans="1:9">
      <c r="A361" s="920"/>
      <c r="B361" s="686" t="s">
        <v>148</v>
      </c>
      <c r="C361" s="1428">
        <v>62435</v>
      </c>
      <c r="D361" s="1428">
        <v>62435</v>
      </c>
      <c r="E361" s="1428">
        <v>62435</v>
      </c>
      <c r="F361" s="1428">
        <f>62435+5995</f>
        <v>68430</v>
      </c>
      <c r="G361" s="1428">
        <f>62435+5995+18699</f>
        <v>87129</v>
      </c>
      <c r="H361" s="1428">
        <v>87151</v>
      </c>
      <c r="I361" s="916">
        <f t="shared" si="193"/>
        <v>1.0002524991679005</v>
      </c>
    </row>
    <row r="362" spans="1:9">
      <c r="A362" s="920"/>
      <c r="B362" s="686" t="s">
        <v>274</v>
      </c>
      <c r="C362" s="1428"/>
      <c r="D362" s="1428"/>
      <c r="E362" s="1428">
        <v>34357</v>
      </c>
      <c r="F362" s="1428">
        <f>34357+23620</f>
        <v>57977</v>
      </c>
      <c r="G362" s="1428">
        <f>34357+23620+12857</f>
        <v>70834</v>
      </c>
      <c r="H362" s="1428">
        <v>70834</v>
      </c>
      <c r="I362" s="916">
        <f t="shared" si="193"/>
        <v>1</v>
      </c>
    </row>
    <row r="363" spans="1:9">
      <c r="A363" s="920"/>
      <c r="B363" s="687" t="s">
        <v>351</v>
      </c>
      <c r="C363" s="754"/>
      <c r="D363" s="754"/>
      <c r="E363" s="754">
        <v>4</v>
      </c>
      <c r="F363" s="754">
        <v>4</v>
      </c>
      <c r="G363" s="754">
        <f>4+3</f>
        <v>7</v>
      </c>
      <c r="H363" s="754">
        <v>7</v>
      </c>
      <c r="I363" s="916">
        <f t="shared" si="193"/>
        <v>1</v>
      </c>
    </row>
    <row r="364" spans="1:9">
      <c r="A364" s="920"/>
      <c r="B364" s="687" t="s">
        <v>1067</v>
      </c>
      <c r="C364" s="754"/>
      <c r="D364" s="754"/>
      <c r="E364" s="754">
        <v>296</v>
      </c>
      <c r="F364" s="754">
        <v>296</v>
      </c>
      <c r="G364" s="754">
        <f>296+80</f>
        <v>376</v>
      </c>
      <c r="H364" s="754">
        <v>376</v>
      </c>
      <c r="I364" s="916">
        <f t="shared" si="193"/>
        <v>1</v>
      </c>
    </row>
    <row r="365" spans="1:9" ht="13.5" thickBot="1">
      <c r="A365" s="920"/>
      <c r="B365" s="688" t="s">
        <v>149</v>
      </c>
      <c r="C365" s="1428"/>
      <c r="D365" s="1428"/>
      <c r="E365" s="1428">
        <v>5937</v>
      </c>
      <c r="F365" s="1428">
        <f>5937+5949</f>
        <v>11886</v>
      </c>
      <c r="G365" s="1428">
        <f>5937+5949+1321</f>
        <v>13207</v>
      </c>
      <c r="H365" s="1428">
        <v>13208</v>
      </c>
      <c r="I365" s="916">
        <f>H365/G365</f>
        <v>1.0000757174225789</v>
      </c>
    </row>
    <row r="366" spans="1:9" ht="13.5" thickBot="1">
      <c r="A366" s="920"/>
      <c r="B366" s="689" t="s">
        <v>270</v>
      </c>
      <c r="C366" s="771">
        <f>SUM(C356+C359+C360+C361+C365+C363+C364)</f>
        <v>293676</v>
      </c>
      <c r="D366" s="771">
        <f t="shared" ref="D366" si="194">SUM(D356+D359+D360+D361+D365+D363+D364)</f>
        <v>293676</v>
      </c>
      <c r="E366" s="771">
        <f>SUM(E356+E359+E360+E361+E365+E362+E363+E364)</f>
        <v>335864</v>
      </c>
      <c r="F366" s="771">
        <f>SUM(F356+F359+F360+F361+F365+F362+F363+F364)</f>
        <v>393631</v>
      </c>
      <c r="G366" s="771">
        <f>SUM(G356+G359+G360+G361+G365+G362+G363+G364)</f>
        <v>494253</v>
      </c>
      <c r="H366" s="910">
        <f>SUM(H356+H359+H360+H361+H365+H362+H363+H364)</f>
        <v>494361</v>
      </c>
      <c r="I366" s="1430">
        <f>H366/G366</f>
        <v>1.0002185115720086</v>
      </c>
    </row>
    <row r="367" spans="1:9" ht="13.5" thickBot="1">
      <c r="A367" s="920"/>
      <c r="B367" s="690" t="s">
        <v>176</v>
      </c>
      <c r="C367" s="767"/>
      <c r="D367" s="767"/>
      <c r="E367" s="767"/>
      <c r="F367" s="767"/>
      <c r="G367" s="767"/>
      <c r="H367" s="907"/>
      <c r="I367" s="1441"/>
    </row>
    <row r="368" spans="1:9" ht="13.5" thickBot="1">
      <c r="A368" s="920"/>
      <c r="B368" s="691" t="s">
        <v>44</v>
      </c>
      <c r="C368" s="762">
        <f t="shared" ref="C368" si="195">SUM(C366+C355)</f>
        <v>293676</v>
      </c>
      <c r="D368" s="762">
        <f t="shared" ref="D368:E368" si="196">SUM(D366+D355)</f>
        <v>293676</v>
      </c>
      <c r="E368" s="762">
        <f t="shared" si="196"/>
        <v>335864</v>
      </c>
      <c r="F368" s="762">
        <f t="shared" ref="F368:G368" si="197">SUM(F366+F355)</f>
        <v>393631</v>
      </c>
      <c r="G368" s="762">
        <f t="shared" si="197"/>
        <v>494253</v>
      </c>
      <c r="H368" s="762">
        <f t="shared" ref="H368" si="198">SUM(H366+H355)</f>
        <v>494361</v>
      </c>
      <c r="I368" s="1430">
        <f>H368/G368</f>
        <v>1.0002185115720086</v>
      </c>
    </row>
    <row r="369" spans="1:9" ht="13.5" thickBot="1">
      <c r="A369" s="920"/>
      <c r="B369" s="699" t="s">
        <v>310</v>
      </c>
      <c r="C369" s="768"/>
      <c r="D369" s="768"/>
      <c r="E369" s="768"/>
      <c r="F369" s="768"/>
      <c r="G369" s="768"/>
      <c r="H369" s="908"/>
      <c r="I369" s="1441"/>
    </row>
    <row r="370" spans="1:9" ht="13.5" thickBot="1">
      <c r="A370" s="920"/>
      <c r="B370" s="700" t="s">
        <v>45</v>
      </c>
      <c r="C370" s="769">
        <f t="shared" ref="C370:H370" si="199">C369</f>
        <v>0</v>
      </c>
      <c r="D370" s="769">
        <f t="shared" si="199"/>
        <v>0</v>
      </c>
      <c r="E370" s="769">
        <f t="shared" si="199"/>
        <v>0</v>
      </c>
      <c r="F370" s="769">
        <f t="shared" si="199"/>
        <v>0</v>
      </c>
      <c r="G370" s="769">
        <f t="shared" si="199"/>
        <v>0</v>
      </c>
      <c r="H370" s="909">
        <f t="shared" si="199"/>
        <v>0</v>
      </c>
      <c r="I370" s="1441"/>
    </row>
    <row r="371" spans="1:9">
      <c r="A371" s="920"/>
      <c r="B371" s="701" t="s">
        <v>327</v>
      </c>
      <c r="C371" s="1463"/>
      <c r="D371" s="1463">
        <v>2814</v>
      </c>
      <c r="E371" s="1463">
        <v>2814</v>
      </c>
      <c r="F371" s="1463">
        <v>2814</v>
      </c>
      <c r="G371" s="1463">
        <v>2814</v>
      </c>
      <c r="H371" s="1464">
        <v>2814</v>
      </c>
      <c r="I371" s="916">
        <f>H371/G371</f>
        <v>1</v>
      </c>
    </row>
    <row r="372" spans="1:9">
      <c r="A372" s="920"/>
      <c r="B372" s="721" t="s">
        <v>341</v>
      </c>
      <c r="C372" s="1463"/>
      <c r="D372" s="1463"/>
      <c r="E372" s="1463"/>
      <c r="F372" s="1463"/>
      <c r="G372" s="1463"/>
      <c r="H372" s="1464"/>
      <c r="I372" s="916"/>
    </row>
    <row r="373" spans="1:9">
      <c r="A373" s="920"/>
      <c r="B373" s="721" t="s">
        <v>355</v>
      </c>
      <c r="C373" s="754">
        <v>2533799</v>
      </c>
      <c r="D373" s="754">
        <f>2533799+477123+1704+92869+380835</f>
        <v>3486330</v>
      </c>
      <c r="E373" s="754">
        <f>3486330+18719</f>
        <v>3505049</v>
      </c>
      <c r="F373" s="754">
        <f>3486330+18719+2874</f>
        <v>3507923</v>
      </c>
      <c r="G373" s="754">
        <f>3486330+18719+2874</f>
        <v>3507923</v>
      </c>
      <c r="H373" s="754">
        <v>2856811</v>
      </c>
      <c r="I373" s="1456">
        <f>H373/G373</f>
        <v>0.81438817214630999</v>
      </c>
    </row>
    <row r="374" spans="1:9" ht="13.5" thickBot="1">
      <c r="A374" s="920"/>
      <c r="B374" s="702" t="s">
        <v>358</v>
      </c>
      <c r="C374" s="766">
        <v>700304</v>
      </c>
      <c r="D374" s="766">
        <v>700304</v>
      </c>
      <c r="E374" s="766">
        <v>700304</v>
      </c>
      <c r="F374" s="766">
        <f>700304+2640</f>
        <v>702944</v>
      </c>
      <c r="G374" s="766">
        <f>700304+2640</f>
        <v>702944</v>
      </c>
      <c r="H374" s="766">
        <v>666973</v>
      </c>
      <c r="I374" s="1468">
        <f>H374/G374</f>
        <v>0.94882807165293392</v>
      </c>
    </row>
    <row r="375" spans="1:9" ht="13.5" thickBot="1">
      <c r="A375" s="920"/>
      <c r="B375" s="703" t="s">
        <v>38</v>
      </c>
      <c r="C375" s="769">
        <f t="shared" ref="C375:H375" si="200">SUM(C371:C374)</f>
        <v>3234103</v>
      </c>
      <c r="D375" s="769">
        <f t="shared" si="200"/>
        <v>4189448</v>
      </c>
      <c r="E375" s="769">
        <f t="shared" si="200"/>
        <v>4208167</v>
      </c>
      <c r="F375" s="769">
        <f t="shared" si="200"/>
        <v>4213681</v>
      </c>
      <c r="G375" s="769">
        <f t="shared" si="200"/>
        <v>4213681</v>
      </c>
      <c r="H375" s="769">
        <f t="shared" si="200"/>
        <v>3526598</v>
      </c>
      <c r="I375" s="1430">
        <f>H375/G375</f>
        <v>0.83693995819806954</v>
      </c>
    </row>
    <row r="376" spans="1:9" ht="13.5" thickBot="1">
      <c r="A376" s="920"/>
      <c r="B376" s="704" t="s">
        <v>327</v>
      </c>
      <c r="C376" s="768"/>
      <c r="D376" s="768"/>
      <c r="E376" s="768"/>
      <c r="F376" s="768"/>
      <c r="G376" s="768"/>
      <c r="H376" s="908"/>
      <c r="I376" s="1441"/>
    </row>
    <row r="377" spans="1:9" ht="13.5" thickBot="1">
      <c r="A377" s="920"/>
      <c r="B377" s="703" t="s">
        <v>40</v>
      </c>
      <c r="C377" s="769"/>
      <c r="D377" s="769"/>
      <c r="E377" s="769"/>
      <c r="F377" s="769"/>
      <c r="G377" s="769"/>
      <c r="H377" s="909"/>
      <c r="I377" s="1441"/>
    </row>
    <row r="378" spans="1:9" ht="15.75" thickBot="1">
      <c r="A378" s="920"/>
      <c r="B378" s="705" t="s">
        <v>49</v>
      </c>
      <c r="C378" s="771">
        <f t="shared" ref="C378:H378" si="201">SUM(C368+C370+C375)+C377</f>
        <v>3527779</v>
      </c>
      <c r="D378" s="767">
        <f t="shared" si="201"/>
        <v>4483124</v>
      </c>
      <c r="E378" s="767">
        <f t="shared" si="201"/>
        <v>4544031</v>
      </c>
      <c r="F378" s="767">
        <f t="shared" si="201"/>
        <v>4607312</v>
      </c>
      <c r="G378" s="767">
        <f t="shared" si="201"/>
        <v>4707934</v>
      </c>
      <c r="H378" s="767">
        <f t="shared" si="201"/>
        <v>4020959</v>
      </c>
      <c r="I378" s="1430">
        <f>H378/G378</f>
        <v>0.85408142934883968</v>
      </c>
    </row>
    <row r="379" spans="1:9">
      <c r="A379" s="920"/>
      <c r="B379" s="706" t="s">
        <v>251</v>
      </c>
      <c r="C379" s="754">
        <v>1075405</v>
      </c>
      <c r="D379" s="754">
        <f>1075405+2500+2057+1508+6834</f>
        <v>1088304</v>
      </c>
      <c r="E379" s="754">
        <f>1088304+11924</f>
        <v>1100228</v>
      </c>
      <c r="F379" s="754">
        <f>1088304+11924+54031</f>
        <v>1154259</v>
      </c>
      <c r="G379" s="754">
        <f>1088304+11924+54031</f>
        <v>1154259</v>
      </c>
      <c r="H379" s="754">
        <v>1125745</v>
      </c>
      <c r="I379" s="1456">
        <f>H379/G379</f>
        <v>0.97529670550543679</v>
      </c>
    </row>
    <row r="380" spans="1:9">
      <c r="A380" s="920"/>
      <c r="B380" s="706" t="s">
        <v>252</v>
      </c>
      <c r="C380" s="754">
        <v>164309</v>
      </c>
      <c r="D380" s="754">
        <f>164309+314+4249+196+909</f>
        <v>169977</v>
      </c>
      <c r="E380" s="754">
        <f>169977+1916</f>
        <v>171893</v>
      </c>
      <c r="F380" s="754">
        <f>169977+1916-9669</f>
        <v>162224</v>
      </c>
      <c r="G380" s="754">
        <f>169977+1916-9669</f>
        <v>162224</v>
      </c>
      <c r="H380" s="754">
        <v>143705</v>
      </c>
      <c r="I380" s="916">
        <f>H380/G380</f>
        <v>0.88584303185718516</v>
      </c>
    </row>
    <row r="381" spans="1:9">
      <c r="A381" s="920"/>
      <c r="B381" s="706" t="s">
        <v>253</v>
      </c>
      <c r="C381" s="754">
        <v>1734515</v>
      </c>
      <c r="D381" s="754">
        <f>1734515+397726</f>
        <v>2132241</v>
      </c>
      <c r="E381" s="754">
        <f>2132241+22067</f>
        <v>2154308</v>
      </c>
      <c r="F381" s="754">
        <f>2132241+22067+24161</f>
        <v>2178469</v>
      </c>
      <c r="G381" s="754">
        <f>2132241+22067+24161+61977+38645+9358</f>
        <v>2288449</v>
      </c>
      <c r="H381" s="754">
        <v>1791640</v>
      </c>
      <c r="I381" s="916">
        <f>H381/G381</f>
        <v>0.7829058021393529</v>
      </c>
    </row>
    <row r="382" spans="1:9">
      <c r="A382" s="920"/>
      <c r="B382" s="707" t="s">
        <v>255</v>
      </c>
      <c r="C382" s="754"/>
      <c r="D382" s="754"/>
      <c r="E382" s="754"/>
      <c r="F382" s="754"/>
      <c r="G382" s="754"/>
      <c r="H382" s="754"/>
      <c r="I382" s="916"/>
    </row>
    <row r="383" spans="1:9" ht="13.5" thickBot="1">
      <c r="A383" s="920"/>
      <c r="B383" s="708" t="s">
        <v>254</v>
      </c>
      <c r="C383" s="754"/>
      <c r="D383" s="754"/>
      <c r="E383" s="754"/>
      <c r="F383" s="754"/>
      <c r="G383" s="754"/>
      <c r="H383" s="902"/>
      <c r="I383" s="1434"/>
    </row>
    <row r="384" spans="1:9" ht="13.5" thickBot="1">
      <c r="A384" s="920"/>
      <c r="B384" s="709" t="s">
        <v>37</v>
      </c>
      <c r="C384" s="771">
        <f t="shared" ref="C384" si="202">SUM(C379:C383)</f>
        <v>2974229</v>
      </c>
      <c r="D384" s="771">
        <f t="shared" ref="D384:E384" si="203">SUM(D379:D383)</f>
        <v>3390522</v>
      </c>
      <c r="E384" s="771">
        <f t="shared" si="203"/>
        <v>3426429</v>
      </c>
      <c r="F384" s="771">
        <f t="shared" ref="F384:G384" si="204">SUM(F379:F383)</f>
        <v>3494952</v>
      </c>
      <c r="G384" s="771">
        <f t="shared" si="204"/>
        <v>3604932</v>
      </c>
      <c r="H384" s="910">
        <f t="shared" ref="H384" si="205">SUM(H379:H383)</f>
        <v>3061090</v>
      </c>
      <c r="I384" s="1430">
        <f>H384/G384</f>
        <v>0.84913945672206859</v>
      </c>
    </row>
    <row r="385" spans="1:9">
      <c r="A385" s="920"/>
      <c r="B385" s="722" t="s">
        <v>195</v>
      </c>
      <c r="C385" s="1469">
        <f>SUM(C386:C396)</f>
        <v>190500</v>
      </c>
      <c r="D385" s="1469">
        <f>SUM(D386:D414)</f>
        <v>498121</v>
      </c>
      <c r="E385" s="1469">
        <f>SUM(E386:E414)</f>
        <v>480760</v>
      </c>
      <c r="F385" s="1469">
        <f>SUM(F386:F414)</f>
        <v>409863</v>
      </c>
      <c r="G385" s="1469">
        <f>SUM(G386:G414)</f>
        <v>447984</v>
      </c>
      <c r="H385" s="1469">
        <f>SUM(H386:H414)</f>
        <v>263600</v>
      </c>
      <c r="I385" s="1470">
        <f>H385/G385</f>
        <v>0.5884138719239973</v>
      </c>
    </row>
    <row r="386" spans="1:9">
      <c r="A386" s="920"/>
      <c r="B386" s="927" t="s">
        <v>1019</v>
      </c>
      <c r="C386" s="772">
        <v>2794</v>
      </c>
      <c r="D386" s="772">
        <v>2794</v>
      </c>
      <c r="E386" s="772">
        <v>2794</v>
      </c>
      <c r="F386" s="772">
        <v>2794</v>
      </c>
      <c r="G386" s="772">
        <v>2794</v>
      </c>
      <c r="H386" s="772">
        <v>2396</v>
      </c>
      <c r="I386" s="916">
        <f>H386/G386</f>
        <v>0.85755189692197564</v>
      </c>
    </row>
    <row r="387" spans="1:9">
      <c r="A387" s="920"/>
      <c r="B387" s="927" t="s">
        <v>980</v>
      </c>
      <c r="C387" s="772">
        <v>8890</v>
      </c>
      <c r="D387" s="772">
        <v>8890</v>
      </c>
      <c r="E387" s="772">
        <v>6858</v>
      </c>
      <c r="F387" s="772">
        <v>6858</v>
      </c>
      <c r="G387" s="772">
        <v>6858</v>
      </c>
      <c r="H387" s="772">
        <v>6597</v>
      </c>
      <c r="I387" s="916">
        <f>H387/G387</f>
        <v>0.96194225721784776</v>
      </c>
    </row>
    <row r="388" spans="1:9">
      <c r="A388" s="920"/>
      <c r="B388" s="927" t="s">
        <v>981</v>
      </c>
      <c r="C388" s="772">
        <v>27940</v>
      </c>
      <c r="D388" s="772">
        <v>27940</v>
      </c>
      <c r="E388" s="772">
        <v>27940</v>
      </c>
      <c r="F388" s="772">
        <f>27940-27940</f>
        <v>0</v>
      </c>
      <c r="G388" s="772">
        <f>27940-27940</f>
        <v>0</v>
      </c>
      <c r="H388" s="772">
        <v>0</v>
      </c>
      <c r="I388" s="1456"/>
    </row>
    <row r="389" spans="1:9">
      <c r="A389" s="920"/>
      <c r="B389" s="927" t="s">
        <v>982</v>
      </c>
      <c r="C389" s="772">
        <v>30734</v>
      </c>
      <c r="D389" s="772">
        <v>30734</v>
      </c>
      <c r="E389" s="772">
        <f>30734+7916</f>
        <v>38650</v>
      </c>
      <c r="F389" s="772">
        <f>30734+7916-2219</f>
        <v>36431</v>
      </c>
      <c r="G389" s="772">
        <f>30734+7916-2219</f>
        <v>36431</v>
      </c>
      <c r="H389" s="772">
        <v>36430</v>
      </c>
      <c r="I389" s="1456">
        <f t="shared" ref="I389:I400" si="206">H389/G389</f>
        <v>0.99997255084955117</v>
      </c>
    </row>
    <row r="390" spans="1:9">
      <c r="A390" s="920"/>
      <c r="B390" s="927" t="s">
        <v>983</v>
      </c>
      <c r="C390" s="772">
        <v>6350</v>
      </c>
      <c r="D390" s="772">
        <v>6350</v>
      </c>
      <c r="E390" s="772">
        <f>6350+1397-59</f>
        <v>7688</v>
      </c>
      <c r="F390" s="772">
        <f>6350+1397-59-1237</f>
        <v>6451</v>
      </c>
      <c r="G390" s="772">
        <f>6350+1397-59-1237</f>
        <v>6451</v>
      </c>
      <c r="H390" s="772">
        <v>6132</v>
      </c>
      <c r="I390" s="916">
        <f t="shared" si="206"/>
        <v>0.95055030227871651</v>
      </c>
    </row>
    <row r="391" spans="1:9">
      <c r="A391" s="920"/>
      <c r="B391" s="927" t="s">
        <v>984</v>
      </c>
      <c r="C391" s="772">
        <v>6096</v>
      </c>
      <c r="D391" s="772">
        <v>6096</v>
      </c>
      <c r="E391" s="772">
        <v>6096</v>
      </c>
      <c r="F391" s="772">
        <v>6096</v>
      </c>
      <c r="G391" s="772">
        <v>6096</v>
      </c>
      <c r="H391" s="772">
        <v>4189</v>
      </c>
      <c r="I391" s="916">
        <f t="shared" si="206"/>
        <v>0.68717191601049865</v>
      </c>
    </row>
    <row r="392" spans="1:9">
      <c r="A392" s="920"/>
      <c r="B392" s="927" t="s">
        <v>985</v>
      </c>
      <c r="C392" s="772">
        <v>31750</v>
      </c>
      <c r="D392" s="772">
        <v>31750</v>
      </c>
      <c r="E392" s="772">
        <v>24034</v>
      </c>
      <c r="F392" s="772">
        <v>24034</v>
      </c>
      <c r="G392" s="772">
        <v>24034</v>
      </c>
      <c r="H392" s="772">
        <v>20252</v>
      </c>
      <c r="I392" s="916">
        <f t="shared" si="206"/>
        <v>0.84263959390862941</v>
      </c>
    </row>
    <row r="393" spans="1:9">
      <c r="A393" s="920"/>
      <c r="B393" s="927" t="s">
        <v>986</v>
      </c>
      <c r="C393" s="772">
        <v>16510</v>
      </c>
      <c r="D393" s="772">
        <v>16510</v>
      </c>
      <c r="E393" s="772">
        <f>16510+2350</f>
        <v>18860</v>
      </c>
      <c r="F393" s="772">
        <f>16510+2350</f>
        <v>18860</v>
      </c>
      <c r="G393" s="772">
        <f>16510+2350+12000</f>
        <v>30860</v>
      </c>
      <c r="H393" s="772">
        <v>0</v>
      </c>
      <c r="I393" s="916">
        <f t="shared" si="206"/>
        <v>0</v>
      </c>
    </row>
    <row r="394" spans="1:9">
      <c r="A394" s="920"/>
      <c r="B394" s="927" t="s">
        <v>987</v>
      </c>
      <c r="C394" s="772">
        <v>2286</v>
      </c>
      <c r="D394" s="772">
        <v>2286</v>
      </c>
      <c r="E394" s="772">
        <v>2286</v>
      </c>
      <c r="F394" s="772">
        <v>2286</v>
      </c>
      <c r="G394" s="772">
        <v>2286</v>
      </c>
      <c r="H394" s="772">
        <v>1528</v>
      </c>
      <c r="I394" s="916">
        <f t="shared" si="206"/>
        <v>0.66841644794400701</v>
      </c>
    </row>
    <row r="395" spans="1:9">
      <c r="A395" s="920"/>
      <c r="B395" s="927" t="s">
        <v>917</v>
      </c>
      <c r="C395" s="772">
        <v>12700</v>
      </c>
      <c r="D395" s="772">
        <v>12700</v>
      </c>
      <c r="E395" s="772">
        <v>12700</v>
      </c>
      <c r="F395" s="772">
        <v>12700</v>
      </c>
      <c r="G395" s="772">
        <v>12700</v>
      </c>
      <c r="H395" s="772">
        <v>12207</v>
      </c>
      <c r="I395" s="916">
        <f t="shared" si="206"/>
        <v>0.96118110236220478</v>
      </c>
    </row>
    <row r="396" spans="1:9">
      <c r="A396" s="920"/>
      <c r="B396" s="927" t="s">
        <v>988</v>
      </c>
      <c r="C396" s="772">
        <v>44450</v>
      </c>
      <c r="D396" s="772">
        <v>44450</v>
      </c>
      <c r="E396" s="772">
        <f>44450+15000</f>
        <v>59450</v>
      </c>
      <c r="F396" s="772">
        <f>44450+15000</f>
        <v>59450</v>
      </c>
      <c r="G396" s="772">
        <f>44450+15000</f>
        <v>59450</v>
      </c>
      <c r="H396" s="772">
        <v>31000</v>
      </c>
      <c r="I396" s="916">
        <f t="shared" si="206"/>
        <v>0.52144659377628255</v>
      </c>
    </row>
    <row r="397" spans="1:9">
      <c r="A397" s="920"/>
      <c r="B397" s="927" t="s">
        <v>917</v>
      </c>
      <c r="C397" s="1471"/>
      <c r="D397" s="1471">
        <v>385</v>
      </c>
      <c r="E397" s="1471">
        <v>385</v>
      </c>
      <c r="F397" s="1471">
        <v>385</v>
      </c>
      <c r="G397" s="1471">
        <v>385</v>
      </c>
      <c r="H397" s="1471">
        <v>385</v>
      </c>
      <c r="I397" s="916">
        <f t="shared" si="206"/>
        <v>1</v>
      </c>
    </row>
    <row r="398" spans="1:9">
      <c r="A398" s="920"/>
      <c r="B398" s="927" t="s">
        <v>988</v>
      </c>
      <c r="C398" s="1471"/>
      <c r="D398" s="1471">
        <v>11449</v>
      </c>
      <c r="E398" s="1471">
        <v>11449</v>
      </c>
      <c r="F398" s="1471">
        <v>11449</v>
      </c>
      <c r="G398" s="1471">
        <v>11449</v>
      </c>
      <c r="H398" s="1471">
        <v>11449</v>
      </c>
      <c r="I398" s="916">
        <f t="shared" si="206"/>
        <v>1</v>
      </c>
    </row>
    <row r="399" spans="1:9">
      <c r="A399" s="920"/>
      <c r="B399" s="927" t="s">
        <v>1029</v>
      </c>
      <c r="C399" s="1471"/>
      <c r="D399" s="1471">
        <v>593</v>
      </c>
      <c r="E399" s="1471">
        <v>593</v>
      </c>
      <c r="F399" s="1471">
        <v>593</v>
      </c>
      <c r="G399" s="1471">
        <v>593</v>
      </c>
      <c r="H399" s="1471">
        <v>433</v>
      </c>
      <c r="I399" s="916">
        <f t="shared" si="206"/>
        <v>0.730185497470489</v>
      </c>
    </row>
    <row r="400" spans="1:9">
      <c r="A400" s="920"/>
      <c r="B400" s="928" t="s">
        <v>1093</v>
      </c>
      <c r="C400" s="1471"/>
      <c r="D400" s="1471"/>
      <c r="E400" s="1471"/>
      <c r="F400" s="1471"/>
      <c r="G400" s="1471">
        <v>38121</v>
      </c>
      <c r="H400" s="1471">
        <v>0</v>
      </c>
      <c r="I400" s="916">
        <f t="shared" si="206"/>
        <v>0</v>
      </c>
    </row>
    <row r="401" spans="1:9">
      <c r="A401" s="920"/>
      <c r="B401" s="927" t="s">
        <v>1030</v>
      </c>
      <c r="C401" s="1471"/>
      <c r="D401" s="1471">
        <v>14993</v>
      </c>
      <c r="E401" s="1471">
        <v>14993</v>
      </c>
      <c r="F401" s="1471">
        <v>14993</v>
      </c>
      <c r="G401" s="1471">
        <v>14993</v>
      </c>
      <c r="H401" s="1471">
        <v>14279</v>
      </c>
      <c r="I401" s="916">
        <f t="shared" ref="I401:I408" si="207">H401/G401</f>
        <v>0.95237777629560461</v>
      </c>
    </row>
    <row r="402" spans="1:9">
      <c r="A402" s="920"/>
      <c r="B402" s="927" t="s">
        <v>1031</v>
      </c>
      <c r="C402" s="1471"/>
      <c r="D402" s="1471">
        <f>2909+11621</f>
        <v>14530</v>
      </c>
      <c r="E402" s="1471">
        <f>2909+11621</f>
        <v>14530</v>
      </c>
      <c r="F402" s="1471">
        <f>2909+11621</f>
        <v>14530</v>
      </c>
      <c r="G402" s="1471">
        <f>2909+11621</f>
        <v>14530</v>
      </c>
      <c r="H402" s="1471">
        <v>14530</v>
      </c>
      <c r="I402" s="916">
        <f t="shared" si="207"/>
        <v>1</v>
      </c>
    </row>
    <row r="403" spans="1:9">
      <c r="A403" s="920"/>
      <c r="B403" s="927" t="s">
        <v>1032</v>
      </c>
      <c r="C403" s="1471"/>
      <c r="D403" s="1471">
        <v>1550</v>
      </c>
      <c r="E403" s="1471">
        <v>1550</v>
      </c>
      <c r="F403" s="1471">
        <v>1550</v>
      </c>
      <c r="G403" s="1471">
        <v>1550</v>
      </c>
      <c r="H403" s="1471">
        <v>1409</v>
      </c>
      <c r="I403" s="916">
        <f t="shared" si="207"/>
        <v>0.90903225806451615</v>
      </c>
    </row>
    <row r="404" spans="1:9">
      <c r="A404" s="920"/>
      <c r="B404" s="927" t="s">
        <v>1033</v>
      </c>
      <c r="C404" s="1471"/>
      <c r="D404" s="1471">
        <v>4970</v>
      </c>
      <c r="E404" s="1471">
        <v>4970</v>
      </c>
      <c r="F404" s="1471">
        <f>4970-903</f>
        <v>4067</v>
      </c>
      <c r="G404" s="1471">
        <f>4970-903</f>
        <v>4067</v>
      </c>
      <c r="H404" s="1471">
        <v>3496</v>
      </c>
      <c r="I404" s="1456">
        <f t="shared" si="207"/>
        <v>0.85960167199409887</v>
      </c>
    </row>
    <row r="405" spans="1:9">
      <c r="A405" s="920"/>
      <c r="B405" s="927" t="s">
        <v>1034</v>
      </c>
      <c r="C405" s="1471"/>
      <c r="D405" s="1471">
        <v>1273</v>
      </c>
      <c r="E405" s="1471">
        <v>1273</v>
      </c>
      <c r="F405" s="1471">
        <v>1273</v>
      </c>
      <c r="G405" s="1471">
        <v>1273</v>
      </c>
      <c r="H405" s="1471">
        <v>0</v>
      </c>
      <c r="I405" s="916">
        <f t="shared" si="207"/>
        <v>0</v>
      </c>
    </row>
    <row r="406" spans="1:9">
      <c r="A406" s="920"/>
      <c r="B406" s="927" t="s">
        <v>1035</v>
      </c>
      <c r="C406" s="1471"/>
      <c r="D406" s="1471">
        <v>17848</v>
      </c>
      <c r="E406" s="1471">
        <f>17848-14203+59</f>
        <v>3704</v>
      </c>
      <c r="F406" s="1471">
        <f>17848-14203+59</f>
        <v>3704</v>
      </c>
      <c r="G406" s="1471">
        <f>17848-14203+59</f>
        <v>3704</v>
      </c>
      <c r="H406" s="1471">
        <v>3704</v>
      </c>
      <c r="I406" s="916">
        <f t="shared" si="207"/>
        <v>1</v>
      </c>
    </row>
    <row r="407" spans="1:9">
      <c r="A407" s="920"/>
      <c r="B407" s="927" t="s">
        <v>1048</v>
      </c>
      <c r="C407" s="1471"/>
      <c r="D407" s="1471">
        <v>22860</v>
      </c>
      <c r="E407" s="1471">
        <f>22860+1714</f>
        <v>24574</v>
      </c>
      <c r="F407" s="1471">
        <f>22860+1714-498</f>
        <v>24076</v>
      </c>
      <c r="G407" s="1471">
        <f>22860+1714-498</f>
        <v>24076</v>
      </c>
      <c r="H407" s="1471">
        <v>18428</v>
      </c>
      <c r="I407" s="1456">
        <f t="shared" si="207"/>
        <v>0.76540953646785181</v>
      </c>
    </row>
    <row r="408" spans="1:9">
      <c r="A408" s="920"/>
      <c r="B408" s="927" t="s">
        <v>1049</v>
      </c>
      <c r="C408" s="1471"/>
      <c r="D408" s="1471">
        <v>66040</v>
      </c>
      <c r="E408" s="1471">
        <v>66040</v>
      </c>
      <c r="F408" s="1471">
        <v>66040</v>
      </c>
      <c r="G408" s="1471">
        <v>66040</v>
      </c>
      <c r="H408" s="1471">
        <v>0</v>
      </c>
      <c r="I408" s="916">
        <f t="shared" si="207"/>
        <v>0</v>
      </c>
    </row>
    <row r="409" spans="1:9">
      <c r="A409" s="920"/>
      <c r="B409" s="927" t="s">
        <v>1050</v>
      </c>
      <c r="C409" s="1471"/>
      <c r="D409" s="1471">
        <v>34290</v>
      </c>
      <c r="E409" s="1471">
        <v>0</v>
      </c>
      <c r="F409" s="1471">
        <v>0</v>
      </c>
      <c r="G409" s="1471">
        <v>0</v>
      </c>
      <c r="H409" s="1471">
        <v>0</v>
      </c>
      <c r="I409" s="916"/>
    </row>
    <row r="410" spans="1:9">
      <c r="A410" s="920"/>
      <c r="B410" s="927" t="s">
        <v>1051</v>
      </c>
      <c r="C410" s="1471"/>
      <c r="D410" s="1471">
        <v>38100</v>
      </c>
      <c r="E410" s="1471">
        <v>38100</v>
      </c>
      <c r="F410" s="1471">
        <f>38100-38100</f>
        <v>0</v>
      </c>
      <c r="G410" s="1471">
        <f>38100-38100</f>
        <v>0</v>
      </c>
      <c r="H410" s="1471">
        <v>0</v>
      </c>
      <c r="I410" s="1456"/>
    </row>
    <row r="411" spans="1:9">
      <c r="A411" s="920"/>
      <c r="B411" s="927" t="s">
        <v>1052</v>
      </c>
      <c r="C411" s="1471"/>
      <c r="D411" s="1471">
        <v>29845</v>
      </c>
      <c r="E411" s="1471">
        <f>29845+1778</f>
        <v>31623</v>
      </c>
      <c r="F411" s="1471">
        <f>29845+1778</f>
        <v>31623</v>
      </c>
      <c r="G411" s="1471">
        <f>29845+1778</f>
        <v>31623</v>
      </c>
      <c r="H411" s="1471">
        <v>28634</v>
      </c>
      <c r="I411" s="916">
        <f t="shared" ref="I411:I417" si="208">H411/G411</f>
        <v>0.90548018847041711</v>
      </c>
    </row>
    <row r="412" spans="1:9" ht="24">
      <c r="A412" s="920"/>
      <c r="B412" s="927" t="s">
        <v>1076</v>
      </c>
      <c r="C412" s="1471"/>
      <c r="D412" s="1471"/>
      <c r="E412" s="1471">
        <v>14444</v>
      </c>
      <c r="F412" s="1471">
        <v>14444</v>
      </c>
      <c r="G412" s="1471">
        <v>14444</v>
      </c>
      <c r="H412" s="1471">
        <v>14444</v>
      </c>
      <c r="I412" s="916">
        <f t="shared" si="208"/>
        <v>1</v>
      </c>
    </row>
    <row r="413" spans="1:9">
      <c r="A413" s="920"/>
      <c r="B413" s="927" t="s">
        <v>1053</v>
      </c>
      <c r="C413" s="1471"/>
      <c r="D413" s="1471">
        <v>35560</v>
      </c>
      <c r="E413" s="1471">
        <f>35560-1714+1778</f>
        <v>35624</v>
      </c>
      <c r="F413" s="1471">
        <f>35560-1714+1778</f>
        <v>35624</v>
      </c>
      <c r="G413" s="1471">
        <f>35560-1714+1778-12000</f>
        <v>23624</v>
      </c>
      <c r="H413" s="1471">
        <v>22126</v>
      </c>
      <c r="I413" s="916">
        <f t="shared" si="208"/>
        <v>0.93658990856755842</v>
      </c>
    </row>
    <row r="414" spans="1:9">
      <c r="A414" s="920"/>
      <c r="B414" s="927" t="s">
        <v>1036</v>
      </c>
      <c r="C414" s="1471"/>
      <c r="D414" s="1471">
        <v>13335</v>
      </c>
      <c r="E414" s="1471">
        <f>13335-3783</f>
        <v>9552</v>
      </c>
      <c r="F414" s="1471">
        <f>13335-3783</f>
        <v>9552</v>
      </c>
      <c r="G414" s="1471">
        <f>13335-3783</f>
        <v>9552</v>
      </c>
      <c r="H414" s="1471">
        <v>9552</v>
      </c>
      <c r="I414" s="916">
        <f t="shared" si="208"/>
        <v>1</v>
      </c>
    </row>
    <row r="415" spans="1:9">
      <c r="A415" s="920"/>
      <c r="B415" s="929" t="s">
        <v>196</v>
      </c>
      <c r="C415" s="1469">
        <f>SUM(C416:C440)</f>
        <v>363050</v>
      </c>
      <c r="D415" s="1469">
        <f>SUM(D416:D454)</f>
        <v>594481</v>
      </c>
      <c r="E415" s="1469">
        <f>SUM(E416:E454)</f>
        <v>636842</v>
      </c>
      <c r="F415" s="1469">
        <f>SUM(F416:F454)</f>
        <v>702497</v>
      </c>
      <c r="G415" s="1469">
        <f>SUM(G416:G454)</f>
        <v>655018</v>
      </c>
      <c r="H415" s="1472">
        <f>SUM(H416:H454)</f>
        <v>362231</v>
      </c>
      <c r="I415" s="1470">
        <f t="shared" si="208"/>
        <v>0.5530092302806946</v>
      </c>
    </row>
    <row r="416" spans="1:9">
      <c r="A416" s="920"/>
      <c r="B416" s="927" t="s">
        <v>1020</v>
      </c>
      <c r="C416" s="772">
        <v>7620</v>
      </c>
      <c r="D416" s="772">
        <v>7620</v>
      </c>
      <c r="E416" s="772">
        <f>7620-3177</f>
        <v>4443</v>
      </c>
      <c r="F416" s="772">
        <f>7620-3177</f>
        <v>4443</v>
      </c>
      <c r="G416" s="772">
        <f>7620-3177</f>
        <v>4443</v>
      </c>
      <c r="H416" s="104">
        <v>4442</v>
      </c>
      <c r="I416" s="916">
        <f t="shared" si="208"/>
        <v>0.9997749268512266</v>
      </c>
    </row>
    <row r="417" spans="1:9" ht="24">
      <c r="A417" s="920"/>
      <c r="B417" s="927" t="s">
        <v>1077</v>
      </c>
      <c r="C417" s="772">
        <v>67310</v>
      </c>
      <c r="D417" s="772">
        <v>67310</v>
      </c>
      <c r="E417" s="772">
        <v>122507</v>
      </c>
      <c r="F417" s="772">
        <v>122507</v>
      </c>
      <c r="G417" s="772">
        <f>122507-1355</f>
        <v>121152</v>
      </c>
      <c r="H417" s="104">
        <v>121133</v>
      </c>
      <c r="I417" s="916">
        <f t="shared" si="208"/>
        <v>0.9998431722134179</v>
      </c>
    </row>
    <row r="418" spans="1:9">
      <c r="A418" s="920"/>
      <c r="B418" s="927" t="s">
        <v>989</v>
      </c>
      <c r="C418" s="772">
        <v>39370</v>
      </c>
      <c r="D418" s="772">
        <v>39370</v>
      </c>
      <c r="E418" s="772">
        <v>0</v>
      </c>
      <c r="F418" s="772">
        <v>0</v>
      </c>
      <c r="G418" s="772">
        <v>0</v>
      </c>
      <c r="H418" s="104">
        <v>0</v>
      </c>
      <c r="I418" s="916"/>
    </row>
    <row r="419" spans="1:9">
      <c r="A419" s="920"/>
      <c r="B419" s="927" t="s">
        <v>990</v>
      </c>
      <c r="C419" s="772">
        <v>13970</v>
      </c>
      <c r="D419" s="772">
        <v>13970</v>
      </c>
      <c r="E419" s="772">
        <v>8367</v>
      </c>
      <c r="F419" s="772">
        <v>8367</v>
      </c>
      <c r="G419" s="772">
        <v>8367</v>
      </c>
      <c r="H419" s="104">
        <v>6655</v>
      </c>
      <c r="I419" s="916">
        <f>H419/G419</f>
        <v>0.79538663798255049</v>
      </c>
    </row>
    <row r="420" spans="1:9">
      <c r="A420" s="920"/>
      <c r="B420" s="928" t="s">
        <v>1094</v>
      </c>
      <c r="C420" s="772"/>
      <c r="D420" s="772"/>
      <c r="E420" s="772"/>
      <c r="F420" s="772"/>
      <c r="G420" s="772">
        <v>1355</v>
      </c>
      <c r="H420" s="104">
        <v>1355</v>
      </c>
      <c r="I420" s="916">
        <f>H420/G420</f>
        <v>1</v>
      </c>
    </row>
    <row r="421" spans="1:9">
      <c r="A421" s="920"/>
      <c r="B421" s="927" t="s">
        <v>991</v>
      </c>
      <c r="C421" s="772">
        <v>1524</v>
      </c>
      <c r="D421" s="772">
        <v>1524</v>
      </c>
      <c r="E421" s="772">
        <v>0</v>
      </c>
      <c r="F421" s="772">
        <v>0</v>
      </c>
      <c r="G421" s="772">
        <v>0</v>
      </c>
      <c r="H421" s="104">
        <v>0</v>
      </c>
      <c r="I421" s="916"/>
    </row>
    <row r="422" spans="1:9">
      <c r="A422" s="920"/>
      <c r="B422" s="927" t="s">
        <v>992</v>
      </c>
      <c r="C422" s="772">
        <v>2540</v>
      </c>
      <c r="D422" s="772">
        <v>2540</v>
      </c>
      <c r="E422" s="772">
        <v>0</v>
      </c>
      <c r="F422" s="772">
        <v>0</v>
      </c>
      <c r="G422" s="772">
        <v>0</v>
      </c>
      <c r="H422" s="104">
        <v>0</v>
      </c>
      <c r="I422" s="916"/>
    </row>
    <row r="423" spans="1:9">
      <c r="A423" s="920"/>
      <c r="B423" s="927" t="s">
        <v>993</v>
      </c>
      <c r="C423" s="772">
        <v>1524</v>
      </c>
      <c r="D423" s="772">
        <v>1524</v>
      </c>
      <c r="E423" s="772">
        <f>1524-675</f>
        <v>849</v>
      </c>
      <c r="F423" s="772">
        <f>1524-675</f>
        <v>849</v>
      </c>
      <c r="G423" s="772">
        <f>1524-675</f>
        <v>849</v>
      </c>
      <c r="H423" s="104">
        <v>600</v>
      </c>
      <c r="I423" s="916">
        <f>H423/G423</f>
        <v>0.70671378091872794</v>
      </c>
    </row>
    <row r="424" spans="1:9">
      <c r="A424" s="920"/>
      <c r="B424" s="927" t="s">
        <v>994</v>
      </c>
      <c r="C424" s="772">
        <v>1778</v>
      </c>
      <c r="D424" s="772">
        <v>1778</v>
      </c>
      <c r="E424" s="772">
        <v>1778</v>
      </c>
      <c r="F424" s="772">
        <v>1778</v>
      </c>
      <c r="G424" s="772">
        <v>1778</v>
      </c>
      <c r="H424" s="104">
        <v>1655</v>
      </c>
      <c r="I424" s="916">
        <f>H424/G424</f>
        <v>0.93082114735658039</v>
      </c>
    </row>
    <row r="425" spans="1:9">
      <c r="A425" s="920"/>
      <c r="B425" s="927" t="s">
        <v>995</v>
      </c>
      <c r="C425" s="772">
        <v>1651</v>
      </c>
      <c r="D425" s="772">
        <v>1651</v>
      </c>
      <c r="E425" s="772">
        <v>1651</v>
      </c>
      <c r="F425" s="772">
        <v>1651</v>
      </c>
      <c r="G425" s="772">
        <v>1651</v>
      </c>
      <c r="H425" s="104">
        <v>1597</v>
      </c>
      <c r="I425" s="916">
        <f>H425/G425</f>
        <v>0.96729254996971537</v>
      </c>
    </row>
    <row r="426" spans="1:9">
      <c r="A426" s="920"/>
      <c r="B426" s="927" t="s">
        <v>996</v>
      </c>
      <c r="C426" s="772">
        <v>3175</v>
      </c>
      <c r="D426" s="772">
        <v>3175</v>
      </c>
      <c r="E426" s="772">
        <v>3175</v>
      </c>
      <c r="F426" s="772">
        <v>3175</v>
      </c>
      <c r="G426" s="772">
        <v>3175</v>
      </c>
      <c r="H426" s="104">
        <v>0</v>
      </c>
      <c r="I426" s="916">
        <f>H426/G426</f>
        <v>0</v>
      </c>
    </row>
    <row r="427" spans="1:9" ht="24">
      <c r="A427" s="920"/>
      <c r="B427" s="927" t="s">
        <v>1078</v>
      </c>
      <c r="C427" s="772">
        <v>3048</v>
      </c>
      <c r="D427" s="772">
        <v>3048</v>
      </c>
      <c r="E427" s="772">
        <v>8319</v>
      </c>
      <c r="F427" s="772">
        <v>8319</v>
      </c>
      <c r="G427" s="772">
        <v>8319</v>
      </c>
      <c r="H427" s="104">
        <v>6939</v>
      </c>
      <c r="I427" s="916">
        <f>H427/G427</f>
        <v>0.83411467724486121</v>
      </c>
    </row>
    <row r="428" spans="1:9">
      <c r="A428" s="920"/>
      <c r="B428" s="927" t="s">
        <v>997</v>
      </c>
      <c r="C428" s="772">
        <v>1270</v>
      </c>
      <c r="D428" s="772">
        <v>1270</v>
      </c>
      <c r="E428" s="772">
        <v>0</v>
      </c>
      <c r="F428" s="772">
        <v>0</v>
      </c>
      <c r="G428" s="772">
        <v>0</v>
      </c>
      <c r="H428" s="104">
        <v>0</v>
      </c>
      <c r="I428" s="916"/>
    </row>
    <row r="429" spans="1:9">
      <c r="A429" s="920"/>
      <c r="B429" s="927" t="s">
        <v>998</v>
      </c>
      <c r="C429" s="772">
        <v>572</v>
      </c>
      <c r="D429" s="772">
        <v>572</v>
      </c>
      <c r="E429" s="772">
        <v>0</v>
      </c>
      <c r="F429" s="772">
        <v>0</v>
      </c>
      <c r="G429" s="772">
        <v>0</v>
      </c>
      <c r="H429" s="104">
        <v>0</v>
      </c>
      <c r="I429" s="916"/>
    </row>
    <row r="430" spans="1:9">
      <c r="A430" s="920"/>
      <c r="B430" s="927" t="s">
        <v>1079</v>
      </c>
      <c r="C430" s="772">
        <v>31869</v>
      </c>
      <c r="D430" s="772">
        <v>31869</v>
      </c>
      <c r="E430" s="772">
        <v>63201</v>
      </c>
      <c r="F430" s="772">
        <v>63201</v>
      </c>
      <c r="G430" s="772">
        <v>63201</v>
      </c>
      <c r="H430" s="104">
        <v>2719</v>
      </c>
      <c r="I430" s="916">
        <f>H430/G430</f>
        <v>4.3021471179253493E-2</v>
      </c>
    </row>
    <row r="431" spans="1:9">
      <c r="A431" s="920"/>
      <c r="B431" s="927" t="s">
        <v>999</v>
      </c>
      <c r="C431" s="772">
        <v>44450</v>
      </c>
      <c r="D431" s="772">
        <v>44450</v>
      </c>
      <c r="E431" s="772">
        <v>0</v>
      </c>
      <c r="F431" s="772">
        <v>0</v>
      </c>
      <c r="G431" s="772">
        <v>0</v>
      </c>
      <c r="H431" s="104">
        <v>0</v>
      </c>
      <c r="I431" s="916"/>
    </row>
    <row r="432" spans="1:9">
      <c r="A432" s="920"/>
      <c r="B432" s="927" t="s">
        <v>1000</v>
      </c>
      <c r="C432" s="772">
        <v>30480</v>
      </c>
      <c r="D432" s="772">
        <v>30480</v>
      </c>
      <c r="E432" s="772">
        <v>30480</v>
      </c>
      <c r="F432" s="772">
        <v>30480</v>
      </c>
      <c r="G432" s="772">
        <v>30480</v>
      </c>
      <c r="H432" s="104">
        <v>0</v>
      </c>
      <c r="I432" s="916"/>
    </row>
    <row r="433" spans="1:9">
      <c r="A433" s="920"/>
      <c r="B433" s="927" t="s">
        <v>1001</v>
      </c>
      <c r="C433" s="772">
        <v>13335</v>
      </c>
      <c r="D433" s="772">
        <v>0</v>
      </c>
      <c r="E433" s="772">
        <v>0</v>
      </c>
      <c r="F433" s="772">
        <v>0</v>
      </c>
      <c r="G433" s="772">
        <v>0</v>
      </c>
      <c r="H433" s="104">
        <v>0</v>
      </c>
      <c r="I433" s="916"/>
    </row>
    <row r="434" spans="1:9">
      <c r="A434" s="920"/>
      <c r="B434" s="927" t="s">
        <v>1002</v>
      </c>
      <c r="C434" s="772">
        <v>20320</v>
      </c>
      <c r="D434" s="772">
        <v>20320</v>
      </c>
      <c r="E434" s="772">
        <v>21717</v>
      </c>
      <c r="F434" s="772">
        <v>21717</v>
      </c>
      <c r="G434" s="772">
        <v>21717</v>
      </c>
      <c r="H434" s="104">
        <v>1397</v>
      </c>
      <c r="I434" s="916">
        <f>H434/G434</f>
        <v>6.4327485380116955E-2</v>
      </c>
    </row>
    <row r="435" spans="1:9">
      <c r="A435" s="920"/>
      <c r="B435" s="927" t="s">
        <v>1003</v>
      </c>
      <c r="C435" s="772">
        <v>5334</v>
      </c>
      <c r="D435" s="772">
        <v>5334</v>
      </c>
      <c r="E435" s="772">
        <v>5334</v>
      </c>
      <c r="F435" s="772">
        <f>5334-3000</f>
        <v>2334</v>
      </c>
      <c r="G435" s="772">
        <f>5334-3000</f>
        <v>2334</v>
      </c>
      <c r="H435" s="104">
        <v>2296</v>
      </c>
      <c r="I435" s="1456">
        <f>H435/G435</f>
        <v>0.9837189374464439</v>
      </c>
    </row>
    <row r="436" spans="1:9" ht="24">
      <c r="A436" s="920"/>
      <c r="B436" s="927" t="s">
        <v>1080</v>
      </c>
      <c r="C436" s="772">
        <v>10160</v>
      </c>
      <c r="D436" s="772">
        <v>10160</v>
      </c>
      <c r="E436" s="772">
        <v>73800</v>
      </c>
      <c r="F436" s="772">
        <f>73800-385</f>
        <v>73415</v>
      </c>
      <c r="G436" s="772">
        <f>73800-385-7463</f>
        <v>65952</v>
      </c>
      <c r="H436" s="104">
        <v>56592</v>
      </c>
      <c r="I436" s="1456">
        <f>H436/G436</f>
        <v>0.85807860262008728</v>
      </c>
    </row>
    <row r="437" spans="1:9">
      <c r="A437" s="920"/>
      <c r="B437" s="927" t="s">
        <v>1004</v>
      </c>
      <c r="C437" s="772">
        <v>6350</v>
      </c>
      <c r="D437" s="772">
        <v>6350</v>
      </c>
      <c r="E437" s="772">
        <v>0</v>
      </c>
      <c r="F437" s="772">
        <v>0</v>
      </c>
      <c r="G437" s="772">
        <v>0</v>
      </c>
      <c r="H437" s="104">
        <v>0</v>
      </c>
      <c r="I437" s="916"/>
    </row>
    <row r="438" spans="1:9">
      <c r="A438" s="920"/>
      <c r="B438" s="927" t="s">
        <v>1005</v>
      </c>
      <c r="C438" s="772">
        <v>10160</v>
      </c>
      <c r="D438" s="772">
        <v>10160</v>
      </c>
      <c r="E438" s="772">
        <v>11430</v>
      </c>
      <c r="F438" s="772">
        <f>11430-200</f>
        <v>11230</v>
      </c>
      <c r="G438" s="772">
        <f>11430-200</f>
        <v>11230</v>
      </c>
      <c r="H438" s="104">
        <v>10391</v>
      </c>
      <c r="I438" s="916">
        <f t="shared" ref="I438:I444" si="209">H438/G438</f>
        <v>0.9252894033837934</v>
      </c>
    </row>
    <row r="439" spans="1:9">
      <c r="A439" s="920"/>
      <c r="B439" s="927" t="s">
        <v>1006</v>
      </c>
      <c r="C439" s="772">
        <v>15240</v>
      </c>
      <c r="D439" s="772">
        <v>15240</v>
      </c>
      <c r="E439" s="772">
        <f>15240+3249+3734</f>
        <v>22223</v>
      </c>
      <c r="F439" s="772">
        <f>15240+3249+3734</f>
        <v>22223</v>
      </c>
      <c r="G439" s="772">
        <f>15240+3249+3734</f>
        <v>22223</v>
      </c>
      <c r="H439" s="104">
        <v>22096</v>
      </c>
      <c r="I439" s="916">
        <f t="shared" si="209"/>
        <v>0.99428520001799936</v>
      </c>
    </row>
    <row r="440" spans="1:9">
      <c r="A440" s="920"/>
      <c r="B440" s="927" t="s">
        <v>1007</v>
      </c>
      <c r="C440" s="772">
        <v>30000</v>
      </c>
      <c r="D440" s="772">
        <v>30000</v>
      </c>
      <c r="E440" s="772">
        <f>30000+5000-14444</f>
        <v>20556</v>
      </c>
      <c r="F440" s="772">
        <f>30000+5000-14444</f>
        <v>20556</v>
      </c>
      <c r="G440" s="772">
        <f>30000+5000-14444</f>
        <v>20556</v>
      </c>
      <c r="H440" s="104">
        <v>18539</v>
      </c>
      <c r="I440" s="916">
        <f t="shared" si="209"/>
        <v>0.90187779723681649</v>
      </c>
    </row>
    <row r="441" spans="1:9">
      <c r="A441" s="920"/>
      <c r="B441" s="927" t="s">
        <v>1025</v>
      </c>
      <c r="C441" s="772"/>
      <c r="D441" s="772">
        <v>654</v>
      </c>
      <c r="E441" s="772">
        <v>654</v>
      </c>
      <c r="F441" s="772">
        <v>654</v>
      </c>
      <c r="G441" s="772">
        <v>654</v>
      </c>
      <c r="H441" s="104">
        <v>654</v>
      </c>
      <c r="I441" s="916">
        <f t="shared" si="209"/>
        <v>1</v>
      </c>
    </row>
    <row r="442" spans="1:9">
      <c r="A442" s="920"/>
      <c r="B442" s="927" t="s">
        <v>1026</v>
      </c>
      <c r="C442" s="772"/>
      <c r="D442" s="772">
        <v>1579</v>
      </c>
      <c r="E442" s="772">
        <v>1579</v>
      </c>
      <c r="F442" s="772">
        <v>1579</v>
      </c>
      <c r="G442" s="772">
        <v>1579</v>
      </c>
      <c r="H442" s="104">
        <v>1436</v>
      </c>
      <c r="I442" s="916">
        <f t="shared" si="209"/>
        <v>0.9094363521215959</v>
      </c>
    </row>
    <row r="443" spans="1:9">
      <c r="A443" s="920"/>
      <c r="B443" s="927" t="s">
        <v>1027</v>
      </c>
      <c r="C443" s="772"/>
      <c r="D443" s="772">
        <v>100</v>
      </c>
      <c r="E443" s="772">
        <v>100</v>
      </c>
      <c r="F443" s="772">
        <v>100</v>
      </c>
      <c r="G443" s="772">
        <v>100</v>
      </c>
      <c r="H443" s="104">
        <v>100</v>
      </c>
      <c r="I443" s="916">
        <f t="shared" si="209"/>
        <v>1</v>
      </c>
    </row>
    <row r="444" spans="1:9">
      <c r="A444" s="920"/>
      <c r="B444" s="927" t="s">
        <v>1028</v>
      </c>
      <c r="C444" s="772"/>
      <c r="D444" s="772">
        <v>3167</v>
      </c>
      <c r="E444" s="772">
        <v>3167</v>
      </c>
      <c r="F444" s="772">
        <v>3167</v>
      </c>
      <c r="G444" s="772">
        <v>3167</v>
      </c>
      <c r="H444" s="104">
        <v>3167</v>
      </c>
      <c r="I444" s="916">
        <f t="shared" si="209"/>
        <v>1</v>
      </c>
    </row>
    <row r="445" spans="1:9">
      <c r="A445" s="920"/>
      <c r="B445" s="927" t="s">
        <v>1039</v>
      </c>
      <c r="C445" s="772"/>
      <c r="D445" s="772">
        <v>23000</v>
      </c>
      <c r="E445" s="772">
        <v>0</v>
      </c>
      <c r="F445" s="772">
        <v>0</v>
      </c>
      <c r="G445" s="772">
        <v>0</v>
      </c>
      <c r="H445" s="104">
        <v>0</v>
      </c>
      <c r="I445" s="916"/>
    </row>
    <row r="446" spans="1:9">
      <c r="A446" s="920"/>
      <c r="B446" s="927" t="s">
        <v>1044</v>
      </c>
      <c r="C446" s="772"/>
      <c r="D446" s="772">
        <v>31750</v>
      </c>
      <c r="E446" s="772">
        <v>31750</v>
      </c>
      <c r="F446" s="772">
        <f>31750+67</f>
        <v>31817</v>
      </c>
      <c r="G446" s="772">
        <f>31750+67-1895</f>
        <v>29922</v>
      </c>
      <c r="H446" s="104">
        <v>27682</v>
      </c>
      <c r="I446" s="916">
        <f>H446/G446</f>
        <v>0.92513869393757098</v>
      </c>
    </row>
    <row r="447" spans="1:9">
      <c r="A447" s="920"/>
      <c r="B447" s="927" t="s">
        <v>1045</v>
      </c>
      <c r="C447" s="772"/>
      <c r="D447" s="772">
        <v>40640</v>
      </c>
      <c r="E447" s="772">
        <v>40640</v>
      </c>
      <c r="F447" s="772">
        <f>40640+65973</f>
        <v>106613</v>
      </c>
      <c r="G447" s="772">
        <f>40640+65973</f>
        <v>106613</v>
      </c>
      <c r="H447" s="104">
        <v>0</v>
      </c>
      <c r="I447" s="916"/>
    </row>
    <row r="448" spans="1:9" ht="24">
      <c r="A448" s="920"/>
      <c r="B448" s="927" t="s">
        <v>1046</v>
      </c>
      <c r="C448" s="772"/>
      <c r="D448" s="772">
        <v>31750</v>
      </c>
      <c r="E448" s="772">
        <v>18661</v>
      </c>
      <c r="F448" s="772">
        <v>18661</v>
      </c>
      <c r="G448" s="772">
        <v>18661</v>
      </c>
      <c r="H448" s="104">
        <v>15448</v>
      </c>
      <c r="I448" s="916">
        <f>H448/G448</f>
        <v>0.82782273190075562</v>
      </c>
    </row>
    <row r="449" spans="1:9">
      <c r="A449" s="920"/>
      <c r="B449" s="927" t="s">
        <v>1038</v>
      </c>
      <c r="C449" s="772"/>
      <c r="D449" s="772">
        <v>30000</v>
      </c>
      <c r="E449" s="772">
        <v>30000</v>
      </c>
      <c r="F449" s="772">
        <f>30000+3200</f>
        <v>33200</v>
      </c>
      <c r="G449" s="772">
        <f>30000+3200</f>
        <v>33200</v>
      </c>
      <c r="H449" s="104">
        <v>0</v>
      </c>
      <c r="I449" s="916"/>
    </row>
    <row r="450" spans="1:9">
      <c r="A450" s="920"/>
      <c r="B450" s="927" t="s">
        <v>1075</v>
      </c>
      <c r="C450" s="772"/>
      <c r="D450" s="772"/>
      <c r="E450" s="772">
        <v>13040</v>
      </c>
      <c r="F450" s="772">
        <v>13040</v>
      </c>
      <c r="G450" s="772">
        <v>13040</v>
      </c>
      <c r="H450" s="104">
        <v>12419</v>
      </c>
      <c r="I450" s="916">
        <f t="shared" ref="I450" si="210">H450/G450</f>
        <v>0.9523773006134969</v>
      </c>
    </row>
    <row r="451" spans="1:9">
      <c r="A451" s="920"/>
      <c r="B451" s="927" t="s">
        <v>1047</v>
      </c>
      <c r="C451" s="772"/>
      <c r="D451" s="772">
        <v>50000</v>
      </c>
      <c r="E451" s="772">
        <v>50000</v>
      </c>
      <c r="F451" s="772">
        <v>50000</v>
      </c>
      <c r="G451" s="772">
        <f>50000-38121</f>
        <v>11879</v>
      </c>
      <c r="H451" s="104">
        <v>11879</v>
      </c>
      <c r="I451" s="916">
        <f t="shared" ref="I451:I456" si="211">H451/G451</f>
        <v>1</v>
      </c>
    </row>
    <row r="452" spans="1:9">
      <c r="A452" s="920"/>
      <c r="B452" s="927" t="s">
        <v>1081</v>
      </c>
      <c r="C452" s="772"/>
      <c r="D452" s="772"/>
      <c r="E452" s="772">
        <v>4872</v>
      </c>
      <c r="F452" s="772">
        <v>4872</v>
      </c>
      <c r="G452" s="772">
        <v>4872</v>
      </c>
      <c r="H452" s="104">
        <v>4871</v>
      </c>
      <c r="I452" s="916">
        <f t="shared" si="211"/>
        <v>0.99979474548440062</v>
      </c>
    </row>
    <row r="453" spans="1:9">
      <c r="A453" s="920"/>
      <c r="B453" s="927" t="s">
        <v>1082</v>
      </c>
      <c r="C453" s="772"/>
      <c r="D453" s="772"/>
      <c r="E453" s="772">
        <v>10423</v>
      </c>
      <c r="F453" s="772">
        <v>10423</v>
      </c>
      <c r="G453" s="772">
        <v>10423</v>
      </c>
      <c r="H453" s="104">
        <v>9475</v>
      </c>
      <c r="I453" s="916">
        <f t="shared" si="211"/>
        <v>0.90904729924206085</v>
      </c>
    </row>
    <row r="454" spans="1:9" ht="13.5" thickBot="1">
      <c r="A454" s="920"/>
      <c r="B454" s="927" t="s">
        <v>1037</v>
      </c>
      <c r="C454" s="772"/>
      <c r="D454" s="772">
        <v>32126</v>
      </c>
      <c r="E454" s="772">
        <v>32126</v>
      </c>
      <c r="F454" s="772">
        <v>32126</v>
      </c>
      <c r="G454" s="772">
        <v>32126</v>
      </c>
      <c r="H454" s="104">
        <v>16694</v>
      </c>
      <c r="I454" s="916">
        <f t="shared" si="211"/>
        <v>0.5196414119404843</v>
      </c>
    </row>
    <row r="455" spans="1:9" ht="13.5" thickBot="1">
      <c r="A455" s="920"/>
      <c r="B455" s="710" t="s">
        <v>43</v>
      </c>
      <c r="C455" s="1473">
        <f t="shared" ref="C455:H455" si="212">SUM(C385+C415)</f>
        <v>553550</v>
      </c>
      <c r="D455" s="1473">
        <f t="shared" si="212"/>
        <v>1092602</v>
      </c>
      <c r="E455" s="1473">
        <f t="shared" si="212"/>
        <v>1117602</v>
      </c>
      <c r="F455" s="1473">
        <f t="shared" si="212"/>
        <v>1112360</v>
      </c>
      <c r="G455" s="1473">
        <f t="shared" si="212"/>
        <v>1103002</v>
      </c>
      <c r="H455" s="1474">
        <f t="shared" si="212"/>
        <v>625831</v>
      </c>
      <c r="I455" s="1430">
        <f t="shared" si="211"/>
        <v>0.56738881706470157</v>
      </c>
    </row>
    <row r="456" spans="1:9" ht="15.75" thickBot="1">
      <c r="A456" s="921"/>
      <c r="B456" s="711" t="s">
        <v>81</v>
      </c>
      <c r="C456" s="767">
        <f t="shared" ref="C456:H456" si="213">SUM(C384+C455)</f>
        <v>3527779</v>
      </c>
      <c r="D456" s="767">
        <f t="shared" si="213"/>
        <v>4483124</v>
      </c>
      <c r="E456" s="767">
        <f t="shared" si="213"/>
        <v>4544031</v>
      </c>
      <c r="F456" s="767">
        <f t="shared" si="213"/>
        <v>4607312</v>
      </c>
      <c r="G456" s="767">
        <f t="shared" si="213"/>
        <v>4707934</v>
      </c>
      <c r="H456" s="907">
        <f t="shared" si="213"/>
        <v>3686921</v>
      </c>
      <c r="I456" s="1457">
        <f t="shared" si="211"/>
        <v>0.7831292877087912</v>
      </c>
    </row>
    <row r="457" spans="1:9" ht="15">
      <c r="A457" s="922">
        <v>2799</v>
      </c>
      <c r="B457" s="713" t="s">
        <v>55</v>
      </c>
      <c r="C457" s="757"/>
      <c r="D457" s="757"/>
      <c r="E457" s="757"/>
      <c r="F457" s="757"/>
      <c r="G457" s="757"/>
      <c r="H457" s="905"/>
      <c r="I457" s="1444"/>
    </row>
    <row r="458" spans="1:9">
      <c r="A458" s="920"/>
      <c r="B458" s="696" t="s">
        <v>140</v>
      </c>
      <c r="C458" s="1443"/>
      <c r="D458" s="1443"/>
      <c r="E458" s="1443"/>
      <c r="F458" s="1443"/>
      <c r="G458" s="1443"/>
      <c r="H458" s="695"/>
      <c r="I458" s="916"/>
    </row>
    <row r="459" spans="1:9" ht="13.5" thickBot="1">
      <c r="A459" s="920"/>
      <c r="B459" s="697" t="s">
        <v>141</v>
      </c>
      <c r="C459" s="755">
        <f t="shared" ref="C459:H459" si="214">C320+C355</f>
        <v>0</v>
      </c>
      <c r="D459" s="755">
        <f t="shared" si="214"/>
        <v>0</v>
      </c>
      <c r="E459" s="755">
        <f t="shared" si="214"/>
        <v>0</v>
      </c>
      <c r="F459" s="755">
        <f t="shared" si="214"/>
        <v>15075</v>
      </c>
      <c r="G459" s="755">
        <f t="shared" si="214"/>
        <v>18075</v>
      </c>
      <c r="H459" s="911">
        <f t="shared" si="214"/>
        <v>18075</v>
      </c>
      <c r="I459" s="916">
        <f t="shared" ref="I459:I460" si="215">H459/G459</f>
        <v>1</v>
      </c>
    </row>
    <row r="460" spans="1:9" ht="13.5" thickBot="1">
      <c r="A460" s="920"/>
      <c r="B460" s="698" t="s">
        <v>152</v>
      </c>
      <c r="C460" s="1453">
        <f t="shared" ref="C460:H460" si="216">C458+C459</f>
        <v>0</v>
      </c>
      <c r="D460" s="1453">
        <f t="shared" si="216"/>
        <v>0</v>
      </c>
      <c r="E460" s="1453">
        <f t="shared" si="216"/>
        <v>0</v>
      </c>
      <c r="F460" s="1453">
        <f t="shared" si="216"/>
        <v>15075</v>
      </c>
      <c r="G460" s="1453">
        <f t="shared" si="216"/>
        <v>18075</v>
      </c>
      <c r="H460" s="1460">
        <f t="shared" si="216"/>
        <v>18075</v>
      </c>
      <c r="I460" s="1457">
        <f t="shared" si="215"/>
        <v>1</v>
      </c>
    </row>
    <row r="461" spans="1:9">
      <c r="A461" s="920"/>
      <c r="B461" s="696" t="s">
        <v>143</v>
      </c>
      <c r="C461" s="754">
        <f t="shared" ref="C461" si="217">SUM(C462:C463)</f>
        <v>95005</v>
      </c>
      <c r="D461" s="754">
        <f t="shared" ref="D461:E461" si="218">SUM(D462:D463)</f>
        <v>95005</v>
      </c>
      <c r="E461" s="754">
        <f t="shared" si="218"/>
        <v>95005</v>
      </c>
      <c r="F461" s="754">
        <f t="shared" ref="F461:G461" si="219">SUM(F462:F463)</f>
        <v>114972</v>
      </c>
      <c r="G461" s="754">
        <f t="shared" si="219"/>
        <v>140482</v>
      </c>
      <c r="H461" s="902">
        <f t="shared" ref="H461" si="220">SUM(H462:H463)</f>
        <v>140483</v>
      </c>
      <c r="I461" s="916">
        <f t="shared" ref="I461:I471" si="221">H461/G461</f>
        <v>1.0000071183496817</v>
      </c>
    </row>
    <row r="462" spans="1:9">
      <c r="A462" s="920"/>
      <c r="B462" s="685" t="s">
        <v>144</v>
      </c>
      <c r="C462" s="757">
        <f t="shared" ref="C462:H462" si="222">SUM(C357+C322)</f>
        <v>25000</v>
      </c>
      <c r="D462" s="757">
        <f t="shared" si="222"/>
        <v>25000</v>
      </c>
      <c r="E462" s="757">
        <f t="shared" si="222"/>
        <v>25000</v>
      </c>
      <c r="F462" s="757">
        <f t="shared" si="222"/>
        <v>33062</v>
      </c>
      <c r="G462" s="757">
        <f t="shared" si="222"/>
        <v>37028</v>
      </c>
      <c r="H462" s="905">
        <f t="shared" si="222"/>
        <v>37029</v>
      </c>
      <c r="I462" s="916">
        <f t="shared" si="221"/>
        <v>1.000027006589608</v>
      </c>
    </row>
    <row r="463" spans="1:9">
      <c r="A463" s="920"/>
      <c r="B463" s="685" t="s">
        <v>145</v>
      </c>
      <c r="C463" s="757">
        <f t="shared" ref="C463:H463" si="223">SUM(C358)</f>
        <v>70005</v>
      </c>
      <c r="D463" s="757">
        <f t="shared" si="223"/>
        <v>70005</v>
      </c>
      <c r="E463" s="757">
        <f t="shared" si="223"/>
        <v>70005</v>
      </c>
      <c r="F463" s="757">
        <f t="shared" si="223"/>
        <v>81910</v>
      </c>
      <c r="G463" s="757">
        <f t="shared" si="223"/>
        <v>103454</v>
      </c>
      <c r="H463" s="905">
        <f t="shared" si="223"/>
        <v>103454</v>
      </c>
      <c r="I463" s="916">
        <f t="shared" si="221"/>
        <v>1</v>
      </c>
    </row>
    <row r="464" spans="1:9">
      <c r="A464" s="920"/>
      <c r="B464" s="686" t="s">
        <v>146</v>
      </c>
      <c r="C464" s="754">
        <f>SUM(C329+C359)</f>
        <v>3836</v>
      </c>
      <c r="D464" s="754">
        <f>SUM(D329+D359)</f>
        <v>3951</v>
      </c>
      <c r="E464" s="754">
        <f>SUM(E329+E359)</f>
        <v>5545</v>
      </c>
      <c r="F464" s="754">
        <f>SUM(F324+F359)</f>
        <v>7666</v>
      </c>
      <c r="G464" s="754">
        <f>SUM(G324+G359)</f>
        <v>11173</v>
      </c>
      <c r="H464" s="902">
        <f>SUM(H324+H359)</f>
        <v>11174</v>
      </c>
      <c r="I464" s="916">
        <f t="shared" si="221"/>
        <v>1.0000895014767743</v>
      </c>
    </row>
    <row r="465" spans="1:9">
      <c r="A465" s="920"/>
      <c r="B465" s="686" t="s">
        <v>147</v>
      </c>
      <c r="C465" s="754">
        <f t="shared" ref="C465:E466" si="224">SUM(C360)</f>
        <v>132400</v>
      </c>
      <c r="D465" s="754">
        <f t="shared" si="224"/>
        <v>132400</v>
      </c>
      <c r="E465" s="754">
        <f t="shared" si="224"/>
        <v>132400</v>
      </c>
      <c r="F465" s="754">
        <f t="shared" ref="F465:G465" si="225">SUM(F360)</f>
        <v>132400</v>
      </c>
      <c r="G465" s="754">
        <f t="shared" si="225"/>
        <v>171045</v>
      </c>
      <c r="H465" s="902">
        <f t="shared" ref="H465" si="226">SUM(H360)</f>
        <v>171128</v>
      </c>
      <c r="I465" s="916">
        <f t="shared" si="221"/>
        <v>1.000485252418954</v>
      </c>
    </row>
    <row r="466" spans="1:9">
      <c r="A466" s="920"/>
      <c r="B466" s="686" t="s">
        <v>148</v>
      </c>
      <c r="C466" s="754">
        <f t="shared" si="224"/>
        <v>62435</v>
      </c>
      <c r="D466" s="754">
        <f t="shared" si="224"/>
        <v>62435</v>
      </c>
      <c r="E466" s="754">
        <f t="shared" si="224"/>
        <v>62435</v>
      </c>
      <c r="F466" s="754">
        <f t="shared" ref="F466:G466" si="227">SUM(F361)</f>
        <v>68430</v>
      </c>
      <c r="G466" s="754">
        <f t="shared" si="227"/>
        <v>87129</v>
      </c>
      <c r="H466" s="902">
        <f t="shared" ref="H466" si="228">SUM(H361)</f>
        <v>87151</v>
      </c>
      <c r="I466" s="916">
        <f t="shared" si="221"/>
        <v>1.0002524991679005</v>
      </c>
    </row>
    <row r="467" spans="1:9">
      <c r="A467" s="920"/>
      <c r="B467" s="686" t="s">
        <v>274</v>
      </c>
      <c r="C467" s="754">
        <f>C327</f>
        <v>0</v>
      </c>
      <c r="D467" s="754">
        <f>D327</f>
        <v>0</v>
      </c>
      <c r="E467" s="754">
        <f>E327+E362</f>
        <v>34357</v>
      </c>
      <c r="F467" s="754">
        <f>F327+F362</f>
        <v>57977</v>
      </c>
      <c r="G467" s="754">
        <f>G327+G362</f>
        <v>70834</v>
      </c>
      <c r="H467" s="902">
        <f>H327+H362</f>
        <v>70834</v>
      </c>
      <c r="I467" s="916">
        <f t="shared" si="221"/>
        <v>1</v>
      </c>
    </row>
    <row r="468" spans="1:9">
      <c r="A468" s="920"/>
      <c r="B468" s="687" t="s">
        <v>351</v>
      </c>
      <c r="C468" s="754">
        <f>SUM(C363+C333)</f>
        <v>0</v>
      </c>
      <c r="D468" s="754">
        <f>SUM(D363+D333)</f>
        <v>0</v>
      </c>
      <c r="E468" s="754">
        <f>SUM(E363+E333)</f>
        <v>4</v>
      </c>
      <c r="F468" s="754">
        <f>SUM(F363)</f>
        <v>4</v>
      </c>
      <c r="G468" s="754">
        <f>SUM(G363)</f>
        <v>7</v>
      </c>
      <c r="H468" s="902">
        <f>SUM(H363)</f>
        <v>7</v>
      </c>
      <c r="I468" s="916">
        <f t="shared" si="221"/>
        <v>1</v>
      </c>
    </row>
    <row r="469" spans="1:9">
      <c r="A469" s="920"/>
      <c r="B469" s="687" t="s">
        <v>1067</v>
      </c>
      <c r="C469" s="754">
        <f>C364</f>
        <v>0</v>
      </c>
      <c r="D469" s="754">
        <f t="shared" ref="D469:E469" si="229">D364</f>
        <v>0</v>
      </c>
      <c r="E469" s="754">
        <f t="shared" si="229"/>
        <v>296</v>
      </c>
      <c r="F469" s="754">
        <f t="shared" ref="F469:G469" si="230">F364</f>
        <v>296</v>
      </c>
      <c r="G469" s="754">
        <f t="shared" si="230"/>
        <v>376</v>
      </c>
      <c r="H469" s="902">
        <f t="shared" ref="H469" si="231">H364</f>
        <v>376</v>
      </c>
      <c r="I469" s="916">
        <f t="shared" si="221"/>
        <v>1</v>
      </c>
    </row>
    <row r="470" spans="1:9" ht="13.5" thickBot="1">
      <c r="A470" s="920"/>
      <c r="B470" s="688" t="s">
        <v>149</v>
      </c>
      <c r="C470" s="754">
        <f>SUM(C365)</f>
        <v>0</v>
      </c>
      <c r="D470" s="754">
        <f>SUM(D365)</f>
        <v>0</v>
      </c>
      <c r="E470" s="754">
        <f>SUM(E365)</f>
        <v>5937</v>
      </c>
      <c r="F470" s="754">
        <f>F329+F365</f>
        <v>12035</v>
      </c>
      <c r="G470" s="754">
        <f>G329+G365</f>
        <v>13364</v>
      </c>
      <c r="H470" s="902">
        <f>H329+H365</f>
        <v>13365</v>
      </c>
      <c r="I470" s="916">
        <f t="shared" si="221"/>
        <v>1.0000748278958396</v>
      </c>
    </row>
    <row r="471" spans="1:9" ht="13.5" thickBot="1">
      <c r="A471" s="920"/>
      <c r="B471" s="689" t="s">
        <v>270</v>
      </c>
      <c r="C471" s="771">
        <f>SUM(C461+C464+C465+C466+C469+C470+C467+C468)</f>
        <v>293676</v>
      </c>
      <c r="D471" s="771">
        <f t="shared" ref="D471" si="232">SUM(D461+D464+D465+D466+D469+D470+D467+D468)</f>
        <v>293791</v>
      </c>
      <c r="E471" s="771">
        <f>SUM(E461+E464+E465+E466+E469+E470+E467+E468)</f>
        <v>335979</v>
      </c>
      <c r="F471" s="771">
        <f>SUM(F461+F464+F465+F466+F469+F470+F467+F468)</f>
        <v>393780</v>
      </c>
      <c r="G471" s="771">
        <f>SUM(G461+G464+G465+G466+G469+G470+G467+G468)</f>
        <v>494410</v>
      </c>
      <c r="H471" s="910">
        <f>SUM(H461+H464+H465+H466+H469+H470+H467+H468)</f>
        <v>494518</v>
      </c>
      <c r="I471" s="1430">
        <f t="shared" si="221"/>
        <v>1.0002184421836129</v>
      </c>
    </row>
    <row r="472" spans="1:9" ht="13.5" thickBot="1">
      <c r="A472" s="920"/>
      <c r="B472" s="690" t="s">
        <v>176</v>
      </c>
      <c r="C472" s="771"/>
      <c r="D472" s="767"/>
      <c r="E472" s="767"/>
      <c r="F472" s="767"/>
      <c r="G472" s="767"/>
      <c r="H472" s="907"/>
      <c r="I472" s="1441"/>
    </row>
    <row r="473" spans="1:9" ht="13.5" thickBot="1">
      <c r="A473" s="920"/>
      <c r="B473" s="691" t="s">
        <v>44</v>
      </c>
      <c r="C473" s="1451">
        <f t="shared" ref="C473:H473" si="233">SUM(C471+C460)</f>
        <v>293676</v>
      </c>
      <c r="D473" s="770">
        <f t="shared" si="233"/>
        <v>293791</v>
      </c>
      <c r="E473" s="770">
        <f t="shared" si="233"/>
        <v>335979</v>
      </c>
      <c r="F473" s="770">
        <f t="shared" si="233"/>
        <v>408855</v>
      </c>
      <c r="G473" s="770">
        <f t="shared" si="233"/>
        <v>512485</v>
      </c>
      <c r="H473" s="762">
        <f t="shared" si="233"/>
        <v>512593</v>
      </c>
      <c r="I473" s="1430">
        <f>H473/G473</f>
        <v>1.0002107378752549</v>
      </c>
    </row>
    <row r="474" spans="1:9">
      <c r="A474" s="920"/>
      <c r="B474" s="723" t="s">
        <v>359</v>
      </c>
      <c r="C474" s="1463"/>
      <c r="D474" s="1463"/>
      <c r="E474" s="1463"/>
      <c r="F474" s="1463">
        <f>F370+F334</f>
        <v>1530</v>
      </c>
      <c r="G474" s="1463">
        <f>G370+G334</f>
        <v>1530</v>
      </c>
      <c r="H474" s="1464">
        <f>H370+H334</f>
        <v>1530</v>
      </c>
      <c r="I474" s="916">
        <f t="shared" ref="I474" si="234">H474/G474</f>
        <v>1</v>
      </c>
    </row>
    <row r="475" spans="1:9" ht="13.5" thickBot="1">
      <c r="A475" s="920"/>
      <c r="B475" s="699" t="s">
        <v>360</v>
      </c>
      <c r="C475" s="768">
        <f t="shared" ref="C475:H475" si="235">C370</f>
        <v>0</v>
      </c>
      <c r="D475" s="768">
        <f t="shared" si="235"/>
        <v>0</v>
      </c>
      <c r="E475" s="768">
        <f t="shared" si="235"/>
        <v>0</v>
      </c>
      <c r="F475" s="768">
        <f t="shared" si="235"/>
        <v>0</v>
      </c>
      <c r="G475" s="768">
        <f t="shared" si="235"/>
        <v>0</v>
      </c>
      <c r="H475" s="908">
        <f t="shared" si="235"/>
        <v>0</v>
      </c>
      <c r="I475" s="1434"/>
    </row>
    <row r="476" spans="1:9" ht="13.5" thickBot="1">
      <c r="A476" s="920"/>
      <c r="B476" s="700" t="s">
        <v>45</v>
      </c>
      <c r="C476" s="1465">
        <f t="shared" ref="C476" si="236">SUM(C474:C475)</f>
        <v>0</v>
      </c>
      <c r="D476" s="769">
        <f t="shared" ref="D476:E476" si="237">SUM(D474:D475)</f>
        <v>0</v>
      </c>
      <c r="E476" s="769">
        <f t="shared" si="237"/>
        <v>0</v>
      </c>
      <c r="F476" s="769">
        <f t="shared" ref="F476:G476" si="238">SUM(F474:F475)</f>
        <v>1530</v>
      </c>
      <c r="G476" s="769">
        <f t="shared" si="238"/>
        <v>1530</v>
      </c>
      <c r="H476" s="909">
        <f t="shared" ref="H476" si="239">SUM(H474:H475)</f>
        <v>1530</v>
      </c>
      <c r="I476" s="1441"/>
    </row>
    <row r="477" spans="1:9">
      <c r="A477" s="920"/>
      <c r="B477" s="701" t="s">
        <v>327</v>
      </c>
      <c r="C477" s="1463">
        <f t="shared" ref="C477:H477" si="240">C335+C371</f>
        <v>0</v>
      </c>
      <c r="D477" s="1463">
        <f t="shared" si="240"/>
        <v>20657</v>
      </c>
      <c r="E477" s="1463">
        <f t="shared" si="240"/>
        <v>20835</v>
      </c>
      <c r="F477" s="1463">
        <f t="shared" si="240"/>
        <v>20835</v>
      </c>
      <c r="G477" s="1463">
        <f t="shared" si="240"/>
        <v>20835</v>
      </c>
      <c r="H477" s="1464">
        <f t="shared" si="240"/>
        <v>20835</v>
      </c>
      <c r="I477" s="916">
        <f>H477/G477</f>
        <v>1</v>
      </c>
    </row>
    <row r="478" spans="1:9">
      <c r="A478" s="920"/>
      <c r="B478" s="721" t="s">
        <v>341</v>
      </c>
      <c r="C478" s="1463">
        <f t="shared" ref="C478:H478" si="241">C372</f>
        <v>0</v>
      </c>
      <c r="D478" s="1463">
        <f t="shared" si="241"/>
        <v>0</v>
      </c>
      <c r="E478" s="1463">
        <f t="shared" si="241"/>
        <v>0</v>
      </c>
      <c r="F478" s="1463">
        <f t="shared" si="241"/>
        <v>0</v>
      </c>
      <c r="G478" s="1463">
        <f t="shared" si="241"/>
        <v>0</v>
      </c>
      <c r="H478" s="1464">
        <f t="shared" si="241"/>
        <v>0</v>
      </c>
      <c r="I478" s="916"/>
    </row>
    <row r="479" spans="1:9">
      <c r="A479" s="920"/>
      <c r="B479" s="721" t="s">
        <v>355</v>
      </c>
      <c r="C479" s="754">
        <f t="shared" ref="C479:H479" si="242">SUM(C336+C373)</f>
        <v>4830186</v>
      </c>
      <c r="D479" s="754">
        <f t="shared" si="242"/>
        <v>5816997</v>
      </c>
      <c r="E479" s="754">
        <f t="shared" si="242"/>
        <v>5850808</v>
      </c>
      <c r="F479" s="754">
        <f t="shared" si="242"/>
        <v>5965745</v>
      </c>
      <c r="G479" s="754">
        <f t="shared" si="242"/>
        <v>5965745</v>
      </c>
      <c r="H479" s="902">
        <f t="shared" si="242"/>
        <v>5251219</v>
      </c>
      <c r="I479" s="916">
        <f t="shared" ref="I479:I489" si="243">H479/G479</f>
        <v>0.88022853809540968</v>
      </c>
    </row>
    <row r="480" spans="1:9" ht="13.5" thickBot="1">
      <c r="A480" s="920"/>
      <c r="B480" s="702" t="s">
        <v>358</v>
      </c>
      <c r="C480" s="766">
        <f t="shared" ref="C480:H480" si="244">SUM(C374)</f>
        <v>700304</v>
      </c>
      <c r="D480" s="766">
        <f t="shared" si="244"/>
        <v>700304</v>
      </c>
      <c r="E480" s="766">
        <f t="shared" si="244"/>
        <v>700304</v>
      </c>
      <c r="F480" s="766">
        <f t="shared" si="244"/>
        <v>702944</v>
      </c>
      <c r="G480" s="766">
        <f t="shared" si="244"/>
        <v>702944</v>
      </c>
      <c r="H480" s="906">
        <f t="shared" si="244"/>
        <v>666973</v>
      </c>
      <c r="I480" s="1434">
        <f t="shared" si="243"/>
        <v>0.94882807165293392</v>
      </c>
    </row>
    <row r="481" spans="1:9" ht="13.5" thickBot="1">
      <c r="A481" s="920"/>
      <c r="B481" s="703" t="s">
        <v>38</v>
      </c>
      <c r="C481" s="769">
        <f t="shared" ref="C481:H481" si="245">SUM(C477:C480)</f>
        <v>5530490</v>
      </c>
      <c r="D481" s="769">
        <f t="shared" si="245"/>
        <v>6537958</v>
      </c>
      <c r="E481" s="769">
        <f t="shared" si="245"/>
        <v>6571947</v>
      </c>
      <c r="F481" s="769">
        <f t="shared" si="245"/>
        <v>6689524</v>
      </c>
      <c r="G481" s="769">
        <f t="shared" si="245"/>
        <v>6689524</v>
      </c>
      <c r="H481" s="909">
        <f t="shared" si="245"/>
        <v>5939027</v>
      </c>
      <c r="I481" s="1430">
        <f t="shared" si="243"/>
        <v>0.88781010427647766</v>
      </c>
    </row>
    <row r="482" spans="1:9" ht="13.5" thickBot="1">
      <c r="A482" s="920"/>
      <c r="B482" s="704" t="s">
        <v>327</v>
      </c>
      <c r="C482" s="768">
        <f t="shared" ref="C482:H482" si="246">C338+C376</f>
        <v>0</v>
      </c>
      <c r="D482" s="768">
        <f t="shared" si="246"/>
        <v>500</v>
      </c>
      <c r="E482" s="768">
        <f t="shared" si="246"/>
        <v>500</v>
      </c>
      <c r="F482" s="768">
        <f t="shared" si="246"/>
        <v>500</v>
      </c>
      <c r="G482" s="768">
        <f t="shared" si="246"/>
        <v>500</v>
      </c>
      <c r="H482" s="908">
        <f t="shared" si="246"/>
        <v>500</v>
      </c>
      <c r="I482" s="1441">
        <f t="shared" si="243"/>
        <v>1</v>
      </c>
    </row>
    <row r="483" spans="1:9" ht="13.5" thickBot="1">
      <c r="A483" s="920"/>
      <c r="B483" s="703" t="s">
        <v>40</v>
      </c>
      <c r="C483" s="769">
        <f t="shared" ref="C483" si="247">SUM(C482)</f>
        <v>0</v>
      </c>
      <c r="D483" s="769">
        <f t="shared" ref="D483:E483" si="248">SUM(D482)</f>
        <v>500</v>
      </c>
      <c r="E483" s="769">
        <f t="shared" si="248"/>
        <v>500</v>
      </c>
      <c r="F483" s="769">
        <f t="shared" ref="F483:G483" si="249">SUM(F482)</f>
        <v>500</v>
      </c>
      <c r="G483" s="769">
        <f t="shared" si="249"/>
        <v>500</v>
      </c>
      <c r="H483" s="909">
        <f t="shared" ref="H483" si="250">SUM(H482)</f>
        <v>500</v>
      </c>
      <c r="I483" s="1441">
        <f t="shared" si="243"/>
        <v>1</v>
      </c>
    </row>
    <row r="484" spans="1:9" ht="15.75" thickBot="1">
      <c r="A484" s="920"/>
      <c r="B484" s="705" t="s">
        <v>49</v>
      </c>
      <c r="C484" s="771">
        <f t="shared" ref="C484:H484" si="251">SUM(C473+C476+C481+C483)</f>
        <v>5824166</v>
      </c>
      <c r="D484" s="767">
        <f t="shared" si="251"/>
        <v>6832249</v>
      </c>
      <c r="E484" s="767">
        <f t="shared" si="251"/>
        <v>6908426</v>
      </c>
      <c r="F484" s="767">
        <f t="shared" si="251"/>
        <v>7100409</v>
      </c>
      <c r="G484" s="767">
        <f t="shared" si="251"/>
        <v>7204039</v>
      </c>
      <c r="H484" s="907">
        <f t="shared" si="251"/>
        <v>6453650</v>
      </c>
      <c r="I484" s="1430">
        <f t="shared" si="243"/>
        <v>0.89583773769131458</v>
      </c>
    </row>
    <row r="485" spans="1:9">
      <c r="A485" s="920"/>
      <c r="B485" s="706" t="s">
        <v>251</v>
      </c>
      <c r="C485" s="754">
        <f t="shared" ref="C485:D487" si="252">SUM(C379+C341)</f>
        <v>3009164</v>
      </c>
      <c r="D485" s="754">
        <f t="shared" si="252"/>
        <v>3047446</v>
      </c>
      <c r="E485" s="754">
        <f t="shared" ref="E485:F485" si="253">SUM(E379+E341)</f>
        <v>3066502</v>
      </c>
      <c r="F485" s="754">
        <f t="shared" si="253"/>
        <v>3224526</v>
      </c>
      <c r="G485" s="754">
        <f t="shared" ref="G485:H485" si="254">SUM(G379+G341)</f>
        <v>3224314</v>
      </c>
      <c r="H485" s="902">
        <f t="shared" si="254"/>
        <v>3165137</v>
      </c>
      <c r="I485" s="916">
        <f t="shared" si="243"/>
        <v>0.98164663863383028</v>
      </c>
    </row>
    <row r="486" spans="1:9">
      <c r="A486" s="920"/>
      <c r="B486" s="706" t="s">
        <v>252</v>
      </c>
      <c r="C486" s="754">
        <f t="shared" si="252"/>
        <v>443821</v>
      </c>
      <c r="D486" s="754">
        <f t="shared" si="252"/>
        <v>458556</v>
      </c>
      <c r="E486" s="754">
        <f t="shared" ref="E486:F486" si="255">SUM(E380+E342)</f>
        <v>461393</v>
      </c>
      <c r="F486" s="754">
        <f t="shared" si="255"/>
        <v>459794</v>
      </c>
      <c r="G486" s="754">
        <f t="shared" ref="G486:H486" si="256">SUM(G380+G342)</f>
        <v>460006</v>
      </c>
      <c r="H486" s="902">
        <f t="shared" si="256"/>
        <v>419325</v>
      </c>
      <c r="I486" s="916">
        <f t="shared" si="243"/>
        <v>0.91156419698873492</v>
      </c>
    </row>
    <row r="487" spans="1:9">
      <c r="A487" s="920"/>
      <c r="B487" s="706" t="s">
        <v>253</v>
      </c>
      <c r="C487" s="754">
        <f t="shared" si="252"/>
        <v>1789831</v>
      </c>
      <c r="D487" s="754">
        <f t="shared" si="252"/>
        <v>2204495</v>
      </c>
      <c r="E487" s="754">
        <f t="shared" ref="E487:F487" si="257">SUM(E381+E343)</f>
        <v>2227927</v>
      </c>
      <c r="F487" s="754">
        <f t="shared" si="257"/>
        <v>2267197</v>
      </c>
      <c r="G487" s="754">
        <f t="shared" ref="G487:H487" si="258">SUM(G381+G343)</f>
        <v>2380185</v>
      </c>
      <c r="H487" s="902">
        <f t="shared" si="258"/>
        <v>1856180</v>
      </c>
      <c r="I487" s="916">
        <f t="shared" si="243"/>
        <v>0.77984694467026727</v>
      </c>
    </row>
    <row r="488" spans="1:9">
      <c r="A488" s="920"/>
      <c r="B488" s="707" t="s">
        <v>255</v>
      </c>
      <c r="C488" s="754">
        <f t="shared" ref="C488:H488" si="259">SUM(C349)</f>
        <v>0</v>
      </c>
      <c r="D488" s="754">
        <f t="shared" si="259"/>
        <v>0</v>
      </c>
      <c r="E488" s="754">
        <f t="shared" si="259"/>
        <v>0</v>
      </c>
      <c r="F488" s="754">
        <f t="shared" si="259"/>
        <v>0</v>
      </c>
      <c r="G488" s="754">
        <f t="shared" si="259"/>
        <v>0</v>
      </c>
      <c r="H488" s="902">
        <f t="shared" si="259"/>
        <v>0</v>
      </c>
      <c r="I488" s="916"/>
    </row>
    <row r="489" spans="1:9" ht="13.5" thickBot="1">
      <c r="A489" s="920"/>
      <c r="B489" s="708" t="s">
        <v>254</v>
      </c>
      <c r="C489" s="754">
        <f t="shared" ref="C489:H489" si="260">SUM(C383+C345)</f>
        <v>0</v>
      </c>
      <c r="D489" s="754">
        <f t="shared" si="260"/>
        <v>0</v>
      </c>
      <c r="E489" s="754">
        <f t="shared" si="260"/>
        <v>902</v>
      </c>
      <c r="F489" s="754">
        <f t="shared" si="260"/>
        <v>902</v>
      </c>
      <c r="G489" s="754">
        <f t="shared" si="260"/>
        <v>902</v>
      </c>
      <c r="H489" s="902">
        <f t="shared" si="260"/>
        <v>902</v>
      </c>
      <c r="I489" s="1434">
        <f t="shared" si="243"/>
        <v>1</v>
      </c>
    </row>
    <row r="490" spans="1:9" ht="13.5" thickBot="1">
      <c r="A490" s="920"/>
      <c r="B490" s="709" t="s">
        <v>37</v>
      </c>
      <c r="C490" s="771">
        <f t="shared" ref="C490" si="261">SUM(C485:C489)</f>
        <v>5242816</v>
      </c>
      <c r="D490" s="771">
        <f t="shared" ref="D490:E490" si="262">SUM(D485:D489)</f>
        <v>5710497</v>
      </c>
      <c r="E490" s="771">
        <f t="shared" si="262"/>
        <v>5756724</v>
      </c>
      <c r="F490" s="771">
        <f t="shared" ref="F490:G490" si="263">SUM(F485:F489)</f>
        <v>5952419</v>
      </c>
      <c r="G490" s="771">
        <f t="shared" si="263"/>
        <v>6065407</v>
      </c>
      <c r="H490" s="910">
        <f t="shared" ref="H490" si="264">SUM(H485:H489)</f>
        <v>5441544</v>
      </c>
      <c r="I490" s="1430">
        <f>H490/G490</f>
        <v>0.89714408282906655</v>
      </c>
    </row>
    <row r="491" spans="1:9">
      <c r="A491" s="920"/>
      <c r="B491" s="706" t="s">
        <v>195</v>
      </c>
      <c r="C491" s="754">
        <f t="shared" ref="C491:H491" si="265">SUM(C385+C347)</f>
        <v>218300</v>
      </c>
      <c r="D491" s="754">
        <f t="shared" si="265"/>
        <v>527271</v>
      </c>
      <c r="E491" s="754">
        <f t="shared" si="265"/>
        <v>514860</v>
      </c>
      <c r="F491" s="754">
        <f t="shared" si="265"/>
        <v>445493</v>
      </c>
      <c r="G491" s="754">
        <f t="shared" si="265"/>
        <v>483614</v>
      </c>
      <c r="H491" s="902">
        <f t="shared" si="265"/>
        <v>288902</v>
      </c>
      <c r="I491" s="916">
        <f>H491/G491</f>
        <v>0.59738138267295815</v>
      </c>
    </row>
    <row r="492" spans="1:9">
      <c r="A492" s="920"/>
      <c r="B492" s="706" t="s">
        <v>196</v>
      </c>
      <c r="C492" s="754">
        <f t="shared" ref="C492:H492" si="266">SUM(C348+C415)</f>
        <v>363050</v>
      </c>
      <c r="D492" s="754">
        <f t="shared" si="266"/>
        <v>594481</v>
      </c>
      <c r="E492" s="754">
        <f t="shared" si="266"/>
        <v>636842</v>
      </c>
      <c r="F492" s="754">
        <f t="shared" si="266"/>
        <v>702497</v>
      </c>
      <c r="G492" s="754">
        <f t="shared" si="266"/>
        <v>655018</v>
      </c>
      <c r="H492" s="902">
        <f t="shared" si="266"/>
        <v>362231</v>
      </c>
      <c r="I492" s="916">
        <f>H492/G492</f>
        <v>0.5530092302806946</v>
      </c>
    </row>
    <row r="493" spans="1:9" ht="13.5" thickBot="1">
      <c r="A493" s="920"/>
      <c r="B493" s="708" t="s">
        <v>336</v>
      </c>
      <c r="C493" s="766"/>
      <c r="D493" s="766"/>
      <c r="E493" s="766"/>
      <c r="F493" s="766"/>
      <c r="G493" s="766"/>
      <c r="H493" s="906"/>
      <c r="I493" s="1434"/>
    </row>
    <row r="494" spans="1:9" ht="13.5" thickBot="1">
      <c r="A494" s="920"/>
      <c r="B494" s="710" t="s">
        <v>43</v>
      </c>
      <c r="C494" s="767">
        <f t="shared" ref="C494" si="267">SUM(C491:C493)</f>
        <v>581350</v>
      </c>
      <c r="D494" s="767">
        <f t="shared" ref="D494:E494" si="268">SUM(D491:D493)</f>
        <v>1121752</v>
      </c>
      <c r="E494" s="767">
        <f t="shared" si="268"/>
        <v>1151702</v>
      </c>
      <c r="F494" s="767">
        <f t="shared" ref="F494:G494" si="269">SUM(F491:F493)</f>
        <v>1147990</v>
      </c>
      <c r="G494" s="767">
        <f t="shared" si="269"/>
        <v>1138632</v>
      </c>
      <c r="H494" s="907">
        <f t="shared" ref="H494" si="270">SUM(H491:H493)</f>
        <v>651133</v>
      </c>
      <c r="I494" s="1430">
        <f>H494/G494</f>
        <v>0.57185552487546454</v>
      </c>
    </row>
    <row r="495" spans="1:9" ht="15.75" thickBot="1">
      <c r="A495" s="921"/>
      <c r="B495" s="711" t="s">
        <v>81</v>
      </c>
      <c r="C495" s="771">
        <f t="shared" ref="C495" si="271">SUM(C490+C494)</f>
        <v>5824166</v>
      </c>
      <c r="D495" s="767">
        <f t="shared" ref="D495:E495" si="272">SUM(D490+D494)</f>
        <v>6832249</v>
      </c>
      <c r="E495" s="767">
        <f t="shared" si="272"/>
        <v>6908426</v>
      </c>
      <c r="F495" s="767">
        <f t="shared" ref="F495:G495" si="273">SUM(F490+F494)</f>
        <v>7100409</v>
      </c>
      <c r="G495" s="767">
        <f t="shared" si="273"/>
        <v>7204039</v>
      </c>
      <c r="H495" s="907">
        <f t="shared" ref="H495" si="274">SUM(H490+H494)</f>
        <v>6092677</v>
      </c>
      <c r="I495" s="1457">
        <f>H495/G495</f>
        <v>0.8457307074545265</v>
      </c>
    </row>
    <row r="496" spans="1:9" ht="15">
      <c r="A496" s="922">
        <v>2850</v>
      </c>
      <c r="B496" s="713" t="s">
        <v>264</v>
      </c>
      <c r="C496" s="754"/>
      <c r="D496" s="754"/>
      <c r="E496" s="754"/>
      <c r="F496" s="754"/>
      <c r="G496" s="754"/>
      <c r="H496" s="902"/>
      <c r="I496" s="1444"/>
    </row>
    <row r="497" spans="1:9" ht="12.6" customHeight="1">
      <c r="A497" s="920"/>
      <c r="B497" s="696" t="s">
        <v>140</v>
      </c>
      <c r="C497" s="1443"/>
      <c r="D497" s="1443"/>
      <c r="E497" s="1443"/>
      <c r="F497" s="1443"/>
      <c r="G497" s="1443"/>
      <c r="H497" s="695"/>
      <c r="I497" s="916"/>
    </row>
    <row r="498" spans="1:9" ht="13.5" thickBot="1">
      <c r="A498" s="920"/>
      <c r="B498" s="697" t="s">
        <v>141</v>
      </c>
      <c r="C498" s="1475"/>
      <c r="D498" s="1475"/>
      <c r="E498" s="1475"/>
      <c r="F498" s="1475">
        <v>700</v>
      </c>
      <c r="G498" s="1475">
        <v>700</v>
      </c>
      <c r="H498" s="1476">
        <v>700</v>
      </c>
      <c r="I498" s="1434">
        <f t="shared" ref="I498" si="275">H498/G498</f>
        <v>1</v>
      </c>
    </row>
    <row r="499" spans="1:9" ht="13.5" thickBot="1">
      <c r="A499" s="920"/>
      <c r="B499" s="698" t="s">
        <v>152</v>
      </c>
      <c r="C499" s="1477"/>
      <c r="D499" s="1478"/>
      <c r="E499" s="1478"/>
      <c r="F499" s="1478">
        <v>700</v>
      </c>
      <c r="G499" s="1478">
        <v>700</v>
      </c>
      <c r="H499" s="1479">
        <f>SUM(H498)</f>
        <v>700</v>
      </c>
      <c r="I499" s="1457">
        <f>H499/G499</f>
        <v>1</v>
      </c>
    </row>
    <row r="500" spans="1:9">
      <c r="A500" s="920"/>
      <c r="B500" s="696" t="s">
        <v>143</v>
      </c>
      <c r="C500" s="754">
        <f t="shared" ref="C500:H500" si="276">SUM(C501)</f>
        <v>10295</v>
      </c>
      <c r="D500" s="754">
        <f t="shared" si="276"/>
        <v>7795</v>
      </c>
      <c r="E500" s="754">
        <f t="shared" si="276"/>
        <v>7795</v>
      </c>
      <c r="F500" s="754">
        <f t="shared" si="276"/>
        <v>10956</v>
      </c>
      <c r="G500" s="754">
        <f t="shared" si="276"/>
        <v>13531</v>
      </c>
      <c r="H500" s="754">
        <f t="shared" si="276"/>
        <v>13532</v>
      </c>
      <c r="I500" s="1444">
        <f>H500/G500</f>
        <v>1.0000739043677482</v>
      </c>
    </row>
    <row r="501" spans="1:9">
      <c r="A501" s="920"/>
      <c r="B501" s="685" t="s">
        <v>144</v>
      </c>
      <c r="C501" s="757">
        <v>10295</v>
      </c>
      <c r="D501" s="757">
        <f>10295-2500</f>
        <v>7795</v>
      </c>
      <c r="E501" s="757">
        <f>10295-2500</f>
        <v>7795</v>
      </c>
      <c r="F501" s="757">
        <f>10295-2500+3161</f>
        <v>10956</v>
      </c>
      <c r="G501" s="757">
        <f>10295-2500+3161+2245+330</f>
        <v>13531</v>
      </c>
      <c r="H501" s="757">
        <v>13532</v>
      </c>
      <c r="I501" s="1456">
        <f>H501/G501</f>
        <v>1.0000739043677482</v>
      </c>
    </row>
    <row r="502" spans="1:9">
      <c r="A502" s="920"/>
      <c r="B502" s="685" t="s">
        <v>145</v>
      </c>
      <c r="C502" s="757"/>
      <c r="D502" s="757"/>
      <c r="E502" s="757"/>
      <c r="F502" s="757"/>
      <c r="G502" s="757"/>
      <c r="H502" s="905"/>
      <c r="I502" s="916"/>
    </row>
    <row r="503" spans="1:9">
      <c r="A503" s="920"/>
      <c r="B503" s="686" t="s">
        <v>146</v>
      </c>
      <c r="C503" s="754"/>
      <c r="D503" s="754"/>
      <c r="E503" s="754"/>
      <c r="F503" s="754"/>
      <c r="G503" s="754"/>
      <c r="H503" s="902"/>
      <c r="I503" s="916"/>
    </row>
    <row r="504" spans="1:9">
      <c r="A504" s="920"/>
      <c r="B504" s="686" t="s">
        <v>147</v>
      </c>
      <c r="C504" s="754">
        <v>13751</v>
      </c>
      <c r="D504" s="754">
        <f>13751+2500</f>
        <v>16251</v>
      </c>
      <c r="E504" s="754">
        <f>13751+2500</f>
        <v>16251</v>
      </c>
      <c r="F504" s="754">
        <f>13751+2500</f>
        <v>16251</v>
      </c>
      <c r="G504" s="754">
        <f>13751+2500+700+3118</f>
        <v>20069</v>
      </c>
      <c r="H504" s="902">
        <v>18656</v>
      </c>
      <c r="I504" s="916">
        <f>H504/G504</f>
        <v>0.92959290447954557</v>
      </c>
    </row>
    <row r="505" spans="1:9">
      <c r="A505" s="920"/>
      <c r="B505" s="686" t="s">
        <v>148</v>
      </c>
      <c r="C505" s="1428">
        <v>5818</v>
      </c>
      <c r="D505" s="1428">
        <v>5818</v>
      </c>
      <c r="E505" s="1428">
        <v>5818</v>
      </c>
      <c r="F505" s="1428">
        <f>5818+853</f>
        <v>6671</v>
      </c>
      <c r="G505" s="754">
        <f>5818+853+884</f>
        <v>7555</v>
      </c>
      <c r="H505" s="902">
        <v>7555</v>
      </c>
      <c r="I505" s="916">
        <f>H505/G505</f>
        <v>1</v>
      </c>
    </row>
    <row r="506" spans="1:9">
      <c r="A506" s="920"/>
      <c r="B506" s="686" t="s">
        <v>274</v>
      </c>
      <c r="C506" s="754"/>
      <c r="D506" s="754"/>
      <c r="E506" s="754"/>
      <c r="F506" s="754"/>
      <c r="G506" s="754">
        <v>1034</v>
      </c>
      <c r="H506" s="902">
        <v>1034</v>
      </c>
      <c r="I506" s="916">
        <f t="shared" ref="I506:I507" si="277">H506/G506</f>
        <v>1</v>
      </c>
    </row>
    <row r="507" spans="1:9">
      <c r="A507" s="920"/>
      <c r="B507" s="687" t="s">
        <v>351</v>
      </c>
      <c r="C507" s="754"/>
      <c r="D507" s="754"/>
      <c r="E507" s="754"/>
      <c r="F507" s="754"/>
      <c r="G507" s="754">
        <v>1</v>
      </c>
      <c r="H507" s="902">
        <v>2</v>
      </c>
      <c r="I507" s="916">
        <f t="shared" si="277"/>
        <v>2</v>
      </c>
    </row>
    <row r="508" spans="1:9">
      <c r="A508" s="920"/>
      <c r="B508" s="687" t="s">
        <v>1067</v>
      </c>
      <c r="C508" s="754"/>
      <c r="D508" s="754"/>
      <c r="E508" s="754"/>
      <c r="F508" s="754"/>
      <c r="G508" s="754"/>
      <c r="H508" s="902"/>
      <c r="I508" s="916"/>
    </row>
    <row r="509" spans="1:9" ht="13.5" thickBot="1">
      <c r="A509" s="920"/>
      <c r="B509" s="688" t="s">
        <v>149</v>
      </c>
      <c r="C509" s="754"/>
      <c r="D509" s="754"/>
      <c r="E509" s="754"/>
      <c r="F509" s="754"/>
      <c r="G509" s="754">
        <v>1</v>
      </c>
      <c r="H509" s="902">
        <v>2</v>
      </c>
      <c r="I509" s="1434">
        <f t="shared" ref="I509" si="278">H509/G509</f>
        <v>2</v>
      </c>
    </row>
    <row r="510" spans="1:9" ht="13.5" thickBot="1">
      <c r="A510" s="920"/>
      <c r="B510" s="689" t="s">
        <v>270</v>
      </c>
      <c r="C510" s="771">
        <f>SUM(C500+C503+C504+C505+C509+C506+C507+C508)</f>
        <v>29864</v>
      </c>
      <c r="D510" s="771">
        <f t="shared" ref="D510:E510" si="279">SUM(D500+D503+D504+D505+D509+D506+D507+D508)</f>
        <v>29864</v>
      </c>
      <c r="E510" s="771">
        <f t="shared" si="279"/>
        <v>29864</v>
      </c>
      <c r="F510" s="771">
        <f t="shared" ref="F510:G510" si="280">SUM(F500+F503+F504+F505+F509+F506+F507+F508)</f>
        <v>33878</v>
      </c>
      <c r="G510" s="771">
        <f t="shared" si="280"/>
        <v>42191</v>
      </c>
      <c r="H510" s="910">
        <f t="shared" ref="H510" si="281">SUM(H500+H503+H504+H505+H509+H506+H507+H508)</f>
        <v>40781</v>
      </c>
      <c r="I510" s="1430">
        <f>H510/G510</f>
        <v>0.96658055035434098</v>
      </c>
    </row>
    <row r="511" spans="1:9" ht="13.5" thickBot="1">
      <c r="A511" s="920"/>
      <c r="B511" s="690" t="s">
        <v>176</v>
      </c>
      <c r="C511" s="767"/>
      <c r="D511" s="767"/>
      <c r="E511" s="767"/>
      <c r="F511" s="767"/>
      <c r="G511" s="767"/>
      <c r="H511" s="907"/>
      <c r="I511" s="1441"/>
    </row>
    <row r="512" spans="1:9" ht="13.5" thickBot="1">
      <c r="A512" s="920"/>
      <c r="B512" s="691" t="s">
        <v>44</v>
      </c>
      <c r="C512" s="770">
        <f t="shared" ref="C512" si="282">SUM(C510+C499)</f>
        <v>29864</v>
      </c>
      <c r="D512" s="770">
        <f t="shared" ref="D512:E512" si="283">SUM(D510+D499)</f>
        <v>29864</v>
      </c>
      <c r="E512" s="770">
        <f t="shared" si="283"/>
        <v>29864</v>
      </c>
      <c r="F512" s="770">
        <f t="shared" ref="F512:G512" si="284">SUM(F510+F499)</f>
        <v>34578</v>
      </c>
      <c r="G512" s="770">
        <f t="shared" si="284"/>
        <v>42891</v>
      </c>
      <c r="H512" s="762">
        <f t="shared" ref="H512" si="285">SUM(H510+H499)</f>
        <v>41481</v>
      </c>
      <c r="I512" s="1430">
        <f>H512/G512</f>
        <v>0.96712597048331816</v>
      </c>
    </row>
    <row r="513" spans="1:9" ht="13.5" thickBot="1">
      <c r="A513" s="920"/>
      <c r="B513" s="700" t="s">
        <v>45</v>
      </c>
      <c r="C513" s="768"/>
      <c r="D513" s="768"/>
      <c r="E513" s="768"/>
      <c r="F513" s="768"/>
      <c r="G513" s="768"/>
      <c r="H513" s="908"/>
      <c r="I513" s="1441"/>
    </row>
    <row r="514" spans="1:9">
      <c r="A514" s="920"/>
      <c r="B514" s="701" t="s">
        <v>327</v>
      </c>
      <c r="C514" s="1463"/>
      <c r="D514" s="1463">
        <v>17485</v>
      </c>
      <c r="E514" s="1463">
        <v>17485</v>
      </c>
      <c r="F514" s="1463">
        <v>17485</v>
      </c>
      <c r="G514" s="1463">
        <v>17485</v>
      </c>
      <c r="H514" s="1464">
        <v>17485</v>
      </c>
      <c r="I514" s="916">
        <f>H514/G514</f>
        <v>1</v>
      </c>
    </row>
    <row r="515" spans="1:9">
      <c r="A515" s="920"/>
      <c r="B515" s="721" t="s">
        <v>341</v>
      </c>
      <c r="C515" s="1463"/>
      <c r="D515" s="1463"/>
      <c r="E515" s="1463"/>
      <c r="F515" s="1463"/>
      <c r="G515" s="1463"/>
      <c r="H515" s="1464"/>
      <c r="I515" s="916"/>
    </row>
    <row r="516" spans="1:9">
      <c r="A516" s="920"/>
      <c r="B516" s="721" t="s">
        <v>355</v>
      </c>
      <c r="C516" s="754">
        <v>1099897</v>
      </c>
      <c r="D516" s="754">
        <f>1099897+4456+6142+2761+9069</f>
        <v>1122325</v>
      </c>
      <c r="E516" s="754">
        <f>1122325+3878+6498</f>
        <v>1132701</v>
      </c>
      <c r="F516" s="754">
        <f>1122325+3878+6498+31495</f>
        <v>1164196</v>
      </c>
      <c r="G516" s="754">
        <f>1122325+3878+6498+31495+3180+2089</f>
        <v>1169465</v>
      </c>
      <c r="H516" s="902">
        <v>1140261</v>
      </c>
      <c r="I516" s="1456">
        <f>H516/G516</f>
        <v>0.97502789737187512</v>
      </c>
    </row>
    <row r="517" spans="1:9" ht="13.5" thickBot="1">
      <c r="A517" s="920"/>
      <c r="B517" s="702" t="s">
        <v>358</v>
      </c>
      <c r="C517" s="766">
        <v>43268</v>
      </c>
      <c r="D517" s="766">
        <v>43268</v>
      </c>
      <c r="E517" s="766">
        <v>43268</v>
      </c>
      <c r="F517" s="766">
        <v>43268</v>
      </c>
      <c r="G517" s="766">
        <v>43268</v>
      </c>
      <c r="H517" s="906">
        <v>31429</v>
      </c>
      <c r="I517" s="1434">
        <f>H517/G517</f>
        <v>0.72637977258019781</v>
      </c>
    </row>
    <row r="518" spans="1:9" ht="13.5" thickBot="1">
      <c r="A518" s="920"/>
      <c r="B518" s="703" t="s">
        <v>38</v>
      </c>
      <c r="C518" s="1465">
        <f t="shared" ref="C518:H518" si="286">SUM(C514:C517)</f>
        <v>1143165</v>
      </c>
      <c r="D518" s="769">
        <f t="shared" si="286"/>
        <v>1183078</v>
      </c>
      <c r="E518" s="769">
        <f t="shared" si="286"/>
        <v>1193454</v>
      </c>
      <c r="F518" s="769">
        <f t="shared" si="286"/>
        <v>1224949</v>
      </c>
      <c r="G518" s="769">
        <f t="shared" si="286"/>
        <v>1230218</v>
      </c>
      <c r="H518" s="909">
        <f t="shared" si="286"/>
        <v>1189175</v>
      </c>
      <c r="I518" s="1430">
        <f>H518/G518</f>
        <v>0.96663762032420275</v>
      </c>
    </row>
    <row r="519" spans="1:9" ht="13.5" thickBot="1">
      <c r="A519" s="920"/>
      <c r="B519" s="704" t="s">
        <v>327</v>
      </c>
      <c r="C519" s="768"/>
      <c r="D519" s="768"/>
      <c r="E519" s="768"/>
      <c r="F519" s="768"/>
      <c r="G519" s="768"/>
      <c r="H519" s="908"/>
      <c r="I519" s="1441"/>
    </row>
    <row r="520" spans="1:9" ht="13.5" thickBot="1">
      <c r="A520" s="920"/>
      <c r="B520" s="703" t="s">
        <v>40</v>
      </c>
      <c r="C520" s="769"/>
      <c r="D520" s="769"/>
      <c r="E520" s="769"/>
      <c r="F520" s="769"/>
      <c r="G520" s="769"/>
      <c r="H520" s="909"/>
      <c r="I520" s="1441"/>
    </row>
    <row r="521" spans="1:9" ht="15.75" thickBot="1">
      <c r="A521" s="920"/>
      <c r="B521" s="705" t="s">
        <v>49</v>
      </c>
      <c r="C521" s="767">
        <f t="shared" ref="C521:H521" si="287">SUM(C512+C513+C518)+C520</f>
        <v>1173029</v>
      </c>
      <c r="D521" s="767">
        <f t="shared" si="287"/>
        <v>1212942</v>
      </c>
      <c r="E521" s="767">
        <f t="shared" si="287"/>
        <v>1223318</v>
      </c>
      <c r="F521" s="767">
        <f t="shared" si="287"/>
        <v>1259527</v>
      </c>
      <c r="G521" s="767">
        <f t="shared" si="287"/>
        <v>1273109</v>
      </c>
      <c r="H521" s="907">
        <f t="shared" si="287"/>
        <v>1230656</v>
      </c>
      <c r="I521" s="1430">
        <f>H521/G521</f>
        <v>0.96665407282487203</v>
      </c>
    </row>
    <row r="522" spans="1:9" ht="12.75" customHeight="1">
      <c r="A522" s="920"/>
      <c r="B522" s="706" t="s">
        <v>251</v>
      </c>
      <c r="C522" s="754">
        <v>917930</v>
      </c>
      <c r="D522" s="754">
        <f>917930+3943+467+2443+8008</f>
        <v>932791</v>
      </c>
      <c r="E522" s="754">
        <f>932791+3432+5751</f>
        <v>941974</v>
      </c>
      <c r="F522" s="754">
        <f>932791+3432+5751+26203</f>
        <v>968177</v>
      </c>
      <c r="G522" s="754">
        <f>968177+2814+1849</f>
        <v>972840</v>
      </c>
      <c r="H522" s="902">
        <v>962236</v>
      </c>
      <c r="I522" s="1456">
        <f>H522/G522</f>
        <v>0.98909995477159651</v>
      </c>
    </row>
    <row r="523" spans="1:9">
      <c r="A523" s="920"/>
      <c r="B523" s="706" t="s">
        <v>252</v>
      </c>
      <c r="C523" s="754">
        <v>138302</v>
      </c>
      <c r="D523" s="754">
        <f>138302+513+4302+318+1061</f>
        <v>144496</v>
      </c>
      <c r="E523" s="754">
        <f>144496+446+747</f>
        <v>145689</v>
      </c>
      <c r="F523" s="754">
        <f>144496+446+747+5292</f>
        <v>150981</v>
      </c>
      <c r="G523" s="754">
        <f>144496+446+747+5292+366+240</f>
        <v>151587</v>
      </c>
      <c r="H523" s="902">
        <v>145689</v>
      </c>
      <c r="I523" s="1456">
        <f>H523/G523</f>
        <v>0.96109165033940902</v>
      </c>
    </row>
    <row r="524" spans="1:9">
      <c r="A524" s="920"/>
      <c r="B524" s="706" t="s">
        <v>253</v>
      </c>
      <c r="C524" s="754">
        <v>110447</v>
      </c>
      <c r="D524" s="754">
        <f>110447+12716+6142</f>
        <v>129305</v>
      </c>
      <c r="E524" s="754">
        <f>110447+12716+6142</f>
        <v>129305</v>
      </c>
      <c r="F524" s="754">
        <f>110447+12716+6142+4714</f>
        <v>134019</v>
      </c>
      <c r="G524" s="754">
        <f>110447+12716+6142+4714+8313</f>
        <v>142332</v>
      </c>
      <c r="H524" s="902">
        <v>92838</v>
      </c>
      <c r="I524" s="1456">
        <f>H524/G524</f>
        <v>0.65226372144001354</v>
      </c>
    </row>
    <row r="525" spans="1:9">
      <c r="A525" s="920"/>
      <c r="B525" s="707" t="s">
        <v>255</v>
      </c>
      <c r="C525" s="754"/>
      <c r="D525" s="754"/>
      <c r="E525" s="754"/>
      <c r="F525" s="754"/>
      <c r="G525" s="754"/>
      <c r="H525" s="902"/>
      <c r="I525" s="916"/>
    </row>
    <row r="526" spans="1:9" ht="13.5" thickBot="1">
      <c r="A526" s="920"/>
      <c r="B526" s="708" t="s">
        <v>254</v>
      </c>
      <c r="C526" s="754"/>
      <c r="D526" s="754"/>
      <c r="E526" s="754"/>
      <c r="F526" s="754"/>
      <c r="G526" s="754"/>
      <c r="H526" s="902"/>
      <c r="I526" s="1434"/>
    </row>
    <row r="527" spans="1:9" ht="13.5" thickBot="1">
      <c r="A527" s="920"/>
      <c r="B527" s="709" t="s">
        <v>37</v>
      </c>
      <c r="C527" s="771">
        <f t="shared" ref="C527" si="288">SUM(C522:C526)</f>
        <v>1166679</v>
      </c>
      <c r="D527" s="771">
        <f t="shared" ref="D527:E527" si="289">SUM(D522:D526)</f>
        <v>1206592</v>
      </c>
      <c r="E527" s="771">
        <f t="shared" si="289"/>
        <v>1216968</v>
      </c>
      <c r="F527" s="771">
        <f t="shared" ref="F527:G527" si="290">SUM(F522:F526)</f>
        <v>1253177</v>
      </c>
      <c r="G527" s="771">
        <f t="shared" si="290"/>
        <v>1266759</v>
      </c>
      <c r="H527" s="910">
        <f t="shared" ref="H527" si="291">SUM(H522:H526)</f>
        <v>1200763</v>
      </c>
      <c r="I527" s="1430">
        <f>H527/G527</f>
        <v>0.94790169242926237</v>
      </c>
    </row>
    <row r="528" spans="1:9">
      <c r="A528" s="920"/>
      <c r="B528" s="706" t="s">
        <v>759</v>
      </c>
      <c r="C528" s="754">
        <v>6350</v>
      </c>
      <c r="D528" s="754">
        <v>6350</v>
      </c>
      <c r="E528" s="754">
        <v>6350</v>
      </c>
      <c r="F528" s="754">
        <v>6350</v>
      </c>
      <c r="G528" s="754">
        <v>6350</v>
      </c>
      <c r="H528" s="902">
        <v>5589</v>
      </c>
      <c r="I528" s="916">
        <f>H528/G528</f>
        <v>0.88015748031496066</v>
      </c>
    </row>
    <row r="529" spans="1:9">
      <c r="A529" s="920"/>
      <c r="B529" s="706" t="s">
        <v>196</v>
      </c>
      <c r="C529" s="754"/>
      <c r="D529" s="754"/>
      <c r="E529" s="754"/>
      <c r="F529" s="754"/>
      <c r="G529" s="754"/>
      <c r="H529" s="902"/>
      <c r="I529" s="916"/>
    </row>
    <row r="530" spans="1:9" ht="13.5" thickBot="1">
      <c r="A530" s="920"/>
      <c r="B530" s="708" t="s">
        <v>336</v>
      </c>
      <c r="C530" s="754"/>
      <c r="D530" s="754"/>
      <c r="E530" s="754"/>
      <c r="F530" s="754"/>
      <c r="G530" s="754"/>
      <c r="H530" s="902"/>
      <c r="I530" s="1434"/>
    </row>
    <row r="531" spans="1:9" ht="13.5" thickBot="1">
      <c r="A531" s="920"/>
      <c r="B531" s="710" t="s">
        <v>43</v>
      </c>
      <c r="C531" s="771">
        <f t="shared" ref="C531" si="292">SUM(C528:C530)</f>
        <v>6350</v>
      </c>
      <c r="D531" s="771">
        <f t="shared" ref="D531:E531" si="293">SUM(D528:D530)</f>
        <v>6350</v>
      </c>
      <c r="E531" s="771">
        <f t="shared" si="293"/>
        <v>6350</v>
      </c>
      <c r="F531" s="771">
        <f t="shared" ref="F531:G531" si="294">SUM(F528:F530)</f>
        <v>6350</v>
      </c>
      <c r="G531" s="771">
        <f t="shared" si="294"/>
        <v>6350</v>
      </c>
      <c r="H531" s="910">
        <f t="shared" ref="H531" si="295">SUM(H528:H530)</f>
        <v>5589</v>
      </c>
      <c r="I531" s="1430">
        <f>H531/G531</f>
        <v>0.88015748031496066</v>
      </c>
    </row>
    <row r="532" spans="1:9" ht="15.75" thickBot="1">
      <c r="A532" s="921"/>
      <c r="B532" s="711" t="s">
        <v>81</v>
      </c>
      <c r="C532" s="767">
        <f t="shared" ref="C532" si="296">SUM(C527+C531)</f>
        <v>1173029</v>
      </c>
      <c r="D532" s="767">
        <f t="shared" ref="D532:E532" si="297">SUM(D527+D531)</f>
        <v>1212942</v>
      </c>
      <c r="E532" s="767">
        <f t="shared" si="297"/>
        <v>1223318</v>
      </c>
      <c r="F532" s="767">
        <f t="shared" ref="F532:G532" si="298">SUM(F527+F531)</f>
        <v>1259527</v>
      </c>
      <c r="G532" s="767">
        <f t="shared" si="298"/>
        <v>1273109</v>
      </c>
      <c r="H532" s="907">
        <f t="shared" ref="H532" si="299">SUM(H527+H531)</f>
        <v>1206352</v>
      </c>
      <c r="I532" s="1470">
        <f>H532/G532</f>
        <v>0.94756379854356543</v>
      </c>
    </row>
    <row r="533" spans="1:9" ht="15">
      <c r="A533" s="922">
        <v>2875</v>
      </c>
      <c r="B533" s="713" t="s">
        <v>241</v>
      </c>
      <c r="C533" s="754"/>
      <c r="D533" s="754"/>
      <c r="E533" s="754"/>
      <c r="F533" s="754"/>
      <c r="G533" s="754"/>
      <c r="H533" s="902"/>
      <c r="I533" s="1444"/>
    </row>
    <row r="534" spans="1:9" ht="12.6" customHeight="1">
      <c r="A534" s="920"/>
      <c r="B534" s="696" t="s">
        <v>140</v>
      </c>
      <c r="C534" s="1443"/>
      <c r="D534" s="1443"/>
      <c r="E534" s="1443"/>
      <c r="F534" s="1443"/>
      <c r="G534" s="1443"/>
      <c r="H534" s="695"/>
      <c r="I534" s="916"/>
    </row>
    <row r="535" spans="1:9" ht="13.5" thickBot="1">
      <c r="A535" s="920"/>
      <c r="B535" s="697" t="s">
        <v>141</v>
      </c>
      <c r="C535" s="766"/>
      <c r="D535" s="766"/>
      <c r="E535" s="766"/>
      <c r="F535" s="766"/>
      <c r="G535" s="766"/>
      <c r="H535" s="906"/>
      <c r="I535" s="1434"/>
    </row>
    <row r="536" spans="1:9" ht="13.5" thickBot="1">
      <c r="A536" s="920"/>
      <c r="B536" s="698" t="s">
        <v>152</v>
      </c>
      <c r="C536" s="1442"/>
      <c r="D536" s="1442"/>
      <c r="E536" s="1442"/>
      <c r="F536" s="1442"/>
      <c r="G536" s="1442"/>
      <c r="H536" s="1429"/>
      <c r="I536" s="1434"/>
    </row>
    <row r="537" spans="1:9">
      <c r="A537" s="920"/>
      <c r="B537" s="696" t="s">
        <v>143</v>
      </c>
      <c r="C537" s="754"/>
      <c r="D537" s="754"/>
      <c r="E537" s="754"/>
      <c r="F537" s="754"/>
      <c r="G537" s="754"/>
      <c r="H537" s="902"/>
      <c r="I537" s="1444"/>
    </row>
    <row r="538" spans="1:9">
      <c r="A538" s="920"/>
      <c r="B538" s="685" t="s">
        <v>144</v>
      </c>
      <c r="C538" s="757"/>
      <c r="D538" s="757"/>
      <c r="E538" s="757"/>
      <c r="F538" s="757"/>
      <c r="G538" s="757"/>
      <c r="H538" s="905"/>
      <c r="I538" s="916"/>
    </row>
    <row r="539" spans="1:9">
      <c r="A539" s="920"/>
      <c r="B539" s="685" t="s">
        <v>145</v>
      </c>
      <c r="C539" s="757"/>
      <c r="D539" s="757"/>
      <c r="E539" s="757"/>
      <c r="F539" s="757"/>
      <c r="G539" s="757"/>
      <c r="H539" s="905"/>
      <c r="I539" s="916"/>
    </row>
    <row r="540" spans="1:9">
      <c r="A540" s="920"/>
      <c r="B540" s="686" t="s">
        <v>146</v>
      </c>
      <c r="C540" s="754"/>
      <c r="D540" s="754"/>
      <c r="E540" s="754"/>
      <c r="F540" s="754"/>
      <c r="G540" s="754"/>
      <c r="H540" s="902"/>
      <c r="I540" s="916"/>
    </row>
    <row r="541" spans="1:9">
      <c r="A541" s="920"/>
      <c r="B541" s="686" t="s">
        <v>147</v>
      </c>
      <c r="C541" s="754">
        <v>49900</v>
      </c>
      <c r="D541" s="754">
        <v>49900</v>
      </c>
      <c r="E541" s="754">
        <v>49900</v>
      </c>
      <c r="F541" s="754">
        <v>49900</v>
      </c>
      <c r="G541" s="754">
        <f>49900+9735</f>
        <v>59635</v>
      </c>
      <c r="H541" s="902">
        <v>59775</v>
      </c>
      <c r="I541" s="916">
        <f>H541/G541</f>
        <v>1.002347614655823</v>
      </c>
    </row>
    <row r="542" spans="1:9">
      <c r="A542" s="920"/>
      <c r="B542" s="686" t="s">
        <v>148</v>
      </c>
      <c r="C542" s="754">
        <v>10233</v>
      </c>
      <c r="D542" s="754">
        <v>10233</v>
      </c>
      <c r="E542" s="754">
        <v>10233</v>
      </c>
      <c r="F542" s="754">
        <v>10233</v>
      </c>
      <c r="G542" s="754">
        <f>10233+323</f>
        <v>10556</v>
      </c>
      <c r="H542" s="902">
        <v>10583</v>
      </c>
      <c r="I542" s="916">
        <f>H542/G542</f>
        <v>1.0025577870405458</v>
      </c>
    </row>
    <row r="543" spans="1:9">
      <c r="A543" s="920"/>
      <c r="B543" s="686" t="s">
        <v>274</v>
      </c>
      <c r="C543" s="754">
        <v>13000</v>
      </c>
      <c r="D543" s="754">
        <v>13000</v>
      </c>
      <c r="E543" s="754">
        <v>13000</v>
      </c>
      <c r="F543" s="754">
        <v>13000</v>
      </c>
      <c r="G543" s="754">
        <f>13000+7427</f>
        <v>20427</v>
      </c>
      <c r="H543" s="902">
        <v>20427</v>
      </c>
      <c r="I543" s="916">
        <f>H543/G543</f>
        <v>1</v>
      </c>
    </row>
    <row r="544" spans="1:9">
      <c r="A544" s="920"/>
      <c r="B544" s="687" t="s">
        <v>351</v>
      </c>
      <c r="C544" s="754"/>
      <c r="D544" s="754"/>
      <c r="E544" s="754"/>
      <c r="F544" s="754"/>
      <c r="G544" s="754">
        <v>1</v>
      </c>
      <c r="H544" s="902">
        <v>1</v>
      </c>
      <c r="I544" s="916">
        <f>H544/G544</f>
        <v>1</v>
      </c>
    </row>
    <row r="545" spans="1:9">
      <c r="A545" s="920"/>
      <c r="B545" s="687" t="s">
        <v>1067</v>
      </c>
      <c r="C545" s="754"/>
      <c r="D545" s="754"/>
      <c r="E545" s="754"/>
      <c r="F545" s="754"/>
      <c r="G545" s="754"/>
      <c r="H545" s="902"/>
      <c r="I545" s="916"/>
    </row>
    <row r="546" spans="1:9" ht="13.5" thickBot="1">
      <c r="A546" s="920"/>
      <c r="B546" s="688" t="s">
        <v>149</v>
      </c>
      <c r="C546" s="754"/>
      <c r="D546" s="754"/>
      <c r="E546" s="754"/>
      <c r="F546" s="754"/>
      <c r="G546" s="754">
        <v>28</v>
      </c>
      <c r="H546" s="902">
        <v>28</v>
      </c>
      <c r="I546" s="1434">
        <f>H546/G546</f>
        <v>1</v>
      </c>
    </row>
    <row r="547" spans="1:9" ht="13.5" thickBot="1">
      <c r="A547" s="920"/>
      <c r="B547" s="689" t="s">
        <v>270</v>
      </c>
      <c r="C547" s="771">
        <f>SUM(C537+C540+C541+C542+C546+C543+C544+C545)</f>
        <v>73133</v>
      </c>
      <c r="D547" s="771">
        <f t="shared" ref="D547" si="300">SUM(D537+D540+D541+D542+D546+D543+D544+D545)</f>
        <v>73133</v>
      </c>
      <c r="E547" s="771">
        <f>SUM(E537+E540+E541+E542+E546+E543+E544+E545)</f>
        <v>73133</v>
      </c>
      <c r="F547" s="771">
        <f>SUM(F537+F540+F541+F542+F546+F543+F544+F545)</f>
        <v>73133</v>
      </c>
      <c r="G547" s="771">
        <f>SUM(G537+G540+G541+G542+G546+G543+G544+G545)</f>
        <v>90647</v>
      </c>
      <c r="H547" s="910">
        <f>SUM(H537+H540+H541+H542+H546+H543+H544+H545)</f>
        <v>90814</v>
      </c>
      <c r="I547" s="1430">
        <f>H547/G547</f>
        <v>1.0018423113837192</v>
      </c>
    </row>
    <row r="548" spans="1:9" ht="13.5" thickBot="1">
      <c r="A548" s="920"/>
      <c r="B548" s="690" t="s">
        <v>176</v>
      </c>
      <c r="C548" s="767"/>
      <c r="D548" s="767"/>
      <c r="E548" s="767"/>
      <c r="F548" s="767">
        <v>300</v>
      </c>
      <c r="G548" s="767">
        <v>300</v>
      </c>
      <c r="H548" s="907">
        <v>300</v>
      </c>
      <c r="I548" s="1430">
        <f>H548/G548</f>
        <v>1</v>
      </c>
    </row>
    <row r="549" spans="1:9" ht="13.5" thickBot="1">
      <c r="A549" s="920"/>
      <c r="B549" s="691" t="s">
        <v>44</v>
      </c>
      <c r="C549" s="1451">
        <f t="shared" ref="C549:H549" si="301">SUM(C547+C536)+C548</f>
        <v>73133</v>
      </c>
      <c r="D549" s="770">
        <f t="shared" si="301"/>
        <v>73133</v>
      </c>
      <c r="E549" s="770">
        <f t="shared" si="301"/>
        <v>73133</v>
      </c>
      <c r="F549" s="770">
        <f t="shared" si="301"/>
        <v>73433</v>
      </c>
      <c r="G549" s="770">
        <f t="shared" si="301"/>
        <v>90947</v>
      </c>
      <c r="H549" s="762">
        <f t="shared" si="301"/>
        <v>91114</v>
      </c>
      <c r="I549" s="1430">
        <f>H549/G549</f>
        <v>1.0018362342903009</v>
      </c>
    </row>
    <row r="550" spans="1:9" ht="13.5" thickBot="1">
      <c r="A550" s="920"/>
      <c r="B550" s="688" t="s">
        <v>185</v>
      </c>
      <c r="C550" s="768"/>
      <c r="D550" s="768"/>
      <c r="E550" s="768"/>
      <c r="F550" s="768"/>
      <c r="G550" s="768"/>
      <c r="H550" s="908"/>
      <c r="I550" s="1434"/>
    </row>
    <row r="551" spans="1:9" ht="13.5" thickBot="1">
      <c r="A551" s="920"/>
      <c r="B551" s="700" t="s">
        <v>45</v>
      </c>
      <c r="C551" s="1480"/>
      <c r="D551" s="908"/>
      <c r="E551" s="908"/>
      <c r="F551" s="908"/>
      <c r="G551" s="908"/>
      <c r="H551" s="908"/>
      <c r="I551" s="1434"/>
    </row>
    <row r="552" spans="1:9">
      <c r="A552" s="920"/>
      <c r="B552" s="701" t="s">
        <v>327</v>
      </c>
      <c r="C552" s="902"/>
      <c r="D552" s="902">
        <v>16167</v>
      </c>
      <c r="E552" s="902">
        <v>16167</v>
      </c>
      <c r="F552" s="902">
        <v>16167</v>
      </c>
      <c r="G552" s="902">
        <v>16167</v>
      </c>
      <c r="H552" s="902">
        <v>16167</v>
      </c>
      <c r="I552" s="916">
        <f>H552/G552</f>
        <v>1</v>
      </c>
    </row>
    <row r="553" spans="1:9" ht="13.5" thickBot="1">
      <c r="A553" s="920"/>
      <c r="B553" s="702" t="s">
        <v>355</v>
      </c>
      <c r="C553" s="766">
        <v>1284726</v>
      </c>
      <c r="D553" s="766">
        <f>1284726+55298+25367+4716</f>
        <v>1370107</v>
      </c>
      <c r="E553" s="766">
        <f>1370107+55754+26244</f>
        <v>1452105</v>
      </c>
      <c r="F553" s="766">
        <f>1370107+55754+26244+72027</f>
        <v>1524132</v>
      </c>
      <c r="G553" s="766">
        <f>1370107+55754+26244+72027+9171+27644</f>
        <v>1560947</v>
      </c>
      <c r="H553" s="906">
        <v>1410454</v>
      </c>
      <c r="I553" s="1434">
        <f>H553/G553</f>
        <v>0.90358865483581441</v>
      </c>
    </row>
    <row r="554" spans="1:9" ht="13.5" thickBot="1">
      <c r="A554" s="920"/>
      <c r="B554" s="703" t="s">
        <v>38</v>
      </c>
      <c r="C554" s="769">
        <f t="shared" ref="C554" si="302">SUM(C552:C553)</f>
        <v>1284726</v>
      </c>
      <c r="D554" s="769">
        <f t="shared" ref="D554:E554" si="303">SUM(D552:D553)</f>
        <v>1386274</v>
      </c>
      <c r="E554" s="769">
        <f t="shared" si="303"/>
        <v>1468272</v>
      </c>
      <c r="F554" s="769">
        <f t="shared" ref="F554:G554" si="304">SUM(F552:F553)</f>
        <v>1540299</v>
      </c>
      <c r="G554" s="769">
        <f t="shared" si="304"/>
        <v>1577114</v>
      </c>
      <c r="H554" s="909">
        <f t="shared" ref="H554" si="305">SUM(H552:H553)</f>
        <v>1426621</v>
      </c>
      <c r="I554" s="1430">
        <f>H554/G554</f>
        <v>0.90457696780321528</v>
      </c>
    </row>
    <row r="555" spans="1:9" ht="13.5" thickBot="1">
      <c r="A555" s="920"/>
      <c r="B555" s="704" t="s">
        <v>327</v>
      </c>
      <c r="C555" s="768"/>
      <c r="D555" s="768"/>
      <c r="E555" s="768"/>
      <c r="F555" s="768"/>
      <c r="G555" s="768"/>
      <c r="H555" s="908"/>
      <c r="I555" s="1434"/>
    </row>
    <row r="556" spans="1:9" ht="13.5" thickBot="1">
      <c r="A556" s="920"/>
      <c r="B556" s="703" t="s">
        <v>40</v>
      </c>
      <c r="C556" s="769"/>
      <c r="D556" s="769"/>
      <c r="E556" s="769"/>
      <c r="F556" s="769"/>
      <c r="G556" s="769"/>
      <c r="H556" s="909"/>
      <c r="I556" s="1434"/>
    </row>
    <row r="557" spans="1:9" ht="15.75" thickBot="1">
      <c r="A557" s="920"/>
      <c r="B557" s="705" t="s">
        <v>49</v>
      </c>
      <c r="C557" s="771">
        <f t="shared" ref="C557:H557" si="306">SUM(C551+C554+C556)+C549</f>
        <v>1357859</v>
      </c>
      <c r="D557" s="767">
        <f t="shared" si="306"/>
        <v>1459407</v>
      </c>
      <c r="E557" s="767">
        <f t="shared" si="306"/>
        <v>1541405</v>
      </c>
      <c r="F557" s="767">
        <f t="shared" si="306"/>
        <v>1613732</v>
      </c>
      <c r="G557" s="767">
        <f t="shared" si="306"/>
        <v>1668061</v>
      </c>
      <c r="H557" s="907">
        <f t="shared" si="306"/>
        <v>1517735</v>
      </c>
      <c r="I557" s="1430">
        <f>H557/G557</f>
        <v>0.90987979456386792</v>
      </c>
    </row>
    <row r="558" spans="1:9">
      <c r="A558" s="920"/>
      <c r="B558" s="706" t="s">
        <v>251</v>
      </c>
      <c r="C558" s="754">
        <v>853655</v>
      </c>
      <c r="D558" s="754">
        <f>853655+48936+494+4173</f>
        <v>907258</v>
      </c>
      <c r="E558" s="754">
        <f>907258+49340+23224+3455</f>
        <v>983277</v>
      </c>
      <c r="F558" s="754">
        <f>907258+49340+23224+3455+67949</f>
        <v>1051226</v>
      </c>
      <c r="G558" s="754">
        <f>907258+49340+23224+3455+67949+8116+24844</f>
        <v>1084186</v>
      </c>
      <c r="H558" s="902">
        <v>1064249</v>
      </c>
      <c r="I558" s="1456">
        <f>H558/G558</f>
        <v>0.98161108887220461</v>
      </c>
    </row>
    <row r="559" spans="1:9">
      <c r="A559" s="920"/>
      <c r="B559" s="706" t="s">
        <v>252</v>
      </c>
      <c r="C559" s="754">
        <v>137549</v>
      </c>
      <c r="D559" s="754">
        <f>137549+6362+3076+543</f>
        <v>147530</v>
      </c>
      <c r="E559" s="754">
        <f>147530+6414+3020+307</f>
        <v>157271</v>
      </c>
      <c r="F559" s="754">
        <f>147530+6414+3020+307+4078</f>
        <v>161349</v>
      </c>
      <c r="G559" s="754">
        <f>147530+6414+3020+307+4078+1055+2800</f>
        <v>165204</v>
      </c>
      <c r="H559" s="902">
        <v>154284</v>
      </c>
      <c r="I559" s="1456">
        <f>H559/G559</f>
        <v>0.93389990557129365</v>
      </c>
    </row>
    <row r="560" spans="1:9">
      <c r="A560" s="920"/>
      <c r="B560" s="706" t="s">
        <v>253</v>
      </c>
      <c r="C560" s="754">
        <v>353279</v>
      </c>
      <c r="D560" s="754">
        <f>353279+12597+25367</f>
        <v>391243</v>
      </c>
      <c r="E560" s="754">
        <f>353279+12597+25367-3762</f>
        <v>387481</v>
      </c>
      <c r="F560" s="754">
        <f>353279+12597+25367-3762+300</f>
        <v>387781</v>
      </c>
      <c r="G560" s="754">
        <f>353279+12597+25367-3762+300+17514</f>
        <v>405295</v>
      </c>
      <c r="H560" s="902">
        <v>277709</v>
      </c>
      <c r="I560" s="1456">
        <f>H560/G560</f>
        <v>0.68520213671523211</v>
      </c>
    </row>
    <row r="561" spans="1:9">
      <c r="A561" s="920"/>
      <c r="B561" s="707" t="s">
        <v>255</v>
      </c>
      <c r="C561" s="754">
        <v>345</v>
      </c>
      <c r="D561" s="754">
        <v>345</v>
      </c>
      <c r="E561" s="754">
        <v>345</v>
      </c>
      <c r="F561" s="754">
        <v>345</v>
      </c>
      <c r="G561" s="754">
        <v>345</v>
      </c>
      <c r="H561" s="902">
        <v>252</v>
      </c>
      <c r="I561" s="916">
        <f>H561/G561</f>
        <v>0.73043478260869565</v>
      </c>
    </row>
    <row r="562" spans="1:9" ht="13.5" thickBot="1">
      <c r="A562" s="920"/>
      <c r="B562" s="708" t="s">
        <v>254</v>
      </c>
      <c r="C562" s="754"/>
      <c r="D562" s="754"/>
      <c r="E562" s="754"/>
      <c r="F562" s="754"/>
      <c r="G562" s="754"/>
      <c r="H562" s="902"/>
      <c r="I562" s="1434"/>
    </row>
    <row r="563" spans="1:9" ht="13.5" thickBot="1">
      <c r="A563" s="920"/>
      <c r="B563" s="709" t="s">
        <v>37</v>
      </c>
      <c r="C563" s="771">
        <f t="shared" ref="C563" si="307">SUM(C558:C562)</f>
        <v>1344828</v>
      </c>
      <c r="D563" s="771">
        <f t="shared" ref="D563:E563" si="308">SUM(D558:D562)</f>
        <v>1446376</v>
      </c>
      <c r="E563" s="771">
        <f t="shared" si="308"/>
        <v>1528374</v>
      </c>
      <c r="F563" s="771">
        <f t="shared" ref="F563:G563" si="309">SUM(F558:F562)</f>
        <v>1600701</v>
      </c>
      <c r="G563" s="771">
        <f t="shared" si="309"/>
        <v>1655030</v>
      </c>
      <c r="H563" s="910">
        <f t="shared" ref="H563" si="310">SUM(H558:H562)</f>
        <v>1496494</v>
      </c>
      <c r="I563" s="1430">
        <f>H563/G563</f>
        <v>0.90420959136692391</v>
      </c>
    </row>
    <row r="564" spans="1:9">
      <c r="A564" s="920"/>
      <c r="B564" s="706" t="s">
        <v>759</v>
      </c>
      <c r="C564" s="754">
        <v>13031</v>
      </c>
      <c r="D564" s="754">
        <v>13031</v>
      </c>
      <c r="E564" s="754">
        <v>13031</v>
      </c>
      <c r="F564" s="754">
        <v>13031</v>
      </c>
      <c r="G564" s="754">
        <v>13031</v>
      </c>
      <c r="H564" s="902">
        <v>10487</v>
      </c>
      <c r="I564" s="916">
        <f>H564/G564</f>
        <v>0.804773233059627</v>
      </c>
    </row>
    <row r="565" spans="1:9">
      <c r="A565" s="920"/>
      <c r="B565" s="706" t="s">
        <v>196</v>
      </c>
      <c r="C565" s="754"/>
      <c r="D565" s="754"/>
      <c r="E565" s="754"/>
      <c r="F565" s="754"/>
      <c r="G565" s="754"/>
      <c r="H565" s="902"/>
      <c r="I565" s="916"/>
    </row>
    <row r="566" spans="1:9" ht="13.5" thickBot="1">
      <c r="A566" s="920"/>
      <c r="B566" s="708" t="s">
        <v>336</v>
      </c>
      <c r="C566" s="754"/>
      <c r="D566" s="754"/>
      <c r="E566" s="754"/>
      <c r="F566" s="754"/>
      <c r="G566" s="754"/>
      <c r="H566" s="902"/>
      <c r="I566" s="1434"/>
    </row>
    <row r="567" spans="1:9" ht="13.5" thickBot="1">
      <c r="A567" s="920"/>
      <c r="B567" s="710" t="s">
        <v>43</v>
      </c>
      <c r="C567" s="771">
        <f t="shared" ref="C567" si="311">SUM(C564:C566)</f>
        <v>13031</v>
      </c>
      <c r="D567" s="771">
        <f t="shared" ref="D567:E567" si="312">SUM(D564:D566)</f>
        <v>13031</v>
      </c>
      <c r="E567" s="771">
        <f t="shared" si="312"/>
        <v>13031</v>
      </c>
      <c r="F567" s="771">
        <f t="shared" ref="F567:G567" si="313">SUM(F564:F566)</f>
        <v>13031</v>
      </c>
      <c r="G567" s="771">
        <f t="shared" si="313"/>
        <v>13031</v>
      </c>
      <c r="H567" s="910">
        <f t="shared" ref="H567" si="314">SUM(H564:H566)</f>
        <v>10487</v>
      </c>
      <c r="I567" s="1430">
        <f>H567/G567</f>
        <v>0.804773233059627</v>
      </c>
    </row>
    <row r="568" spans="1:9" ht="15.75" thickBot="1">
      <c r="A568" s="921"/>
      <c r="B568" s="711" t="s">
        <v>81</v>
      </c>
      <c r="C568" s="771">
        <f t="shared" ref="C568" si="315">SUM(C563+C567)</f>
        <v>1357859</v>
      </c>
      <c r="D568" s="767">
        <f t="shared" ref="D568:E568" si="316">SUM(D563+D567)</f>
        <v>1459407</v>
      </c>
      <c r="E568" s="767">
        <f t="shared" si="316"/>
        <v>1541405</v>
      </c>
      <c r="F568" s="767">
        <f t="shared" ref="F568:G568" si="317">SUM(F563+F567)</f>
        <v>1613732</v>
      </c>
      <c r="G568" s="767">
        <f t="shared" si="317"/>
        <v>1668061</v>
      </c>
      <c r="H568" s="907">
        <f t="shared" ref="H568" si="318">SUM(H563+H567)</f>
        <v>1506981</v>
      </c>
      <c r="I568" s="1430">
        <f>H568/G568</f>
        <v>0.90343278812945094</v>
      </c>
    </row>
    <row r="569" spans="1:9" ht="15">
      <c r="A569" s="922">
        <v>2898</v>
      </c>
      <c r="B569" s="714" t="s">
        <v>265</v>
      </c>
      <c r="C569" s="1458"/>
      <c r="D569" s="1458"/>
      <c r="E569" s="1458"/>
      <c r="F569" s="1458"/>
      <c r="G569" s="1458"/>
      <c r="H569" s="1459"/>
      <c r="I569" s="1444"/>
    </row>
    <row r="570" spans="1:9">
      <c r="A570" s="920"/>
      <c r="B570" s="696" t="s">
        <v>140</v>
      </c>
      <c r="C570" s="1443"/>
      <c r="D570" s="1443"/>
      <c r="E570" s="1443"/>
      <c r="F570" s="1443"/>
      <c r="G570" s="1443"/>
      <c r="H570" s="695"/>
      <c r="I570" s="916"/>
    </row>
    <row r="571" spans="1:9" ht="13.5" thickBot="1">
      <c r="A571" s="920"/>
      <c r="B571" s="697" t="s">
        <v>141</v>
      </c>
      <c r="C571" s="766"/>
      <c r="D571" s="766"/>
      <c r="E571" s="766"/>
      <c r="F571" s="766">
        <f>F499+F536</f>
        <v>700</v>
      </c>
      <c r="G571" s="766">
        <f>G499+G536</f>
        <v>700</v>
      </c>
      <c r="H571" s="906">
        <f>H499+H536</f>
        <v>700</v>
      </c>
      <c r="I571" s="1434">
        <f>H571/G571</f>
        <v>1</v>
      </c>
    </row>
    <row r="572" spans="1:9" ht="13.5" thickBot="1">
      <c r="A572" s="920"/>
      <c r="B572" s="698" t="s">
        <v>152</v>
      </c>
      <c r="C572" s="1442"/>
      <c r="D572" s="1442"/>
      <c r="E572" s="1442"/>
      <c r="F572" s="1478">
        <v>700</v>
      </c>
      <c r="G572" s="1478">
        <v>700</v>
      </c>
      <c r="H572" s="1429">
        <f>SUM(H571)</f>
        <v>700</v>
      </c>
      <c r="I572" s="1430">
        <f>H572/G572</f>
        <v>1</v>
      </c>
    </row>
    <row r="573" spans="1:9">
      <c r="A573" s="920"/>
      <c r="B573" s="696" t="s">
        <v>143</v>
      </c>
      <c r="C573" s="754">
        <f t="shared" ref="C573" si="319">SUM(C537+C500)</f>
        <v>10295</v>
      </c>
      <c r="D573" s="754">
        <f t="shared" ref="D573:E573" si="320">SUM(D537+D500)</f>
        <v>7795</v>
      </c>
      <c r="E573" s="754">
        <f t="shared" si="320"/>
        <v>7795</v>
      </c>
      <c r="F573" s="754">
        <f t="shared" ref="F573:G573" si="321">SUM(F537+F500)</f>
        <v>10956</v>
      </c>
      <c r="G573" s="754">
        <f t="shared" si="321"/>
        <v>13531</v>
      </c>
      <c r="H573" s="902">
        <f t="shared" ref="H573" si="322">SUM(H537+H500)</f>
        <v>13532</v>
      </c>
      <c r="I573" s="916">
        <f>H573/G573</f>
        <v>1.0000739043677482</v>
      </c>
    </row>
    <row r="574" spans="1:9">
      <c r="A574" s="920"/>
      <c r="B574" s="685" t="s">
        <v>144</v>
      </c>
      <c r="C574" s="757">
        <f t="shared" ref="C574" si="323">SUM(C538+C501)</f>
        <v>10295</v>
      </c>
      <c r="D574" s="757">
        <f t="shared" ref="D574:E574" si="324">SUM(D538+D501)</f>
        <v>7795</v>
      </c>
      <c r="E574" s="757">
        <f t="shared" si="324"/>
        <v>7795</v>
      </c>
      <c r="F574" s="757">
        <f t="shared" ref="F574:G574" si="325">SUM(F538+F501)</f>
        <v>10956</v>
      </c>
      <c r="G574" s="757">
        <f t="shared" si="325"/>
        <v>13531</v>
      </c>
      <c r="H574" s="905">
        <f t="shared" ref="H574" si="326">SUM(H538+H501)</f>
        <v>13532</v>
      </c>
      <c r="I574" s="916">
        <f>H574/G574</f>
        <v>1.0000739043677482</v>
      </c>
    </row>
    <row r="575" spans="1:9">
      <c r="A575" s="920"/>
      <c r="B575" s="685" t="s">
        <v>145</v>
      </c>
      <c r="C575" s="757"/>
      <c r="D575" s="757"/>
      <c r="E575" s="757"/>
      <c r="F575" s="757"/>
      <c r="G575" s="757"/>
      <c r="H575" s="905"/>
      <c r="I575" s="916"/>
    </row>
    <row r="576" spans="1:9">
      <c r="A576" s="920"/>
      <c r="B576" s="686" t="s">
        <v>146</v>
      </c>
      <c r="C576" s="754"/>
      <c r="D576" s="754"/>
      <c r="E576" s="754"/>
      <c r="F576" s="754"/>
      <c r="G576" s="754"/>
      <c r="H576" s="902"/>
      <c r="I576" s="916"/>
    </row>
    <row r="577" spans="1:9">
      <c r="A577" s="920"/>
      <c r="B577" s="686" t="s">
        <v>147</v>
      </c>
      <c r="C577" s="754">
        <f t="shared" ref="C577" si="327">SUM(C541+C504)</f>
        <v>63651</v>
      </c>
      <c r="D577" s="754">
        <f t="shared" ref="D577:E577" si="328">SUM(D541+D504)</f>
        <v>66151</v>
      </c>
      <c r="E577" s="754">
        <f t="shared" si="328"/>
        <v>66151</v>
      </c>
      <c r="F577" s="754">
        <f t="shared" ref="F577:G577" si="329">SUM(F541+F504)</f>
        <v>66151</v>
      </c>
      <c r="G577" s="754">
        <f t="shared" si="329"/>
        <v>79704</v>
      </c>
      <c r="H577" s="902">
        <f t="shared" ref="H577" si="330">SUM(H541+H504)</f>
        <v>78431</v>
      </c>
      <c r="I577" s="916">
        <f>H577/G577</f>
        <v>0.9840284050988658</v>
      </c>
    </row>
    <row r="578" spans="1:9">
      <c r="A578" s="920"/>
      <c r="B578" s="686" t="s">
        <v>148</v>
      </c>
      <c r="C578" s="754">
        <f t="shared" ref="C578" si="331">SUM(C542+C505)</f>
        <v>16051</v>
      </c>
      <c r="D578" s="754">
        <f t="shared" ref="D578:E578" si="332">SUM(D542+D505)</f>
        <v>16051</v>
      </c>
      <c r="E578" s="754">
        <f t="shared" si="332"/>
        <v>16051</v>
      </c>
      <c r="F578" s="754">
        <f t="shared" ref="F578:G578" si="333">SUM(F542+F505)</f>
        <v>16904</v>
      </c>
      <c r="G578" s="754">
        <f t="shared" si="333"/>
        <v>18111</v>
      </c>
      <c r="H578" s="902">
        <f t="shared" ref="H578" si="334">SUM(H542+H505)</f>
        <v>18138</v>
      </c>
      <c r="I578" s="916">
        <f>H578/G578</f>
        <v>1.0014908066920656</v>
      </c>
    </row>
    <row r="579" spans="1:9">
      <c r="A579" s="920"/>
      <c r="B579" s="686" t="s">
        <v>274</v>
      </c>
      <c r="C579" s="754">
        <f t="shared" ref="C579" si="335">SUM(C506+C543)</f>
        <v>13000</v>
      </c>
      <c r="D579" s="754">
        <f t="shared" ref="D579:E579" si="336">SUM(D506+D543)</f>
        <v>13000</v>
      </c>
      <c r="E579" s="754">
        <f t="shared" si="336"/>
        <v>13000</v>
      </c>
      <c r="F579" s="754">
        <f t="shared" ref="F579:G579" si="337">SUM(F506+F543)</f>
        <v>13000</v>
      </c>
      <c r="G579" s="754">
        <f t="shared" si="337"/>
        <v>21461</v>
      </c>
      <c r="H579" s="902">
        <f t="shared" ref="H579" si="338">SUM(H506+H543)</f>
        <v>21461</v>
      </c>
      <c r="I579" s="916">
        <f>H579/G579</f>
        <v>1</v>
      </c>
    </row>
    <row r="580" spans="1:9">
      <c r="A580" s="920"/>
      <c r="B580" s="687" t="s">
        <v>351</v>
      </c>
      <c r="C580" s="754">
        <f t="shared" ref="C580" si="339">SUM(C544+C507)</f>
        <v>0</v>
      </c>
      <c r="D580" s="754">
        <f t="shared" ref="D580:E580" si="340">SUM(D544+D507)</f>
        <v>0</v>
      </c>
      <c r="E580" s="754">
        <f t="shared" si="340"/>
        <v>0</v>
      </c>
      <c r="F580" s="754">
        <f t="shared" ref="F580:G580" si="341">SUM(F544+F507)</f>
        <v>0</v>
      </c>
      <c r="G580" s="754">
        <f t="shared" si="341"/>
        <v>2</v>
      </c>
      <c r="H580" s="902">
        <f t="shared" ref="H580" si="342">SUM(H544+H507)</f>
        <v>3</v>
      </c>
      <c r="I580" s="916">
        <f t="shared" ref="I580:I582" si="343">H580/G580</f>
        <v>1.5</v>
      </c>
    </row>
    <row r="581" spans="1:9">
      <c r="A581" s="920"/>
      <c r="B581" s="687" t="s">
        <v>1067</v>
      </c>
      <c r="C581" s="754">
        <f>C508+C545</f>
        <v>0</v>
      </c>
      <c r="D581" s="754">
        <f t="shared" ref="D581:E581" si="344">D508+D545</f>
        <v>0</v>
      </c>
      <c r="E581" s="754">
        <f t="shared" si="344"/>
        <v>0</v>
      </c>
      <c r="F581" s="754">
        <f t="shared" ref="F581:G581" si="345">F508+F545</f>
        <v>0</v>
      </c>
      <c r="G581" s="754">
        <f t="shared" si="345"/>
        <v>0</v>
      </c>
      <c r="H581" s="902">
        <f t="shared" ref="H581" si="346">H508+H545</f>
        <v>0</v>
      </c>
      <c r="I581" s="916"/>
    </row>
    <row r="582" spans="1:9" ht="13.5" thickBot="1">
      <c r="A582" s="920"/>
      <c r="B582" s="688" t="s">
        <v>149</v>
      </c>
      <c r="C582" s="754">
        <f t="shared" ref="C582" si="347">SUM(C546+C509)</f>
        <v>0</v>
      </c>
      <c r="D582" s="754">
        <f t="shared" ref="D582:E582" si="348">SUM(D546+D509)</f>
        <v>0</v>
      </c>
      <c r="E582" s="754">
        <f t="shared" si="348"/>
        <v>0</v>
      </c>
      <c r="F582" s="754">
        <f t="shared" ref="F582:G582" si="349">SUM(F546+F509)</f>
        <v>0</v>
      </c>
      <c r="G582" s="754">
        <f t="shared" si="349"/>
        <v>29</v>
      </c>
      <c r="H582" s="902">
        <f t="shared" ref="H582" si="350">SUM(H546+H509)</f>
        <v>30</v>
      </c>
      <c r="I582" s="916">
        <f t="shared" si="343"/>
        <v>1.0344827586206897</v>
      </c>
    </row>
    <row r="583" spans="1:9" ht="13.5" thickBot="1">
      <c r="A583" s="920"/>
      <c r="B583" s="689" t="s">
        <v>270</v>
      </c>
      <c r="C583" s="771">
        <f>SUM(C573+C576+C577+C578+C579+C580+C581+C582)</f>
        <v>102997</v>
      </c>
      <c r="D583" s="771">
        <f t="shared" ref="D583" si="351">SUM(D573+D576+D577+D578+D579+D580+D581+D582)</f>
        <v>102997</v>
      </c>
      <c r="E583" s="771">
        <f>SUM(E573+E576+E577+E578+E579+E580+E581+E582)</f>
        <v>102997</v>
      </c>
      <c r="F583" s="771">
        <f>SUM(F573+F576+F577+F578+F579+F580+F581+F582)</f>
        <v>107011</v>
      </c>
      <c r="G583" s="771">
        <f>SUM(G573+G576+G577+G578+G579+G580+G581+G582)</f>
        <v>132838</v>
      </c>
      <c r="H583" s="910">
        <f>SUM(H573+H576+H577+H578+H579+H580+H581+H582)</f>
        <v>131595</v>
      </c>
      <c r="I583" s="1430">
        <f>H583/G583</f>
        <v>0.99064273777081857</v>
      </c>
    </row>
    <row r="584" spans="1:9" ht="13.5" thickBot="1">
      <c r="A584" s="920"/>
      <c r="B584" s="690" t="s">
        <v>176</v>
      </c>
      <c r="C584" s="771">
        <f t="shared" ref="C584:H584" si="352">C511+C548</f>
        <v>0</v>
      </c>
      <c r="D584" s="767">
        <f t="shared" si="352"/>
        <v>0</v>
      </c>
      <c r="E584" s="767">
        <f t="shared" si="352"/>
        <v>0</v>
      </c>
      <c r="F584" s="767">
        <f t="shared" si="352"/>
        <v>300</v>
      </c>
      <c r="G584" s="767">
        <f t="shared" si="352"/>
        <v>300</v>
      </c>
      <c r="H584" s="907">
        <f t="shared" si="352"/>
        <v>300</v>
      </c>
      <c r="I584" s="1434"/>
    </row>
    <row r="585" spans="1:9" ht="13.5" thickBot="1">
      <c r="A585" s="920"/>
      <c r="B585" s="691" t="s">
        <v>44</v>
      </c>
      <c r="C585" s="1451">
        <f t="shared" ref="C585:H585" si="353">SUM(C583+C572)+C584</f>
        <v>102997</v>
      </c>
      <c r="D585" s="770">
        <f t="shared" si="353"/>
        <v>102997</v>
      </c>
      <c r="E585" s="770">
        <f t="shared" si="353"/>
        <v>102997</v>
      </c>
      <c r="F585" s="770">
        <f t="shared" si="353"/>
        <v>108011</v>
      </c>
      <c r="G585" s="770">
        <f t="shared" si="353"/>
        <v>133838</v>
      </c>
      <c r="H585" s="762">
        <f t="shared" si="353"/>
        <v>132595</v>
      </c>
      <c r="I585" s="1430">
        <f>H585/G585</f>
        <v>0.99071265260987162</v>
      </c>
    </row>
    <row r="586" spans="1:9" ht="13.5" thickBot="1">
      <c r="A586" s="920"/>
      <c r="B586" s="688" t="s">
        <v>185</v>
      </c>
      <c r="C586" s="1481">
        <f t="shared" ref="C586:H586" si="354">C550</f>
        <v>0</v>
      </c>
      <c r="D586" s="768">
        <f t="shared" si="354"/>
        <v>0</v>
      </c>
      <c r="E586" s="768">
        <f t="shared" si="354"/>
        <v>0</v>
      </c>
      <c r="F586" s="768">
        <f t="shared" si="354"/>
        <v>0</v>
      </c>
      <c r="G586" s="768">
        <f t="shared" si="354"/>
        <v>0</v>
      </c>
      <c r="H586" s="908">
        <f t="shared" si="354"/>
        <v>0</v>
      </c>
      <c r="I586" s="1434"/>
    </row>
    <row r="587" spans="1:9" ht="13.5" thickBot="1">
      <c r="A587" s="920"/>
      <c r="B587" s="700" t="s">
        <v>45</v>
      </c>
      <c r="C587" s="1465">
        <f t="shared" ref="C587:H587" si="355">C586</f>
        <v>0</v>
      </c>
      <c r="D587" s="769">
        <f t="shared" si="355"/>
        <v>0</v>
      </c>
      <c r="E587" s="769">
        <f t="shared" si="355"/>
        <v>0</v>
      </c>
      <c r="F587" s="769">
        <f t="shared" si="355"/>
        <v>0</v>
      </c>
      <c r="G587" s="769">
        <f t="shared" si="355"/>
        <v>0</v>
      </c>
      <c r="H587" s="909">
        <f t="shared" si="355"/>
        <v>0</v>
      </c>
      <c r="I587" s="1434"/>
    </row>
    <row r="588" spans="1:9">
      <c r="A588" s="920"/>
      <c r="B588" s="701" t="s">
        <v>327</v>
      </c>
      <c r="C588" s="1463">
        <f t="shared" ref="C588" si="356">SUM(C552+C514)</f>
        <v>0</v>
      </c>
      <c r="D588" s="1463">
        <f t="shared" ref="D588:E588" si="357">SUM(D552+D514)</f>
        <v>33652</v>
      </c>
      <c r="E588" s="1463">
        <f t="shared" si="357"/>
        <v>33652</v>
      </c>
      <c r="F588" s="1463">
        <f t="shared" ref="F588:G588" si="358">SUM(F552+F514)</f>
        <v>33652</v>
      </c>
      <c r="G588" s="1463">
        <f t="shared" si="358"/>
        <v>33652</v>
      </c>
      <c r="H588" s="1464">
        <f t="shared" ref="H588" si="359">SUM(H552+H514)</f>
        <v>33652</v>
      </c>
      <c r="I588" s="1444">
        <f>H588/G588</f>
        <v>1</v>
      </c>
    </row>
    <row r="589" spans="1:9">
      <c r="A589" s="920"/>
      <c r="B589" s="721" t="s">
        <v>726</v>
      </c>
      <c r="C589" s="1463">
        <f t="shared" ref="C589:H589" si="360">SUM(C515)</f>
        <v>0</v>
      </c>
      <c r="D589" s="1463">
        <f t="shared" si="360"/>
        <v>0</v>
      </c>
      <c r="E589" s="1463">
        <f t="shared" si="360"/>
        <v>0</v>
      </c>
      <c r="F589" s="1463">
        <f t="shared" si="360"/>
        <v>0</v>
      </c>
      <c r="G589" s="1463">
        <f t="shared" si="360"/>
        <v>0</v>
      </c>
      <c r="H589" s="1464">
        <f t="shared" si="360"/>
        <v>0</v>
      </c>
      <c r="I589" s="916"/>
    </row>
    <row r="590" spans="1:9">
      <c r="A590" s="920"/>
      <c r="B590" s="721" t="s">
        <v>355</v>
      </c>
      <c r="C590" s="754">
        <f t="shared" ref="C590" si="361">SUM(C553+C516)</f>
        <v>2384623</v>
      </c>
      <c r="D590" s="754">
        <f t="shared" ref="D590:E590" si="362">SUM(D553+D516)</f>
        <v>2492432</v>
      </c>
      <c r="E590" s="754">
        <f t="shared" si="362"/>
        <v>2584806</v>
      </c>
      <c r="F590" s="754">
        <f t="shared" ref="F590:G590" si="363">SUM(F553+F516)</f>
        <v>2688328</v>
      </c>
      <c r="G590" s="754">
        <f t="shared" si="363"/>
        <v>2730412</v>
      </c>
      <c r="H590" s="902">
        <f t="shared" ref="H590" si="364">SUM(H553+H516)</f>
        <v>2550715</v>
      </c>
      <c r="I590" s="916">
        <f>H590/G590</f>
        <v>0.93418685531707302</v>
      </c>
    </row>
    <row r="591" spans="1:9" ht="13.5" thickBot="1">
      <c r="A591" s="920"/>
      <c r="B591" s="702" t="s">
        <v>358</v>
      </c>
      <c r="C591" s="766">
        <f t="shared" ref="C591" si="365">SUM(C517)</f>
        <v>43268</v>
      </c>
      <c r="D591" s="766">
        <f t="shared" ref="D591:E591" si="366">SUM(D517)</f>
        <v>43268</v>
      </c>
      <c r="E591" s="766">
        <f t="shared" si="366"/>
        <v>43268</v>
      </c>
      <c r="F591" s="766">
        <f t="shared" ref="F591:G591" si="367">SUM(F517)</f>
        <v>43268</v>
      </c>
      <c r="G591" s="766">
        <f t="shared" si="367"/>
        <v>43268</v>
      </c>
      <c r="H591" s="906">
        <f t="shared" ref="H591" si="368">SUM(H517)</f>
        <v>31429</v>
      </c>
      <c r="I591" s="916">
        <f>H591/G591</f>
        <v>0.72637977258019781</v>
      </c>
    </row>
    <row r="592" spans="1:9" ht="13.5" thickBot="1">
      <c r="A592" s="920"/>
      <c r="B592" s="703" t="s">
        <v>38</v>
      </c>
      <c r="C592" s="769">
        <f t="shared" ref="C592" si="369">SUM(C588:C591)</f>
        <v>2427891</v>
      </c>
      <c r="D592" s="769">
        <f t="shared" ref="D592:E592" si="370">SUM(D588:D591)</f>
        <v>2569352</v>
      </c>
      <c r="E592" s="769">
        <f t="shared" si="370"/>
        <v>2661726</v>
      </c>
      <c r="F592" s="769">
        <f t="shared" ref="F592:G592" si="371">SUM(F588:F591)</f>
        <v>2765248</v>
      </c>
      <c r="G592" s="769">
        <f t="shared" si="371"/>
        <v>2807332</v>
      </c>
      <c r="H592" s="909">
        <f t="shared" ref="H592" si="372">SUM(H588:H591)</f>
        <v>2615796</v>
      </c>
      <c r="I592" s="1430">
        <f>H592/G592</f>
        <v>0.9317729431360452</v>
      </c>
    </row>
    <row r="593" spans="1:9" ht="13.5" thickBot="1">
      <c r="A593" s="920"/>
      <c r="B593" s="704" t="s">
        <v>327</v>
      </c>
      <c r="C593" s="768">
        <f t="shared" ref="C593:H593" si="373">SUM(C555)+C519</f>
        <v>0</v>
      </c>
      <c r="D593" s="768">
        <f t="shared" si="373"/>
        <v>0</v>
      </c>
      <c r="E593" s="768">
        <f t="shared" si="373"/>
        <v>0</v>
      </c>
      <c r="F593" s="768">
        <f t="shared" si="373"/>
        <v>0</v>
      </c>
      <c r="G593" s="768">
        <f t="shared" si="373"/>
        <v>0</v>
      </c>
      <c r="H593" s="908">
        <f t="shared" si="373"/>
        <v>0</v>
      </c>
      <c r="I593" s="1434"/>
    </row>
    <row r="594" spans="1:9" ht="13.5" thickBot="1">
      <c r="A594" s="920"/>
      <c r="B594" s="703" t="s">
        <v>40</v>
      </c>
      <c r="C594" s="769">
        <f t="shared" ref="C594" si="374">SUM(C593)</f>
        <v>0</v>
      </c>
      <c r="D594" s="769">
        <f t="shared" ref="D594:E594" si="375">SUM(D593)</f>
        <v>0</v>
      </c>
      <c r="E594" s="769">
        <f t="shared" si="375"/>
        <v>0</v>
      </c>
      <c r="F594" s="769">
        <f t="shared" ref="F594:G594" si="376">SUM(F593)</f>
        <v>0</v>
      </c>
      <c r="G594" s="769">
        <f t="shared" si="376"/>
        <v>0</v>
      </c>
      <c r="H594" s="909">
        <f t="shared" ref="H594" si="377">SUM(H593)</f>
        <v>0</v>
      </c>
      <c r="I594" s="1434"/>
    </row>
    <row r="595" spans="1:9" ht="15.75" thickBot="1">
      <c r="A595" s="920"/>
      <c r="B595" s="705" t="s">
        <v>49</v>
      </c>
      <c r="C595" s="771">
        <f t="shared" ref="C595:H595" si="378">SUM(C585+C587+C592+C594)</f>
        <v>2530888</v>
      </c>
      <c r="D595" s="767">
        <f t="shared" si="378"/>
        <v>2672349</v>
      </c>
      <c r="E595" s="767">
        <f t="shared" si="378"/>
        <v>2764723</v>
      </c>
      <c r="F595" s="767">
        <f t="shared" si="378"/>
        <v>2873259</v>
      </c>
      <c r="G595" s="767">
        <f t="shared" si="378"/>
        <v>2941170</v>
      </c>
      <c r="H595" s="907">
        <f t="shared" si="378"/>
        <v>2748391</v>
      </c>
      <c r="I595" s="1430">
        <f>H595/G595</f>
        <v>0.93445499580099078</v>
      </c>
    </row>
    <row r="596" spans="1:9">
      <c r="A596" s="920"/>
      <c r="B596" s="706" t="s">
        <v>251</v>
      </c>
      <c r="C596" s="754">
        <f t="shared" ref="C596" si="379">SUM(C558+C522)</f>
        <v>1771585</v>
      </c>
      <c r="D596" s="754">
        <f t="shared" ref="D596:E596" si="380">SUM(D558+D522)</f>
        <v>1840049</v>
      </c>
      <c r="E596" s="754">
        <f t="shared" si="380"/>
        <v>1925251</v>
      </c>
      <c r="F596" s="754">
        <f t="shared" ref="F596:G596" si="381">SUM(F558+F522)</f>
        <v>2019403</v>
      </c>
      <c r="G596" s="754">
        <f t="shared" si="381"/>
        <v>2057026</v>
      </c>
      <c r="H596" s="902">
        <f t="shared" ref="H596" si="382">SUM(H558+H522)</f>
        <v>2026485</v>
      </c>
      <c r="I596" s="916">
        <f>H596/G596</f>
        <v>0.98515283715422164</v>
      </c>
    </row>
    <row r="597" spans="1:9">
      <c r="A597" s="920"/>
      <c r="B597" s="706" t="s">
        <v>252</v>
      </c>
      <c r="C597" s="754">
        <f t="shared" ref="C597" si="383">SUM(C559+C523)</f>
        <v>275851</v>
      </c>
      <c r="D597" s="754">
        <f t="shared" ref="D597:E597" si="384">SUM(D559+D523)</f>
        <v>292026</v>
      </c>
      <c r="E597" s="754">
        <f t="shared" si="384"/>
        <v>302960</v>
      </c>
      <c r="F597" s="754">
        <f t="shared" ref="F597:G597" si="385">SUM(F559+F523)</f>
        <v>312330</v>
      </c>
      <c r="G597" s="754">
        <f t="shared" si="385"/>
        <v>316791</v>
      </c>
      <c r="H597" s="902">
        <f t="shared" ref="H597" si="386">SUM(H559+H523)</f>
        <v>299973</v>
      </c>
      <c r="I597" s="916">
        <f>H597/G597</f>
        <v>0.94691137058817954</v>
      </c>
    </row>
    <row r="598" spans="1:9">
      <c r="A598" s="920"/>
      <c r="B598" s="706" t="s">
        <v>253</v>
      </c>
      <c r="C598" s="754">
        <f t="shared" ref="C598" si="387">SUM(C560+C524)</f>
        <v>463726</v>
      </c>
      <c r="D598" s="754">
        <f t="shared" ref="D598:E598" si="388">SUM(D560+D524)</f>
        <v>520548</v>
      </c>
      <c r="E598" s="754">
        <f t="shared" si="388"/>
        <v>516786</v>
      </c>
      <c r="F598" s="754">
        <f t="shared" ref="F598:G598" si="389">SUM(F560+F524)</f>
        <v>521800</v>
      </c>
      <c r="G598" s="754">
        <f t="shared" si="389"/>
        <v>547627</v>
      </c>
      <c r="H598" s="902">
        <f t="shared" ref="H598" si="390">SUM(H560+H524)</f>
        <v>370547</v>
      </c>
      <c r="I598" s="916">
        <f>H598/G598</f>
        <v>0.67664121747101591</v>
      </c>
    </row>
    <row r="599" spans="1:9">
      <c r="A599" s="920"/>
      <c r="B599" s="707" t="s">
        <v>255</v>
      </c>
      <c r="C599" s="754">
        <f t="shared" ref="C599" si="391">SUM(C561+C525)</f>
        <v>345</v>
      </c>
      <c r="D599" s="754">
        <f t="shared" ref="D599:E599" si="392">SUM(D561+D525)</f>
        <v>345</v>
      </c>
      <c r="E599" s="754">
        <f t="shared" si="392"/>
        <v>345</v>
      </c>
      <c r="F599" s="754">
        <f t="shared" ref="F599:G599" si="393">SUM(F561+F525)</f>
        <v>345</v>
      </c>
      <c r="G599" s="754">
        <f t="shared" si="393"/>
        <v>345</v>
      </c>
      <c r="H599" s="902">
        <f t="shared" ref="H599" si="394">SUM(H561+H525)</f>
        <v>252</v>
      </c>
      <c r="I599" s="916">
        <f>H599/G599</f>
        <v>0.73043478260869565</v>
      </c>
    </row>
    <row r="600" spans="1:9" ht="13.5" thickBot="1">
      <c r="A600" s="920"/>
      <c r="B600" s="708" t="s">
        <v>254</v>
      </c>
      <c r="C600" s="754">
        <f t="shared" ref="C600" si="395">SUM(C562+C526)</f>
        <v>0</v>
      </c>
      <c r="D600" s="754">
        <f t="shared" ref="D600:E600" si="396">SUM(D562+D526)</f>
        <v>0</v>
      </c>
      <c r="E600" s="754">
        <f t="shared" si="396"/>
        <v>0</v>
      </c>
      <c r="F600" s="754">
        <f t="shared" ref="F600:G600" si="397">SUM(F562+F526)</f>
        <v>0</v>
      </c>
      <c r="G600" s="754">
        <f t="shared" si="397"/>
        <v>0</v>
      </c>
      <c r="H600" s="902">
        <f t="shared" ref="H600" si="398">SUM(H562+H526)</f>
        <v>0</v>
      </c>
      <c r="I600" s="1434"/>
    </row>
    <row r="601" spans="1:9" ht="13.5" thickBot="1">
      <c r="A601" s="920"/>
      <c r="B601" s="709" t="s">
        <v>37</v>
      </c>
      <c r="C601" s="771">
        <f t="shared" ref="C601" si="399">SUM(C596:C600)</f>
        <v>2511507</v>
      </c>
      <c r="D601" s="771">
        <f t="shared" ref="D601:E601" si="400">SUM(D596:D600)</f>
        <v>2652968</v>
      </c>
      <c r="E601" s="771">
        <f t="shared" si="400"/>
        <v>2745342</v>
      </c>
      <c r="F601" s="771">
        <f t="shared" ref="F601:G601" si="401">SUM(F596:F600)</f>
        <v>2853878</v>
      </c>
      <c r="G601" s="771">
        <f t="shared" si="401"/>
        <v>2921789</v>
      </c>
      <c r="H601" s="910">
        <f t="shared" ref="H601" si="402">SUM(H596:H600)</f>
        <v>2697257</v>
      </c>
      <c r="I601" s="1430">
        <f>H601/G601</f>
        <v>0.92315256166684179</v>
      </c>
    </row>
    <row r="602" spans="1:9">
      <c r="A602" s="920"/>
      <c r="B602" s="706" t="s">
        <v>195</v>
      </c>
      <c r="C602" s="754">
        <f t="shared" ref="C602" si="403">SUM(C564+C528)</f>
        <v>19381</v>
      </c>
      <c r="D602" s="754">
        <f t="shared" ref="D602:E602" si="404">SUM(D564+D528)</f>
        <v>19381</v>
      </c>
      <c r="E602" s="754">
        <f t="shared" si="404"/>
        <v>19381</v>
      </c>
      <c r="F602" s="754">
        <f t="shared" ref="F602:G602" si="405">SUM(F564+F528)</f>
        <v>19381</v>
      </c>
      <c r="G602" s="754">
        <f t="shared" si="405"/>
        <v>19381</v>
      </c>
      <c r="H602" s="902">
        <f t="shared" ref="H602" si="406">SUM(H564+H528)</f>
        <v>16076</v>
      </c>
      <c r="I602" s="916">
        <f>H602/G602</f>
        <v>0.82947216345905783</v>
      </c>
    </row>
    <row r="603" spans="1:9">
      <c r="A603" s="920"/>
      <c r="B603" s="706" t="s">
        <v>196</v>
      </c>
      <c r="C603" s="754">
        <f t="shared" ref="C603" si="407">SUM(C565)</f>
        <v>0</v>
      </c>
      <c r="D603" s="754">
        <f t="shared" ref="D603:E603" si="408">SUM(D565)</f>
        <v>0</v>
      </c>
      <c r="E603" s="754">
        <f t="shared" si="408"/>
        <v>0</v>
      </c>
      <c r="F603" s="754">
        <f t="shared" ref="F603:G603" si="409">SUM(F565)</f>
        <v>0</v>
      </c>
      <c r="G603" s="754">
        <f t="shared" si="409"/>
        <v>0</v>
      </c>
      <c r="H603" s="902">
        <f t="shared" ref="H603" si="410">SUM(H565)</f>
        <v>0</v>
      </c>
      <c r="I603" s="916"/>
    </row>
    <row r="604" spans="1:9" ht="13.5" thickBot="1">
      <c r="A604" s="920"/>
      <c r="B604" s="708" t="s">
        <v>336</v>
      </c>
      <c r="C604" s="766"/>
      <c r="D604" s="766"/>
      <c r="E604" s="766"/>
      <c r="F604" s="766"/>
      <c r="G604" s="766"/>
      <c r="H604" s="906"/>
      <c r="I604" s="1434"/>
    </row>
    <row r="605" spans="1:9" ht="13.5" thickBot="1">
      <c r="A605" s="920"/>
      <c r="B605" s="710" t="s">
        <v>43</v>
      </c>
      <c r="C605" s="771">
        <f t="shared" ref="C605" si="411">SUM(C602:C604)</f>
        <v>19381</v>
      </c>
      <c r="D605" s="767">
        <f t="shared" ref="D605:E605" si="412">SUM(D602:D604)</f>
        <v>19381</v>
      </c>
      <c r="E605" s="767">
        <f t="shared" si="412"/>
        <v>19381</v>
      </c>
      <c r="F605" s="767">
        <f t="shared" ref="F605:G605" si="413">SUM(F602:F604)</f>
        <v>19381</v>
      </c>
      <c r="G605" s="767">
        <f t="shared" si="413"/>
        <v>19381</v>
      </c>
      <c r="H605" s="907">
        <f t="shared" ref="H605" si="414">SUM(H602:H604)</f>
        <v>16076</v>
      </c>
      <c r="I605" s="1430">
        <f>H605/G605</f>
        <v>0.82947216345905783</v>
      </c>
    </row>
    <row r="606" spans="1:9" ht="15.75" thickBot="1">
      <c r="A606" s="921"/>
      <c r="B606" s="711" t="s">
        <v>81</v>
      </c>
      <c r="C606" s="767">
        <f t="shared" ref="C606" si="415">SUM(C601+C605)</f>
        <v>2530888</v>
      </c>
      <c r="D606" s="767">
        <f t="shared" ref="D606:E606" si="416">SUM(D601+D605)</f>
        <v>2672349</v>
      </c>
      <c r="E606" s="767">
        <f t="shared" si="416"/>
        <v>2764723</v>
      </c>
      <c r="F606" s="767">
        <f t="shared" ref="F606:G606" si="417">SUM(F601+F605)</f>
        <v>2873259</v>
      </c>
      <c r="G606" s="767">
        <f t="shared" si="417"/>
        <v>2941170</v>
      </c>
      <c r="H606" s="907">
        <f t="shared" ref="H606" si="418">SUM(H601+H605)</f>
        <v>2713333</v>
      </c>
      <c r="I606" s="1430">
        <f>H606/G606</f>
        <v>0.92253524957754907</v>
      </c>
    </row>
    <row r="607" spans="1:9" ht="15">
      <c r="A607" s="922">
        <v>2985</v>
      </c>
      <c r="B607" s="713" t="s">
        <v>266</v>
      </c>
      <c r="C607" s="1443"/>
      <c r="D607" s="1443"/>
      <c r="E607" s="1443"/>
      <c r="F607" s="1443"/>
      <c r="G607" s="1443"/>
      <c r="H607" s="695"/>
      <c r="I607" s="1444"/>
    </row>
    <row r="608" spans="1:9" ht="12.6" customHeight="1">
      <c r="A608" s="920"/>
      <c r="B608" s="696" t="s">
        <v>140</v>
      </c>
      <c r="C608" s="912"/>
      <c r="D608" s="912"/>
      <c r="E608" s="912"/>
      <c r="F608" s="912"/>
      <c r="G608" s="912"/>
      <c r="H608" s="912"/>
      <c r="I608" s="916"/>
    </row>
    <row r="609" spans="1:9" ht="13.5" thickBot="1">
      <c r="A609" s="920"/>
      <c r="B609" s="697" t="s">
        <v>141</v>
      </c>
      <c r="C609" s="1453"/>
      <c r="D609" s="755">
        <v>1700</v>
      </c>
      <c r="E609" s="755">
        <v>1700</v>
      </c>
      <c r="F609" s="755">
        <v>1700</v>
      </c>
      <c r="G609" s="755">
        <f>1700+2500+6700</f>
        <v>10900</v>
      </c>
      <c r="H609" s="911">
        <v>10900</v>
      </c>
      <c r="I609" s="1434">
        <f>H609/G609</f>
        <v>1</v>
      </c>
    </row>
    <row r="610" spans="1:9" ht="13.5" thickBot="1">
      <c r="A610" s="920"/>
      <c r="B610" s="698" t="s">
        <v>152</v>
      </c>
      <c r="C610" s="1482"/>
      <c r="D610" s="756">
        <v>1700</v>
      </c>
      <c r="E610" s="756">
        <v>1700</v>
      </c>
      <c r="F610" s="756">
        <v>1700</v>
      </c>
      <c r="G610" s="756">
        <f>G609</f>
        <v>10900</v>
      </c>
      <c r="H610" s="756">
        <f>H609</f>
        <v>10900</v>
      </c>
      <c r="I610" s="1434">
        <f>H610/G610</f>
        <v>1</v>
      </c>
    </row>
    <row r="611" spans="1:9">
      <c r="A611" s="920"/>
      <c r="B611" s="696" t="s">
        <v>309</v>
      </c>
      <c r="C611" s="754"/>
      <c r="D611" s="754"/>
      <c r="E611" s="754"/>
      <c r="F611" s="754"/>
      <c r="G611" s="754">
        <v>200</v>
      </c>
      <c r="H611" s="902">
        <v>200</v>
      </c>
      <c r="I611" s="916">
        <f>H611/G611</f>
        <v>1</v>
      </c>
    </row>
    <row r="612" spans="1:9">
      <c r="A612" s="920"/>
      <c r="B612" s="696" t="s">
        <v>143</v>
      </c>
      <c r="C612" s="754">
        <f t="shared" ref="C612:H612" si="419">C613</f>
        <v>18720</v>
      </c>
      <c r="D612" s="754">
        <f t="shared" si="419"/>
        <v>18720</v>
      </c>
      <c r="E612" s="754">
        <f t="shared" si="419"/>
        <v>18720</v>
      </c>
      <c r="F612" s="754">
        <f t="shared" si="419"/>
        <v>18720</v>
      </c>
      <c r="G612" s="754">
        <f t="shared" si="419"/>
        <v>21645</v>
      </c>
      <c r="H612" s="902">
        <f t="shared" si="419"/>
        <v>21645</v>
      </c>
      <c r="I612" s="916">
        <f>H612/G612</f>
        <v>1</v>
      </c>
    </row>
    <row r="613" spans="1:9">
      <c r="A613" s="920"/>
      <c r="B613" s="685" t="s">
        <v>144</v>
      </c>
      <c r="C613" s="757">
        <v>18720</v>
      </c>
      <c r="D613" s="757">
        <v>18720</v>
      </c>
      <c r="E613" s="757">
        <v>18720</v>
      </c>
      <c r="F613" s="757">
        <v>18720</v>
      </c>
      <c r="G613" s="757">
        <f>18720+2925</f>
        <v>21645</v>
      </c>
      <c r="H613" s="905">
        <v>21645</v>
      </c>
      <c r="I613" s="916">
        <f>H613/G613</f>
        <v>1</v>
      </c>
    </row>
    <row r="614" spans="1:9">
      <c r="A614" s="920"/>
      <c r="B614" s="685" t="s">
        <v>145</v>
      </c>
      <c r="C614" s="757"/>
      <c r="D614" s="757"/>
      <c r="E614" s="757"/>
      <c r="F614" s="757"/>
      <c r="G614" s="757"/>
      <c r="H614" s="905"/>
      <c r="I614" s="916"/>
    </row>
    <row r="615" spans="1:9">
      <c r="A615" s="920"/>
      <c r="B615" s="686" t="s">
        <v>146</v>
      </c>
      <c r="C615" s="754"/>
      <c r="D615" s="754"/>
      <c r="E615" s="754"/>
      <c r="F615" s="754"/>
      <c r="G615" s="754">
        <v>1429</v>
      </c>
      <c r="H615" s="902">
        <v>1429</v>
      </c>
      <c r="I615" s="916">
        <f>H615/G615</f>
        <v>1</v>
      </c>
    </row>
    <row r="616" spans="1:9">
      <c r="A616" s="920"/>
      <c r="B616" s="686" t="s">
        <v>147</v>
      </c>
      <c r="C616" s="754"/>
      <c r="D616" s="754"/>
      <c r="E616" s="754"/>
      <c r="F616" s="754"/>
      <c r="G616" s="754"/>
      <c r="H616" s="902"/>
      <c r="I616" s="916"/>
    </row>
    <row r="617" spans="1:9">
      <c r="A617" s="920"/>
      <c r="B617" s="686" t="s">
        <v>148</v>
      </c>
      <c r="C617" s="754">
        <v>5054</v>
      </c>
      <c r="D617" s="754">
        <v>5054</v>
      </c>
      <c r="E617" s="754">
        <v>5054</v>
      </c>
      <c r="F617" s="754">
        <v>5054</v>
      </c>
      <c r="G617" s="754">
        <f>5054+1226</f>
        <v>6280</v>
      </c>
      <c r="H617" s="902">
        <v>6281</v>
      </c>
      <c r="I617" s="916">
        <f>H617/G617</f>
        <v>1.0001592356687898</v>
      </c>
    </row>
    <row r="618" spans="1:9">
      <c r="A618" s="920"/>
      <c r="B618" s="686" t="s">
        <v>274</v>
      </c>
      <c r="C618" s="754"/>
      <c r="D618" s="754"/>
      <c r="E618" s="754"/>
      <c r="F618" s="754"/>
      <c r="G618" s="754"/>
      <c r="H618" s="902"/>
      <c r="I618" s="916"/>
    </row>
    <row r="619" spans="1:9">
      <c r="A619" s="920"/>
      <c r="B619" s="687" t="s">
        <v>351</v>
      </c>
      <c r="C619" s="754"/>
      <c r="D619" s="754"/>
      <c r="E619" s="754"/>
      <c r="F619" s="754"/>
      <c r="G619" s="754">
        <v>83</v>
      </c>
      <c r="H619" s="902">
        <v>84</v>
      </c>
      <c r="I619" s="1456">
        <f>H619/G619</f>
        <v>1.0120481927710843</v>
      </c>
    </row>
    <row r="620" spans="1:9">
      <c r="A620" s="920"/>
      <c r="B620" s="687" t="s">
        <v>1067</v>
      </c>
      <c r="C620" s="754"/>
      <c r="D620" s="754"/>
      <c r="E620" s="754"/>
      <c r="F620" s="754"/>
      <c r="G620" s="754"/>
      <c r="H620" s="902"/>
      <c r="I620" s="916"/>
    </row>
    <row r="621" spans="1:9" ht="13.5" thickBot="1">
      <c r="A621" s="920"/>
      <c r="B621" s="688" t="s">
        <v>149</v>
      </c>
      <c r="C621" s="754"/>
      <c r="D621" s="754"/>
      <c r="E621" s="754"/>
      <c r="F621" s="754"/>
      <c r="G621" s="754">
        <v>70</v>
      </c>
      <c r="H621" s="902">
        <v>71</v>
      </c>
      <c r="I621" s="916">
        <f>H621/G621</f>
        <v>1.0142857142857142</v>
      </c>
    </row>
    <row r="622" spans="1:9" ht="13.5" thickBot="1">
      <c r="A622" s="920"/>
      <c r="B622" s="689" t="s">
        <v>270</v>
      </c>
      <c r="C622" s="771">
        <f>SUM(C612+C615+C616+C617+C620+C621+C611+C618+C619)</f>
        <v>23774</v>
      </c>
      <c r="D622" s="771">
        <f t="shared" ref="D622:E622" si="420">SUM(D612+D615+D616+D617+D620+D621+D611+D618+D619)</f>
        <v>23774</v>
      </c>
      <c r="E622" s="771">
        <f t="shared" si="420"/>
        <v>23774</v>
      </c>
      <c r="F622" s="771">
        <f t="shared" ref="F622:G622" si="421">SUM(F612+F615+F616+F617+F620+F621+F611+F618+F619)</f>
        <v>23774</v>
      </c>
      <c r="G622" s="771">
        <f t="shared" si="421"/>
        <v>29707</v>
      </c>
      <c r="H622" s="910">
        <f t="shared" ref="H622" si="422">SUM(H612+H615+H616+H617+H620+H621+H611+H618+H619)</f>
        <v>29710</v>
      </c>
      <c r="I622" s="1430">
        <f>H622/G622</f>
        <v>1.0001009862995254</v>
      </c>
    </row>
    <row r="623" spans="1:9" ht="13.5" thickBot="1">
      <c r="A623" s="920"/>
      <c r="B623" s="724" t="s">
        <v>176</v>
      </c>
      <c r="C623" s="767"/>
      <c r="D623" s="767"/>
      <c r="E623" s="767"/>
      <c r="F623" s="767">
        <v>2500</v>
      </c>
      <c r="G623" s="767">
        <v>2500</v>
      </c>
      <c r="H623" s="907">
        <v>2500</v>
      </c>
      <c r="I623" s="1430">
        <f>H623/G623</f>
        <v>1</v>
      </c>
    </row>
    <row r="624" spans="1:9" ht="13.5" thickBot="1">
      <c r="A624" s="920"/>
      <c r="B624" s="691" t="s">
        <v>44</v>
      </c>
      <c r="C624" s="1451">
        <f t="shared" ref="C624:H624" si="423">SUM(C622+C610+C623)</f>
        <v>23774</v>
      </c>
      <c r="D624" s="770">
        <f t="shared" si="423"/>
        <v>25474</v>
      </c>
      <c r="E624" s="770">
        <f t="shared" si="423"/>
        <v>25474</v>
      </c>
      <c r="F624" s="770">
        <f t="shared" si="423"/>
        <v>27974</v>
      </c>
      <c r="G624" s="770">
        <f t="shared" si="423"/>
        <v>43107</v>
      </c>
      <c r="H624" s="762">
        <f t="shared" si="423"/>
        <v>43110</v>
      </c>
      <c r="I624" s="1483">
        <f>H624/G624</f>
        <v>1.0000695942654325</v>
      </c>
    </row>
    <row r="625" spans="1:9" ht="13.5" thickBot="1">
      <c r="A625" s="920"/>
      <c r="B625" s="725" t="s">
        <v>188</v>
      </c>
      <c r="C625" s="768"/>
      <c r="D625" s="768"/>
      <c r="E625" s="768"/>
      <c r="F625" s="768"/>
      <c r="G625" s="768"/>
      <c r="H625" s="908"/>
      <c r="I625" s="1434"/>
    </row>
    <row r="626" spans="1:9" ht="13.5" thickBot="1">
      <c r="A626" s="920"/>
      <c r="B626" s="700" t="s">
        <v>45</v>
      </c>
      <c r="C626" s="769"/>
      <c r="D626" s="769"/>
      <c r="E626" s="769"/>
      <c r="F626" s="769"/>
      <c r="G626" s="769"/>
      <c r="H626" s="909"/>
      <c r="I626" s="1434"/>
    </row>
    <row r="627" spans="1:9">
      <c r="A627" s="920"/>
      <c r="B627" s="701" t="s">
        <v>327</v>
      </c>
      <c r="C627" s="1463"/>
      <c r="D627" s="1463">
        <v>3208</v>
      </c>
      <c r="E627" s="1463">
        <v>3208</v>
      </c>
      <c r="F627" s="1463">
        <v>3208</v>
      </c>
      <c r="G627" s="1463">
        <v>3208</v>
      </c>
      <c r="H627" s="1464">
        <v>3208</v>
      </c>
      <c r="I627" s="1444">
        <f>H627/G627</f>
        <v>1</v>
      </c>
    </row>
    <row r="628" spans="1:9" ht="13.5" thickBot="1">
      <c r="A628" s="920"/>
      <c r="B628" s="702" t="s">
        <v>355</v>
      </c>
      <c r="C628" s="1484">
        <v>435474</v>
      </c>
      <c r="D628" s="1484">
        <f>435474+20089+65850</f>
        <v>521413</v>
      </c>
      <c r="E628" s="1484">
        <f>435474+20089+65850</f>
        <v>521413</v>
      </c>
      <c r="F628" s="1484">
        <f>435474+20089+65850</f>
        <v>521413</v>
      </c>
      <c r="G628" s="1484">
        <f>435474+20089+65850</f>
        <v>521413</v>
      </c>
      <c r="H628" s="911">
        <v>459444</v>
      </c>
      <c r="I628" s="1434">
        <f>H628/G628</f>
        <v>0.88115179330012872</v>
      </c>
    </row>
    <row r="629" spans="1:9" ht="13.5" thickBot="1">
      <c r="A629" s="920"/>
      <c r="B629" s="703" t="s">
        <v>38</v>
      </c>
      <c r="C629" s="769">
        <f t="shared" ref="C629" si="424">SUM(C627:C628)</f>
        <v>435474</v>
      </c>
      <c r="D629" s="769">
        <f t="shared" ref="D629:E629" si="425">SUM(D627:D628)</f>
        <v>524621</v>
      </c>
      <c r="E629" s="769">
        <f t="shared" si="425"/>
        <v>524621</v>
      </c>
      <c r="F629" s="769">
        <f t="shared" ref="F629:G629" si="426">SUM(F627:F628)</f>
        <v>524621</v>
      </c>
      <c r="G629" s="769">
        <f t="shared" si="426"/>
        <v>524621</v>
      </c>
      <c r="H629" s="909">
        <f t="shared" ref="H629" si="427">SUM(H627:H628)</f>
        <v>462652</v>
      </c>
      <c r="I629" s="1430">
        <f>H629/G629</f>
        <v>0.8818785370772424</v>
      </c>
    </row>
    <row r="630" spans="1:9" ht="13.5" thickBot="1">
      <c r="A630" s="920"/>
      <c r="B630" s="704" t="s">
        <v>327</v>
      </c>
      <c r="C630" s="768"/>
      <c r="D630" s="768"/>
      <c r="E630" s="768"/>
      <c r="F630" s="768"/>
      <c r="G630" s="768"/>
      <c r="H630" s="908"/>
      <c r="I630" s="1434"/>
    </row>
    <row r="631" spans="1:9" ht="13.5" thickBot="1">
      <c r="A631" s="920"/>
      <c r="B631" s="703" t="s">
        <v>40</v>
      </c>
      <c r="C631" s="769"/>
      <c r="D631" s="769"/>
      <c r="E631" s="769"/>
      <c r="F631" s="769"/>
      <c r="G631" s="769"/>
      <c r="H631" s="909"/>
      <c r="I631" s="1434"/>
    </row>
    <row r="632" spans="1:9" ht="15.75" thickBot="1">
      <c r="A632" s="920"/>
      <c r="B632" s="705" t="s">
        <v>49</v>
      </c>
      <c r="C632" s="771">
        <f t="shared" ref="C632:H632" si="428">SUM(C624+C626+C629)+C631</f>
        <v>459248</v>
      </c>
      <c r="D632" s="767">
        <f t="shared" si="428"/>
        <v>550095</v>
      </c>
      <c r="E632" s="767">
        <f t="shared" si="428"/>
        <v>550095</v>
      </c>
      <c r="F632" s="767">
        <f t="shared" si="428"/>
        <v>552595</v>
      </c>
      <c r="G632" s="767">
        <f t="shared" si="428"/>
        <v>567728</v>
      </c>
      <c r="H632" s="907">
        <f t="shared" si="428"/>
        <v>505762</v>
      </c>
      <c r="I632" s="1430">
        <f>H632/G632</f>
        <v>0.89085266183806333</v>
      </c>
    </row>
    <row r="633" spans="1:9">
      <c r="A633" s="920"/>
      <c r="B633" s="706" t="s">
        <v>251</v>
      </c>
      <c r="C633" s="754">
        <v>186378</v>
      </c>
      <c r="D633" s="754">
        <f>186378+628+530</f>
        <v>187536</v>
      </c>
      <c r="E633" s="754">
        <f>186378+628+530</f>
        <v>187536</v>
      </c>
      <c r="F633" s="754">
        <f>186378+628+530</f>
        <v>187536</v>
      </c>
      <c r="G633" s="754">
        <f>186378+628+530+1580</f>
        <v>189116</v>
      </c>
      <c r="H633" s="902">
        <v>183848</v>
      </c>
      <c r="I633" s="916">
        <f>H633/G633</f>
        <v>0.97214408088157533</v>
      </c>
    </row>
    <row r="634" spans="1:9">
      <c r="A634" s="920"/>
      <c r="B634" s="706" t="s">
        <v>252</v>
      </c>
      <c r="C634" s="754">
        <v>25483</v>
      </c>
      <c r="D634" s="754">
        <f>25483+2322+69</f>
        <v>27874</v>
      </c>
      <c r="E634" s="754">
        <f>25483+2322+69</f>
        <v>27874</v>
      </c>
      <c r="F634" s="754">
        <f>25483+2322+69</f>
        <v>27874</v>
      </c>
      <c r="G634" s="754">
        <f>25483+2322+69+520</f>
        <v>28394</v>
      </c>
      <c r="H634" s="902">
        <v>24596</v>
      </c>
      <c r="I634" s="916">
        <f>H634/G634</f>
        <v>0.86623934634077626</v>
      </c>
    </row>
    <row r="635" spans="1:9">
      <c r="A635" s="920"/>
      <c r="B635" s="706" t="s">
        <v>253</v>
      </c>
      <c r="C635" s="754">
        <v>238527</v>
      </c>
      <c r="D635" s="754">
        <f>238527+258+20089+1032+65850</f>
        <v>325756</v>
      </c>
      <c r="E635" s="754">
        <f>238527+258+20089+1032+65850</f>
        <v>325756</v>
      </c>
      <c r="F635" s="754">
        <f>238527+258+20089+1032+65850+2500</f>
        <v>328256</v>
      </c>
      <c r="G635" s="754">
        <f>238527+258+20089+1032+65850+2500+13033</f>
        <v>341289</v>
      </c>
      <c r="H635" s="902">
        <v>238438</v>
      </c>
      <c r="I635" s="1456">
        <f>H635/G635</f>
        <v>0.69863956939719707</v>
      </c>
    </row>
    <row r="636" spans="1:9">
      <c r="A636" s="920"/>
      <c r="B636" s="706" t="s">
        <v>255</v>
      </c>
      <c r="C636" s="754"/>
      <c r="D636" s="754"/>
      <c r="E636" s="754"/>
      <c r="F636" s="754"/>
      <c r="G636" s="754"/>
      <c r="H636" s="902"/>
      <c r="I636" s="916"/>
    </row>
    <row r="637" spans="1:9" ht="13.5" thickBot="1">
      <c r="A637" s="920"/>
      <c r="B637" s="726" t="s">
        <v>254</v>
      </c>
      <c r="C637" s="766"/>
      <c r="D637" s="766">
        <v>69</v>
      </c>
      <c r="E637" s="754">
        <v>69</v>
      </c>
      <c r="F637" s="754">
        <v>69</v>
      </c>
      <c r="G637" s="754">
        <v>69</v>
      </c>
      <c r="H637" s="902">
        <v>69</v>
      </c>
      <c r="I637" s="916">
        <f>H637/G637</f>
        <v>1</v>
      </c>
    </row>
    <row r="638" spans="1:9" ht="13.5" thickBot="1">
      <c r="A638" s="926"/>
      <c r="B638" s="710" t="s">
        <v>37</v>
      </c>
      <c r="C638" s="771">
        <f t="shared" ref="C638" si="429">SUM(C633:C637)</f>
        <v>450388</v>
      </c>
      <c r="D638" s="910">
        <f t="shared" ref="D638:E638" si="430">SUM(D633:D637)</f>
        <v>541235</v>
      </c>
      <c r="E638" s="910">
        <f t="shared" si="430"/>
        <v>541235</v>
      </c>
      <c r="F638" s="910">
        <f t="shared" ref="F638:G638" si="431">SUM(F633:F637)</f>
        <v>543735</v>
      </c>
      <c r="G638" s="910">
        <f t="shared" si="431"/>
        <v>558868</v>
      </c>
      <c r="H638" s="910">
        <f t="shared" ref="H638" si="432">SUM(H633:H637)</f>
        <v>446951</v>
      </c>
      <c r="I638" s="1430">
        <f>H638/G638</f>
        <v>0.79974340989285486</v>
      </c>
    </row>
    <row r="639" spans="1:9">
      <c r="A639" s="920"/>
      <c r="B639" s="727" t="s">
        <v>10</v>
      </c>
      <c r="C639" s="1485">
        <v>122000</v>
      </c>
      <c r="D639" s="1485">
        <f>122000+65850</f>
        <v>187850</v>
      </c>
      <c r="E639" s="1485">
        <f>122000+65850</f>
        <v>187850</v>
      </c>
      <c r="F639" s="1485">
        <f>122000+65850</f>
        <v>187850</v>
      </c>
      <c r="G639" s="1485">
        <f>122000+65850</f>
        <v>187850</v>
      </c>
      <c r="H639" s="1486">
        <v>132328</v>
      </c>
      <c r="I639" s="1487">
        <f>H639/G639</f>
        <v>0.70443438914027146</v>
      </c>
    </row>
    <row r="640" spans="1:9">
      <c r="A640" s="920"/>
      <c r="B640" s="706" t="s">
        <v>759</v>
      </c>
      <c r="C640" s="754">
        <v>8860</v>
      </c>
      <c r="D640" s="754">
        <v>8860</v>
      </c>
      <c r="E640" s="754">
        <v>8860</v>
      </c>
      <c r="F640" s="754">
        <v>8860</v>
      </c>
      <c r="G640" s="754">
        <v>8860</v>
      </c>
      <c r="H640" s="902">
        <v>6751</v>
      </c>
      <c r="I640" s="916">
        <f>H640/G640</f>
        <v>0.76196388261851011</v>
      </c>
    </row>
    <row r="641" spans="1:9">
      <c r="A641" s="920"/>
      <c r="B641" s="706" t="s">
        <v>196</v>
      </c>
      <c r="C641" s="754"/>
      <c r="D641" s="754"/>
      <c r="E641" s="754"/>
      <c r="F641" s="754"/>
      <c r="G641" s="754"/>
      <c r="H641" s="902"/>
      <c r="I641" s="916"/>
    </row>
    <row r="642" spans="1:9" ht="13.5" thickBot="1">
      <c r="A642" s="920"/>
      <c r="B642" s="708" t="s">
        <v>336</v>
      </c>
      <c r="C642" s="766"/>
      <c r="D642" s="766"/>
      <c r="E642" s="766"/>
      <c r="F642" s="766"/>
      <c r="G642" s="766"/>
      <c r="H642" s="906"/>
      <c r="I642" s="1434"/>
    </row>
    <row r="643" spans="1:9" ht="13.5" thickBot="1">
      <c r="A643" s="920"/>
      <c r="B643" s="710" t="s">
        <v>43</v>
      </c>
      <c r="C643" s="771">
        <f t="shared" ref="C643" si="433">SUM(C640:C642)</f>
        <v>8860</v>
      </c>
      <c r="D643" s="767">
        <f t="shared" ref="D643:E643" si="434">SUM(D640:D642)</f>
        <v>8860</v>
      </c>
      <c r="E643" s="767">
        <f t="shared" si="434"/>
        <v>8860</v>
      </c>
      <c r="F643" s="767">
        <f t="shared" ref="F643:G643" si="435">SUM(F640:F642)</f>
        <v>8860</v>
      </c>
      <c r="G643" s="767">
        <f t="shared" si="435"/>
        <v>8860</v>
      </c>
      <c r="H643" s="907">
        <f t="shared" ref="H643" si="436">SUM(H640:H642)</f>
        <v>6751</v>
      </c>
      <c r="I643" s="1430">
        <f>H643/G643</f>
        <v>0.76196388261851011</v>
      </c>
    </row>
    <row r="644" spans="1:9" ht="15.75" thickBot="1">
      <c r="A644" s="921"/>
      <c r="B644" s="711" t="s">
        <v>81</v>
      </c>
      <c r="C644" s="767">
        <f t="shared" ref="C644:H644" si="437">SUM(C638+C643)</f>
        <v>459248</v>
      </c>
      <c r="D644" s="767">
        <f t="shared" si="437"/>
        <v>550095</v>
      </c>
      <c r="E644" s="767">
        <f t="shared" si="437"/>
        <v>550095</v>
      </c>
      <c r="F644" s="767">
        <f t="shared" si="437"/>
        <v>552595</v>
      </c>
      <c r="G644" s="767">
        <f t="shared" si="437"/>
        <v>567728</v>
      </c>
      <c r="H644" s="907">
        <f t="shared" si="437"/>
        <v>453702</v>
      </c>
      <c r="I644" s="1430">
        <f>H644/G644</f>
        <v>0.79915382013922165</v>
      </c>
    </row>
    <row r="645" spans="1:9" ht="15">
      <c r="A645" s="922">
        <v>2986</v>
      </c>
      <c r="B645" s="713" t="s">
        <v>308</v>
      </c>
      <c r="C645" s="754"/>
      <c r="D645" s="754"/>
      <c r="E645" s="754"/>
      <c r="F645" s="754"/>
      <c r="G645" s="754"/>
      <c r="H645" s="902"/>
      <c r="I645" s="1444"/>
    </row>
    <row r="646" spans="1:9">
      <c r="A646" s="920"/>
      <c r="B646" s="696" t="s">
        <v>140</v>
      </c>
      <c r="C646" s="1443"/>
      <c r="D646" s="1443"/>
      <c r="E646" s="1443"/>
      <c r="F646" s="1443"/>
      <c r="G646" s="1443"/>
      <c r="H646" s="695"/>
      <c r="I646" s="916"/>
    </row>
    <row r="647" spans="1:9" ht="13.5" thickBot="1">
      <c r="A647" s="920"/>
      <c r="B647" s="697" t="s">
        <v>141</v>
      </c>
      <c r="C647" s="755"/>
      <c r="D647" s="755"/>
      <c r="E647" s="755"/>
      <c r="F647" s="755"/>
      <c r="G647" s="755"/>
      <c r="H647" s="911"/>
      <c r="I647" s="1434"/>
    </row>
    <row r="648" spans="1:9" ht="13.5" thickBot="1">
      <c r="A648" s="920"/>
      <c r="B648" s="698" t="s">
        <v>152</v>
      </c>
      <c r="C648" s="1453"/>
      <c r="D648" s="1453"/>
      <c r="E648" s="1453"/>
      <c r="F648" s="1453"/>
      <c r="G648" s="1453"/>
      <c r="H648" s="1460"/>
      <c r="I648" s="1434"/>
    </row>
    <row r="649" spans="1:9">
      <c r="A649" s="920"/>
      <c r="B649" s="696" t="s">
        <v>143</v>
      </c>
      <c r="C649" s="754">
        <f t="shared" ref="C649:H649" si="438">C650+C651</f>
        <v>24000</v>
      </c>
      <c r="D649" s="754">
        <f t="shared" si="438"/>
        <v>24000</v>
      </c>
      <c r="E649" s="754">
        <f t="shared" si="438"/>
        <v>24000</v>
      </c>
      <c r="F649" s="754">
        <f t="shared" si="438"/>
        <v>24000</v>
      </c>
      <c r="G649" s="754">
        <f t="shared" si="438"/>
        <v>39946</v>
      </c>
      <c r="H649" s="902">
        <f t="shared" si="438"/>
        <v>40017</v>
      </c>
      <c r="I649" s="916">
        <f>H649/G649</f>
        <v>1.0017773994893107</v>
      </c>
    </row>
    <row r="650" spans="1:9">
      <c r="A650" s="920"/>
      <c r="B650" s="685" t="s">
        <v>144</v>
      </c>
      <c r="C650" s="757">
        <v>24000</v>
      </c>
      <c r="D650" s="757">
        <v>24000</v>
      </c>
      <c r="E650" s="757">
        <v>24000</v>
      </c>
      <c r="F650" s="757">
        <v>24000</v>
      </c>
      <c r="G650" s="757">
        <f>24000+15946</f>
        <v>39946</v>
      </c>
      <c r="H650" s="905">
        <v>40017</v>
      </c>
      <c r="I650" s="916">
        <f>H650/G650</f>
        <v>1.0017773994893107</v>
      </c>
    </row>
    <row r="651" spans="1:9">
      <c r="A651" s="920"/>
      <c r="B651" s="685" t="s">
        <v>145</v>
      </c>
      <c r="C651" s="757"/>
      <c r="D651" s="757"/>
      <c r="E651" s="757"/>
      <c r="F651" s="757"/>
      <c r="G651" s="757"/>
      <c r="H651" s="905"/>
      <c r="I651" s="916"/>
    </row>
    <row r="652" spans="1:9">
      <c r="A652" s="920"/>
      <c r="B652" s="686" t="s">
        <v>146</v>
      </c>
      <c r="C652" s="754"/>
      <c r="D652" s="754"/>
      <c r="E652" s="754"/>
      <c r="F652" s="754"/>
      <c r="G652" s="754"/>
      <c r="H652" s="902"/>
      <c r="I652" s="916"/>
    </row>
    <row r="653" spans="1:9">
      <c r="A653" s="920"/>
      <c r="B653" s="686" t="s">
        <v>147</v>
      </c>
      <c r="C653" s="754"/>
      <c r="D653" s="754"/>
      <c r="E653" s="754"/>
      <c r="F653" s="754"/>
      <c r="G653" s="754"/>
      <c r="H653" s="902"/>
      <c r="I653" s="916"/>
    </row>
    <row r="654" spans="1:9">
      <c r="A654" s="920"/>
      <c r="B654" s="686" t="s">
        <v>148</v>
      </c>
      <c r="C654" s="754">
        <v>6480</v>
      </c>
      <c r="D654" s="754">
        <v>6480</v>
      </c>
      <c r="E654" s="754">
        <v>6480</v>
      </c>
      <c r="F654" s="754">
        <v>6480</v>
      </c>
      <c r="G654" s="754">
        <f>6480+4305</f>
        <v>10785</v>
      </c>
      <c r="H654" s="902">
        <v>10805</v>
      </c>
      <c r="I654" s="916">
        <f>H654/G654</f>
        <v>1.0018544274455261</v>
      </c>
    </row>
    <row r="655" spans="1:9">
      <c r="A655" s="920"/>
      <c r="B655" s="686" t="s">
        <v>383</v>
      </c>
      <c r="C655" s="754">
        <v>5000</v>
      </c>
      <c r="D655" s="754">
        <v>5000</v>
      </c>
      <c r="E655" s="754">
        <v>5000</v>
      </c>
      <c r="F655" s="754">
        <v>5000</v>
      </c>
      <c r="G655" s="754">
        <f>5000-405</f>
        <v>4595</v>
      </c>
      <c r="H655" s="902">
        <v>4595</v>
      </c>
      <c r="I655" s="916">
        <f>H655/G655</f>
        <v>1</v>
      </c>
    </row>
    <row r="656" spans="1:9">
      <c r="A656" s="920"/>
      <c r="B656" s="687" t="s">
        <v>351</v>
      </c>
      <c r="C656" s="754"/>
      <c r="D656" s="754"/>
      <c r="E656" s="754"/>
      <c r="F656" s="754"/>
      <c r="G656" s="754"/>
      <c r="H656" s="902"/>
      <c r="I656" s="916"/>
    </row>
    <row r="657" spans="1:9">
      <c r="A657" s="920"/>
      <c r="B657" s="687" t="s">
        <v>1067</v>
      </c>
      <c r="C657" s="754"/>
      <c r="D657" s="754"/>
      <c r="E657" s="754"/>
      <c r="F657" s="754"/>
      <c r="G657" s="754"/>
      <c r="H657" s="902"/>
      <c r="I657" s="916"/>
    </row>
    <row r="658" spans="1:9" ht="13.5" thickBot="1">
      <c r="A658" s="920"/>
      <c r="B658" s="688" t="s">
        <v>149</v>
      </c>
      <c r="C658" s="754"/>
      <c r="D658" s="754"/>
      <c r="E658" s="754"/>
      <c r="F658" s="754"/>
      <c r="G658" s="754"/>
      <c r="H658" s="902"/>
      <c r="I658" s="1434"/>
    </row>
    <row r="659" spans="1:9" ht="13.5" thickBot="1">
      <c r="A659" s="920"/>
      <c r="B659" s="689" t="s">
        <v>270</v>
      </c>
      <c r="C659" s="771">
        <f>SUM(C649+C652+C653+C654+C657+C658+C655+C656)</f>
        <v>35480</v>
      </c>
      <c r="D659" s="771">
        <f t="shared" ref="D659:E659" si="439">SUM(D649+D652+D653+D654+D657+D658+D655+D656)</f>
        <v>35480</v>
      </c>
      <c r="E659" s="771">
        <f t="shared" si="439"/>
        <v>35480</v>
      </c>
      <c r="F659" s="771">
        <f t="shared" ref="F659:G659" si="440">SUM(F649+F652+F653+F654+F657+F658+F655+F656)</f>
        <v>35480</v>
      </c>
      <c r="G659" s="771">
        <f t="shared" si="440"/>
        <v>55326</v>
      </c>
      <c r="H659" s="910">
        <f t="shared" ref="H659" si="441">SUM(H649+H652+H653+H654+H657+H658+H655+H656)</f>
        <v>55417</v>
      </c>
      <c r="I659" s="1430">
        <f>H659/G659</f>
        <v>1.0016447962983046</v>
      </c>
    </row>
    <row r="660" spans="1:9" ht="13.5" thickBot="1">
      <c r="A660" s="920"/>
      <c r="B660" s="724" t="s">
        <v>176</v>
      </c>
      <c r="C660" s="767"/>
      <c r="D660" s="767"/>
      <c r="E660" s="767"/>
      <c r="F660" s="767"/>
      <c r="G660" s="767"/>
      <c r="H660" s="907"/>
      <c r="I660" s="1434"/>
    </row>
    <row r="661" spans="1:9" ht="13.5" thickBot="1">
      <c r="A661" s="920"/>
      <c r="B661" s="691" t="s">
        <v>44</v>
      </c>
      <c r="C661" s="1451">
        <f t="shared" ref="C661" si="442">SUM(C659+C648+C660)</f>
        <v>35480</v>
      </c>
      <c r="D661" s="770">
        <f t="shared" ref="D661:E661" si="443">SUM(D659+D648+D660)</f>
        <v>35480</v>
      </c>
      <c r="E661" s="770">
        <f t="shared" si="443"/>
        <v>35480</v>
      </c>
      <c r="F661" s="770">
        <f t="shared" ref="F661:G661" si="444">SUM(F659+F648+F660)</f>
        <v>35480</v>
      </c>
      <c r="G661" s="770">
        <f t="shared" si="444"/>
        <v>55326</v>
      </c>
      <c r="H661" s="762">
        <f t="shared" ref="H661" si="445">SUM(H659+H648+H660)</f>
        <v>55417</v>
      </c>
      <c r="I661" s="1430">
        <f>H661/G661</f>
        <v>1.0016447962983046</v>
      </c>
    </row>
    <row r="662" spans="1:9" ht="13.5" thickBot="1">
      <c r="A662" s="920"/>
      <c r="B662" s="725" t="s">
        <v>188</v>
      </c>
      <c r="C662" s="768"/>
      <c r="D662" s="768"/>
      <c r="E662" s="768"/>
      <c r="F662" s="768"/>
      <c r="G662" s="768"/>
      <c r="H662" s="908"/>
      <c r="I662" s="1434"/>
    </row>
    <row r="663" spans="1:9" ht="13.5" thickBot="1">
      <c r="A663" s="920"/>
      <c r="B663" s="728" t="s">
        <v>410</v>
      </c>
      <c r="C663" s="768"/>
      <c r="D663" s="768"/>
      <c r="E663" s="768"/>
      <c r="F663" s="768"/>
      <c r="G663" s="768"/>
      <c r="H663" s="908"/>
      <c r="I663" s="1434"/>
    </row>
    <row r="664" spans="1:9" ht="13.5" thickBot="1">
      <c r="A664" s="920"/>
      <c r="B664" s="700" t="s">
        <v>45</v>
      </c>
      <c r="C664" s="769"/>
      <c r="D664" s="769"/>
      <c r="E664" s="769"/>
      <c r="F664" s="769"/>
      <c r="G664" s="769"/>
      <c r="H664" s="909"/>
      <c r="I664" s="1434"/>
    </row>
    <row r="665" spans="1:9">
      <c r="A665" s="920"/>
      <c r="B665" s="701" t="s">
        <v>327</v>
      </c>
      <c r="C665" s="1463"/>
      <c r="D665" s="1463">
        <v>1821</v>
      </c>
      <c r="E665" s="1463">
        <v>1821</v>
      </c>
      <c r="F665" s="1463">
        <v>1821</v>
      </c>
      <c r="G665" s="1463">
        <v>1821</v>
      </c>
      <c r="H665" s="1464">
        <v>1821</v>
      </c>
      <c r="I665" s="1444">
        <f>H665/G665</f>
        <v>1</v>
      </c>
    </row>
    <row r="666" spans="1:9" ht="13.5" thickBot="1">
      <c r="A666" s="920"/>
      <c r="B666" s="702" t="s">
        <v>355</v>
      </c>
      <c r="C666" s="766">
        <v>226778</v>
      </c>
      <c r="D666" s="766">
        <f>226778+25590</f>
        <v>252368</v>
      </c>
      <c r="E666" s="766">
        <f>226778+25590</f>
        <v>252368</v>
      </c>
      <c r="F666" s="766">
        <f>226778+25590+4977</f>
        <v>257345</v>
      </c>
      <c r="G666" s="766">
        <f>226778+25590+4977</f>
        <v>257345</v>
      </c>
      <c r="H666" s="906">
        <v>197676</v>
      </c>
      <c r="I666" s="1456">
        <f>H666/G666</f>
        <v>0.76813615963006854</v>
      </c>
    </row>
    <row r="667" spans="1:9" ht="13.5" thickBot="1">
      <c r="A667" s="920"/>
      <c r="B667" s="703" t="s">
        <v>38</v>
      </c>
      <c r="C667" s="769">
        <f t="shared" ref="C667" si="446">SUM(C665:C666)</f>
        <v>226778</v>
      </c>
      <c r="D667" s="769">
        <f t="shared" ref="D667:E667" si="447">SUM(D665:D666)</f>
        <v>254189</v>
      </c>
      <c r="E667" s="769">
        <f t="shared" si="447"/>
        <v>254189</v>
      </c>
      <c r="F667" s="769">
        <f t="shared" ref="F667:G667" si="448">SUM(F665:F666)</f>
        <v>259166</v>
      </c>
      <c r="G667" s="769">
        <f t="shared" si="448"/>
        <v>259166</v>
      </c>
      <c r="H667" s="909">
        <f t="shared" ref="H667" si="449">SUM(H665:H666)</f>
        <v>199497</v>
      </c>
      <c r="I667" s="1430">
        <f>H667/G667</f>
        <v>0.76976532415517462</v>
      </c>
    </row>
    <row r="668" spans="1:9" ht="13.5" thickBot="1">
      <c r="A668" s="920"/>
      <c r="B668" s="704" t="s">
        <v>327</v>
      </c>
      <c r="C668" s="768"/>
      <c r="D668" s="768"/>
      <c r="E668" s="768"/>
      <c r="F668" s="768"/>
      <c r="G668" s="768"/>
      <c r="H668" s="908"/>
      <c r="I668" s="1434"/>
    </row>
    <row r="669" spans="1:9" ht="13.5" thickBot="1">
      <c r="A669" s="920"/>
      <c r="B669" s="703" t="s">
        <v>40</v>
      </c>
      <c r="C669" s="769"/>
      <c r="D669" s="769"/>
      <c r="E669" s="769"/>
      <c r="F669" s="769"/>
      <c r="G669" s="769"/>
      <c r="H669" s="909"/>
      <c r="I669" s="1434"/>
    </row>
    <row r="670" spans="1:9" ht="15.75" thickBot="1">
      <c r="A670" s="920"/>
      <c r="B670" s="705" t="s">
        <v>49</v>
      </c>
      <c r="C670" s="771">
        <f t="shared" ref="C670:H670" si="450">SUM(C661+C664+C667)+C669</f>
        <v>262258</v>
      </c>
      <c r="D670" s="767">
        <f t="shared" si="450"/>
        <v>289669</v>
      </c>
      <c r="E670" s="767">
        <f t="shared" si="450"/>
        <v>289669</v>
      </c>
      <c r="F670" s="767">
        <f t="shared" si="450"/>
        <v>294646</v>
      </c>
      <c r="G670" s="767">
        <f t="shared" si="450"/>
        <v>314492</v>
      </c>
      <c r="H670" s="907">
        <f t="shared" si="450"/>
        <v>254914</v>
      </c>
      <c r="I670" s="1430">
        <f>H670/G670</f>
        <v>0.81055797921727735</v>
      </c>
    </row>
    <row r="671" spans="1:9">
      <c r="A671" s="920"/>
      <c r="B671" s="706" t="s">
        <v>251</v>
      </c>
      <c r="C671" s="754">
        <v>115938</v>
      </c>
      <c r="D671" s="754">
        <f>115938+258</f>
        <v>116196</v>
      </c>
      <c r="E671" s="754">
        <f>115938+258</f>
        <v>116196</v>
      </c>
      <c r="F671" s="754">
        <f>115938+258+4977</f>
        <v>121173</v>
      </c>
      <c r="G671" s="754">
        <f>115938+258+4977</f>
        <v>121173</v>
      </c>
      <c r="H671" s="902">
        <v>119487</v>
      </c>
      <c r="I671" s="1456">
        <f>H671/G671</f>
        <v>0.98608600925948853</v>
      </c>
    </row>
    <row r="672" spans="1:9">
      <c r="A672" s="920"/>
      <c r="B672" s="706" t="s">
        <v>252</v>
      </c>
      <c r="C672" s="754">
        <v>16414</v>
      </c>
      <c r="D672" s="754">
        <f>16414+321</f>
        <v>16735</v>
      </c>
      <c r="E672" s="754">
        <f>16414+321</f>
        <v>16735</v>
      </c>
      <c r="F672" s="754">
        <f>16414+321</f>
        <v>16735</v>
      </c>
      <c r="G672" s="754">
        <f>16414+321</f>
        <v>16735</v>
      </c>
      <c r="H672" s="902">
        <v>12958</v>
      </c>
      <c r="I672" s="916">
        <f>H672/G672</f>
        <v>0.77430534807290108</v>
      </c>
    </row>
    <row r="673" spans="1:9">
      <c r="A673" s="920"/>
      <c r="B673" s="706" t="s">
        <v>253</v>
      </c>
      <c r="C673" s="754">
        <v>124406</v>
      </c>
      <c r="D673" s="754">
        <f>124406+1242+24843</f>
        <v>150491</v>
      </c>
      <c r="E673" s="754">
        <f>124406+1242+24843</f>
        <v>150491</v>
      </c>
      <c r="F673" s="754">
        <f>124406+1242+24843</f>
        <v>150491</v>
      </c>
      <c r="G673" s="754">
        <f>124406+1242+24843+19846</f>
        <v>170337</v>
      </c>
      <c r="H673" s="902">
        <v>115353</v>
      </c>
      <c r="I673" s="916">
        <f>H673/G673</f>
        <v>0.67720460029236162</v>
      </c>
    </row>
    <row r="674" spans="1:9">
      <c r="A674" s="920"/>
      <c r="B674" s="706" t="s">
        <v>255</v>
      </c>
      <c r="C674" s="754"/>
      <c r="D674" s="754"/>
      <c r="E674" s="754"/>
      <c r="F674" s="754"/>
      <c r="G674" s="754"/>
      <c r="H674" s="902"/>
      <c r="I674" s="916"/>
    </row>
    <row r="675" spans="1:9" ht="13.5" thickBot="1">
      <c r="A675" s="920"/>
      <c r="B675" s="726" t="s">
        <v>254</v>
      </c>
      <c r="C675" s="766"/>
      <c r="D675" s="766"/>
      <c r="E675" s="766"/>
      <c r="F675" s="766"/>
      <c r="G675" s="766"/>
      <c r="H675" s="906"/>
      <c r="I675" s="1434"/>
    </row>
    <row r="676" spans="1:9" ht="13.5" thickBot="1">
      <c r="A676" s="920"/>
      <c r="B676" s="709" t="s">
        <v>37</v>
      </c>
      <c r="C676" s="771">
        <f t="shared" ref="C676" si="451">SUM(C671:C675)</f>
        <v>256758</v>
      </c>
      <c r="D676" s="767">
        <f t="shared" ref="D676:E676" si="452">SUM(D671:D675)</f>
        <v>283422</v>
      </c>
      <c r="E676" s="767">
        <f t="shared" si="452"/>
        <v>283422</v>
      </c>
      <c r="F676" s="767">
        <f t="shared" ref="F676:G676" si="453">SUM(F671:F675)</f>
        <v>288399</v>
      </c>
      <c r="G676" s="767">
        <f t="shared" si="453"/>
        <v>308245</v>
      </c>
      <c r="H676" s="907">
        <f t="shared" ref="H676" si="454">SUM(H671:H675)</f>
        <v>247798</v>
      </c>
      <c r="I676" s="1430">
        <f>H676/G676</f>
        <v>0.80389949553115214</v>
      </c>
    </row>
    <row r="677" spans="1:9">
      <c r="A677" s="920"/>
      <c r="B677" s="706" t="s">
        <v>759</v>
      </c>
      <c r="C677" s="754">
        <v>5500</v>
      </c>
      <c r="D677" s="754">
        <f>5500+747</f>
        <v>6247</v>
      </c>
      <c r="E677" s="754">
        <f>5500+747</f>
        <v>6247</v>
      </c>
      <c r="F677" s="754">
        <f>5500+747</f>
        <v>6247</v>
      </c>
      <c r="G677" s="754">
        <f>5500+747</f>
        <v>6247</v>
      </c>
      <c r="H677" s="902">
        <v>4245</v>
      </c>
      <c r="I677" s="916">
        <f>H677/G677</f>
        <v>0.67952617256283021</v>
      </c>
    </row>
    <row r="678" spans="1:9">
      <c r="A678" s="920"/>
      <c r="B678" s="706" t="s">
        <v>196</v>
      </c>
      <c r="C678" s="754"/>
      <c r="D678" s="754"/>
      <c r="E678" s="754"/>
      <c r="F678" s="754"/>
      <c r="G678" s="754"/>
      <c r="H678" s="902"/>
      <c r="I678" s="916"/>
    </row>
    <row r="679" spans="1:9" ht="13.5" thickBot="1">
      <c r="A679" s="920"/>
      <c r="B679" s="708" t="s">
        <v>336</v>
      </c>
      <c r="C679" s="766"/>
      <c r="D679" s="766"/>
      <c r="E679" s="766"/>
      <c r="F679" s="766"/>
      <c r="G679" s="766"/>
      <c r="H679" s="906"/>
      <c r="I679" s="1434"/>
    </row>
    <row r="680" spans="1:9" ht="13.5" thickBot="1">
      <c r="A680" s="920"/>
      <c r="B680" s="710" t="s">
        <v>43</v>
      </c>
      <c r="C680" s="771">
        <f t="shared" ref="C680" si="455">SUM(C677:C679)</f>
        <v>5500</v>
      </c>
      <c r="D680" s="767">
        <f t="shared" ref="D680:E680" si="456">SUM(D677:D679)</f>
        <v>6247</v>
      </c>
      <c r="E680" s="767">
        <f t="shared" si="456"/>
        <v>6247</v>
      </c>
      <c r="F680" s="767">
        <f t="shared" ref="F680:G680" si="457">SUM(F677:F679)</f>
        <v>6247</v>
      </c>
      <c r="G680" s="767">
        <f t="shared" si="457"/>
        <v>6247</v>
      </c>
      <c r="H680" s="907">
        <f t="shared" ref="H680" si="458">SUM(H677:H679)</f>
        <v>4245</v>
      </c>
      <c r="I680" s="1430">
        <f>H680/G680</f>
        <v>0.67952617256283021</v>
      </c>
    </row>
    <row r="681" spans="1:9" ht="15.75" thickBot="1">
      <c r="A681" s="921"/>
      <c r="B681" s="711" t="s">
        <v>81</v>
      </c>
      <c r="C681" s="767">
        <f t="shared" ref="C681" si="459">SUM(C680,C676)</f>
        <v>262258</v>
      </c>
      <c r="D681" s="767">
        <f t="shared" ref="D681:E681" si="460">SUM(D680,D676)</f>
        <v>289669</v>
      </c>
      <c r="E681" s="767">
        <f t="shared" si="460"/>
        <v>289669</v>
      </c>
      <c r="F681" s="767">
        <f t="shared" ref="F681:G681" si="461">SUM(F680,F676)</f>
        <v>294646</v>
      </c>
      <c r="G681" s="767">
        <f t="shared" si="461"/>
        <v>314492</v>
      </c>
      <c r="H681" s="907">
        <f t="shared" ref="H681" si="462">SUM(H680,H676)</f>
        <v>252043</v>
      </c>
      <c r="I681" s="1430">
        <f>H681/G681</f>
        <v>0.80142897116619816</v>
      </c>
    </row>
    <row r="682" spans="1:9" ht="15">
      <c r="A682" s="922">
        <v>2987</v>
      </c>
      <c r="B682" s="713" t="s">
        <v>894</v>
      </c>
      <c r="C682" s="754"/>
      <c r="D682" s="754"/>
      <c r="E682" s="754"/>
      <c r="F682" s="754"/>
      <c r="G682" s="754"/>
      <c r="H682" s="902"/>
      <c r="I682" s="1444"/>
    </row>
    <row r="683" spans="1:9">
      <c r="A683" s="920"/>
      <c r="B683" s="696" t="s">
        <v>140</v>
      </c>
      <c r="C683" s="1443"/>
      <c r="D683" s="1443"/>
      <c r="E683" s="1443"/>
      <c r="F683" s="1443"/>
      <c r="G683" s="1443"/>
      <c r="H683" s="695"/>
      <c r="I683" s="916"/>
    </row>
    <row r="684" spans="1:9" ht="13.5" thickBot="1">
      <c r="A684" s="920"/>
      <c r="B684" s="697" t="s">
        <v>141</v>
      </c>
      <c r="C684" s="755">
        <v>2641465</v>
      </c>
      <c r="D684" s="755">
        <f>2641465+39000</f>
        <v>2680465</v>
      </c>
      <c r="E684" s="755">
        <f>2680465+5000</f>
        <v>2685465</v>
      </c>
      <c r="F684" s="755">
        <f>2680465+5000</f>
        <v>2685465</v>
      </c>
      <c r="G684" s="755">
        <f>2680465+5000+34729</f>
        <v>2720194</v>
      </c>
      <c r="H684" s="911">
        <v>2720194</v>
      </c>
      <c r="I684" s="1434">
        <f t="shared" ref="I684:I690" si="463">H684/G684</f>
        <v>1</v>
      </c>
    </row>
    <row r="685" spans="1:9" ht="13.5" thickBot="1">
      <c r="A685" s="920"/>
      <c r="B685" s="698" t="s">
        <v>152</v>
      </c>
      <c r="C685" s="1453">
        <f t="shared" ref="C685:H685" si="464">SUM(C684)</f>
        <v>2641465</v>
      </c>
      <c r="D685" s="1453">
        <f t="shared" si="464"/>
        <v>2680465</v>
      </c>
      <c r="E685" s="1453">
        <f t="shared" si="464"/>
        <v>2685465</v>
      </c>
      <c r="F685" s="1453">
        <f t="shared" si="464"/>
        <v>2685465</v>
      </c>
      <c r="G685" s="773">
        <f t="shared" si="464"/>
        <v>2720194</v>
      </c>
      <c r="H685" s="756">
        <f t="shared" si="464"/>
        <v>2720194</v>
      </c>
      <c r="I685" s="1457">
        <f t="shared" si="463"/>
        <v>1</v>
      </c>
    </row>
    <row r="686" spans="1:9">
      <c r="A686" s="920"/>
      <c r="B686" s="696" t="s">
        <v>312</v>
      </c>
      <c r="C686" s="1488">
        <v>50</v>
      </c>
      <c r="D686" s="774">
        <v>50</v>
      </c>
      <c r="E686" s="774">
        <f>50+726</f>
        <v>776</v>
      </c>
      <c r="F686" s="774">
        <f>50+726</f>
        <v>776</v>
      </c>
      <c r="G686" s="774">
        <f>50+726</f>
        <v>776</v>
      </c>
      <c r="H686" s="912">
        <v>776</v>
      </c>
      <c r="I686" s="1489">
        <f t="shared" si="463"/>
        <v>1</v>
      </c>
    </row>
    <row r="687" spans="1:9">
      <c r="A687" s="920"/>
      <c r="B687" s="696" t="s">
        <v>143</v>
      </c>
      <c r="C687" s="754">
        <f t="shared" ref="C687:H687" si="465">SUM(C688:C689)</f>
        <v>109667</v>
      </c>
      <c r="D687" s="754">
        <f t="shared" si="465"/>
        <v>109667</v>
      </c>
      <c r="E687" s="754">
        <f t="shared" si="465"/>
        <v>139367</v>
      </c>
      <c r="F687" s="754">
        <f t="shared" si="465"/>
        <v>148367</v>
      </c>
      <c r="G687" s="754">
        <f t="shared" si="465"/>
        <v>123018</v>
      </c>
      <c r="H687" s="902">
        <f t="shared" si="465"/>
        <v>123018</v>
      </c>
      <c r="I687" s="1456">
        <f t="shared" si="463"/>
        <v>1</v>
      </c>
    </row>
    <row r="688" spans="1:9">
      <c r="A688" s="920"/>
      <c r="B688" s="685" t="s">
        <v>144</v>
      </c>
      <c r="C688" s="757">
        <v>92424</v>
      </c>
      <c r="D688" s="757">
        <v>92424</v>
      </c>
      <c r="E688" s="757">
        <f>92424+28500</f>
        <v>120924</v>
      </c>
      <c r="F688" s="757">
        <f>92424+28500+9000</f>
        <v>129924</v>
      </c>
      <c r="G688" s="757">
        <f>92424+28500+9000-23460</f>
        <v>106464</v>
      </c>
      <c r="H688" s="905">
        <v>106464</v>
      </c>
      <c r="I688" s="1456">
        <f t="shared" si="463"/>
        <v>1</v>
      </c>
    </row>
    <row r="689" spans="1:9">
      <c r="A689" s="920"/>
      <c r="B689" s="685" t="s">
        <v>145</v>
      </c>
      <c r="C689" s="757">
        <v>17243</v>
      </c>
      <c r="D689" s="757">
        <v>17243</v>
      </c>
      <c r="E689" s="757">
        <f>17243+1200</f>
        <v>18443</v>
      </c>
      <c r="F689" s="757">
        <f>17243+1200</f>
        <v>18443</v>
      </c>
      <c r="G689" s="757">
        <f>17243+1200-1889</f>
        <v>16554</v>
      </c>
      <c r="H689" s="905">
        <v>16554</v>
      </c>
      <c r="I689" s="916">
        <f t="shared" si="463"/>
        <v>1</v>
      </c>
    </row>
    <row r="690" spans="1:9">
      <c r="A690" s="920"/>
      <c r="B690" s="686" t="s">
        <v>146</v>
      </c>
      <c r="C690" s="754">
        <v>14548</v>
      </c>
      <c r="D690" s="754">
        <v>14548</v>
      </c>
      <c r="E690" s="754">
        <f>14548+6000</f>
        <v>20548</v>
      </c>
      <c r="F690" s="754">
        <f>14548+6000</f>
        <v>20548</v>
      </c>
      <c r="G690" s="754">
        <f>14548+6000-839</f>
        <v>19709</v>
      </c>
      <c r="H690" s="902">
        <v>19709</v>
      </c>
      <c r="I690" s="916">
        <f t="shared" si="463"/>
        <v>1</v>
      </c>
    </row>
    <row r="691" spans="1:9">
      <c r="A691" s="920"/>
      <c r="B691" s="686" t="s">
        <v>147</v>
      </c>
      <c r="C691" s="754"/>
      <c r="D691" s="754"/>
      <c r="E691" s="754"/>
      <c r="F691" s="754"/>
      <c r="G691" s="754"/>
      <c r="H691" s="902"/>
      <c r="I691" s="916"/>
    </row>
    <row r="692" spans="1:9">
      <c r="A692" s="920"/>
      <c r="B692" s="686" t="s">
        <v>148</v>
      </c>
      <c r="C692" s="754"/>
      <c r="D692" s="754"/>
      <c r="E692" s="754"/>
      <c r="F692" s="754"/>
      <c r="G692" s="754"/>
      <c r="H692" s="902"/>
      <c r="I692" s="916"/>
    </row>
    <row r="693" spans="1:9">
      <c r="A693" s="920"/>
      <c r="B693" s="686" t="s">
        <v>383</v>
      </c>
      <c r="C693" s="754"/>
      <c r="D693" s="754"/>
      <c r="E693" s="754"/>
      <c r="F693" s="754"/>
      <c r="G693" s="754"/>
      <c r="H693" s="902"/>
      <c r="I693" s="916"/>
    </row>
    <row r="694" spans="1:9">
      <c r="A694" s="920"/>
      <c r="B694" s="687" t="s">
        <v>351</v>
      </c>
      <c r="C694" s="754"/>
      <c r="D694" s="754"/>
      <c r="E694" s="754"/>
      <c r="F694" s="754"/>
      <c r="G694" s="754"/>
      <c r="H694" s="902">
        <v>2</v>
      </c>
      <c r="I694" s="1456"/>
    </row>
    <row r="695" spans="1:9">
      <c r="A695" s="920"/>
      <c r="B695" s="687" t="s">
        <v>1067</v>
      </c>
      <c r="C695" s="754"/>
      <c r="D695" s="754"/>
      <c r="E695" s="754"/>
      <c r="F695" s="754"/>
      <c r="G695" s="754"/>
      <c r="H695" s="902"/>
      <c r="I695" s="916"/>
    </row>
    <row r="696" spans="1:9" ht="13.5" thickBot="1">
      <c r="A696" s="920"/>
      <c r="B696" s="688" t="s">
        <v>149</v>
      </c>
      <c r="C696" s="754">
        <v>27915</v>
      </c>
      <c r="D696" s="754">
        <v>27915</v>
      </c>
      <c r="E696" s="754">
        <f>27915+9300</f>
        <v>37215</v>
      </c>
      <c r="F696" s="754">
        <f>27915+9300</f>
        <v>37215</v>
      </c>
      <c r="G696" s="754">
        <f>27915+9300+15545</f>
        <v>52760</v>
      </c>
      <c r="H696" s="902">
        <v>52758</v>
      </c>
      <c r="I696" s="1434">
        <f>H696/G696</f>
        <v>0.99996209249431389</v>
      </c>
    </row>
    <row r="697" spans="1:9" ht="13.5" thickBot="1">
      <c r="A697" s="920"/>
      <c r="B697" s="689" t="s">
        <v>270</v>
      </c>
      <c r="C697" s="771">
        <f>SUM(C687+C690+C691+C692+C695+C696+C693+C694+C686)</f>
        <v>152180</v>
      </c>
      <c r="D697" s="771">
        <f t="shared" ref="D697:E697" si="466">SUM(D687+D690+D691+D692+D695+D696+D693+D694+D686)</f>
        <v>152180</v>
      </c>
      <c r="E697" s="771">
        <f t="shared" si="466"/>
        <v>197906</v>
      </c>
      <c r="F697" s="771">
        <f t="shared" ref="F697:G697" si="467">SUM(F687+F690+F691+F692+F695+F696+F693+F694+F686)</f>
        <v>206906</v>
      </c>
      <c r="G697" s="771">
        <f t="shared" si="467"/>
        <v>196263</v>
      </c>
      <c r="H697" s="910">
        <f t="shared" ref="H697" si="468">SUM(H687+H690+H691+H692+H695+H696+H693+H694+H686)</f>
        <v>196263</v>
      </c>
      <c r="I697" s="1430">
        <f>H697/G697</f>
        <v>1</v>
      </c>
    </row>
    <row r="698" spans="1:9" ht="13.5" thickBot="1">
      <c r="A698" s="920"/>
      <c r="B698" s="724" t="s">
        <v>176</v>
      </c>
      <c r="C698" s="767"/>
      <c r="D698" s="767"/>
      <c r="E698" s="767"/>
      <c r="F698" s="767"/>
      <c r="G698" s="767"/>
      <c r="H698" s="907"/>
      <c r="I698" s="1434"/>
    </row>
    <row r="699" spans="1:9" ht="13.5" thickBot="1">
      <c r="A699" s="920"/>
      <c r="B699" s="691" t="s">
        <v>44</v>
      </c>
      <c r="C699" s="1451">
        <f t="shared" ref="C699:H699" si="469">SUM(C697+C685+C698)</f>
        <v>2793645</v>
      </c>
      <c r="D699" s="770">
        <f t="shared" si="469"/>
        <v>2832645</v>
      </c>
      <c r="E699" s="770">
        <f t="shared" si="469"/>
        <v>2883371</v>
      </c>
      <c r="F699" s="770">
        <f t="shared" si="469"/>
        <v>2892371</v>
      </c>
      <c r="G699" s="770">
        <f t="shared" si="469"/>
        <v>2916457</v>
      </c>
      <c r="H699" s="762">
        <f t="shared" si="469"/>
        <v>2916457</v>
      </c>
      <c r="I699" s="1457">
        <f>H699/G699</f>
        <v>1</v>
      </c>
    </row>
    <row r="700" spans="1:9" ht="13.5" thickBot="1">
      <c r="A700" s="920"/>
      <c r="B700" s="725" t="s">
        <v>188</v>
      </c>
      <c r="C700" s="768"/>
      <c r="D700" s="768"/>
      <c r="E700" s="768"/>
      <c r="F700" s="768"/>
      <c r="G700" s="768"/>
      <c r="H700" s="908"/>
      <c r="I700" s="1434"/>
    </row>
    <row r="701" spans="1:9" ht="13.5" thickBot="1">
      <c r="A701" s="920"/>
      <c r="B701" s="728" t="s">
        <v>410</v>
      </c>
      <c r="C701" s="768"/>
      <c r="D701" s="768"/>
      <c r="E701" s="768"/>
      <c r="F701" s="768"/>
      <c r="G701" s="768"/>
      <c r="H701" s="908"/>
      <c r="I701" s="1434"/>
    </row>
    <row r="702" spans="1:9" ht="13.5" thickBot="1">
      <c r="A702" s="920"/>
      <c r="B702" s="700" t="s">
        <v>45</v>
      </c>
      <c r="C702" s="769"/>
      <c r="D702" s="769"/>
      <c r="E702" s="769"/>
      <c r="F702" s="769"/>
      <c r="G702" s="769"/>
      <c r="H702" s="909"/>
      <c r="I702" s="1434"/>
    </row>
    <row r="703" spans="1:9">
      <c r="A703" s="920"/>
      <c r="B703" s="701" t="s">
        <v>327</v>
      </c>
      <c r="C703" s="1463"/>
      <c r="D703" s="1463"/>
      <c r="E703" s="1463">
        <v>1451</v>
      </c>
      <c r="F703" s="1463">
        <v>1451</v>
      </c>
      <c r="G703" s="1463">
        <v>1451</v>
      </c>
      <c r="H703" s="1464">
        <v>1451</v>
      </c>
      <c r="I703" s="1489">
        <f t="shared" ref="I703" si="470">H703/G703</f>
        <v>1</v>
      </c>
    </row>
    <row r="704" spans="1:9" ht="13.5" thickBot="1">
      <c r="A704" s="920"/>
      <c r="B704" s="702" t="s">
        <v>355</v>
      </c>
      <c r="C704" s="766">
        <v>800334</v>
      </c>
      <c r="D704" s="766">
        <f>800334-25000</f>
        <v>775334</v>
      </c>
      <c r="E704" s="766">
        <f>800334-25000</f>
        <v>775334</v>
      </c>
      <c r="F704" s="766">
        <f>800334-25000</f>
        <v>775334</v>
      </c>
      <c r="G704" s="766">
        <f>800334-25000-463</f>
        <v>774871</v>
      </c>
      <c r="H704" s="906">
        <v>774871</v>
      </c>
      <c r="I704" s="1434">
        <f>H704/G704</f>
        <v>1</v>
      </c>
    </row>
    <row r="705" spans="1:9" ht="13.5" thickBot="1">
      <c r="A705" s="920"/>
      <c r="B705" s="703" t="s">
        <v>38</v>
      </c>
      <c r="C705" s="769">
        <f t="shared" ref="C705" si="471">SUM(C703:C704)</f>
        <v>800334</v>
      </c>
      <c r="D705" s="769">
        <f t="shared" ref="D705:E705" si="472">SUM(D703:D704)</f>
        <v>775334</v>
      </c>
      <c r="E705" s="769">
        <f t="shared" si="472"/>
        <v>776785</v>
      </c>
      <c r="F705" s="769">
        <f t="shared" ref="F705:G705" si="473">SUM(F703:F704)</f>
        <v>776785</v>
      </c>
      <c r="G705" s="769">
        <f t="shared" si="473"/>
        <v>776322</v>
      </c>
      <c r="H705" s="909">
        <f t="shared" ref="H705" si="474">SUM(H703:H704)</f>
        <v>776322</v>
      </c>
      <c r="I705" s="1457">
        <f>H705/G705</f>
        <v>1</v>
      </c>
    </row>
    <row r="706" spans="1:9" ht="13.5" thickBot="1">
      <c r="A706" s="920"/>
      <c r="B706" s="704" t="s">
        <v>327</v>
      </c>
      <c r="C706" s="768"/>
      <c r="D706" s="768"/>
      <c r="E706" s="768"/>
      <c r="F706" s="768"/>
      <c r="G706" s="768"/>
      <c r="H706" s="908"/>
      <c r="I706" s="1434"/>
    </row>
    <row r="707" spans="1:9" ht="13.5" thickBot="1">
      <c r="A707" s="920"/>
      <c r="B707" s="703" t="s">
        <v>40</v>
      </c>
      <c r="C707" s="769"/>
      <c r="D707" s="769"/>
      <c r="E707" s="769"/>
      <c r="F707" s="769"/>
      <c r="G707" s="769"/>
      <c r="H707" s="909"/>
      <c r="I707" s="1434"/>
    </row>
    <row r="708" spans="1:9" ht="15.75" thickBot="1">
      <c r="A708" s="920"/>
      <c r="B708" s="705" t="s">
        <v>49</v>
      </c>
      <c r="C708" s="771">
        <f t="shared" ref="C708:G708" si="475">SUM(C699+C702+C705)+C707</f>
        <v>3593979</v>
      </c>
      <c r="D708" s="767">
        <f t="shared" si="475"/>
        <v>3607979</v>
      </c>
      <c r="E708" s="767">
        <f t="shared" si="475"/>
        <v>3660156</v>
      </c>
      <c r="F708" s="767">
        <f t="shared" si="475"/>
        <v>3669156</v>
      </c>
      <c r="G708" s="767">
        <f t="shared" si="475"/>
        <v>3692779</v>
      </c>
      <c r="H708" s="907">
        <f>SUM(H699+H702+H705)+H707</f>
        <v>3692779</v>
      </c>
      <c r="I708" s="1457">
        <f>H708/G708</f>
        <v>1</v>
      </c>
    </row>
    <row r="709" spans="1:9">
      <c r="A709" s="920"/>
      <c r="B709" s="706" t="s">
        <v>251</v>
      </c>
      <c r="C709" s="754">
        <v>2613751</v>
      </c>
      <c r="D709" s="754">
        <v>2613751</v>
      </c>
      <c r="E709" s="754">
        <f>2613751+680</f>
        <v>2614431</v>
      </c>
      <c r="F709" s="754">
        <f>2613751+680-24000</f>
        <v>2590431</v>
      </c>
      <c r="G709" s="754">
        <f>2613751+680-24000-39223</f>
        <v>2551208</v>
      </c>
      <c r="H709" s="902">
        <v>2551208</v>
      </c>
      <c r="I709" s="1489">
        <f>H709/G709</f>
        <v>1</v>
      </c>
    </row>
    <row r="710" spans="1:9">
      <c r="A710" s="920"/>
      <c r="B710" s="706" t="s">
        <v>252</v>
      </c>
      <c r="C710" s="754">
        <v>189348</v>
      </c>
      <c r="D710" s="754">
        <v>189348</v>
      </c>
      <c r="E710" s="754">
        <f>189348+88</f>
        <v>189436</v>
      </c>
      <c r="F710" s="754">
        <f>189348+88+24000</f>
        <v>213436</v>
      </c>
      <c r="G710" s="754">
        <f>189348+88+24000+1320</f>
        <v>214756</v>
      </c>
      <c r="H710" s="902">
        <v>214756</v>
      </c>
      <c r="I710" s="1456">
        <f>H710/G710</f>
        <v>1</v>
      </c>
    </row>
    <row r="711" spans="1:9">
      <c r="A711" s="920"/>
      <c r="B711" s="706" t="s">
        <v>253</v>
      </c>
      <c r="C711" s="754">
        <v>638586</v>
      </c>
      <c r="D711" s="754">
        <f>638586+14000</f>
        <v>652586</v>
      </c>
      <c r="E711" s="754">
        <f>652586+47977</f>
        <v>700563</v>
      </c>
      <c r="F711" s="754">
        <f>652586+47977+9000</f>
        <v>709563</v>
      </c>
      <c r="G711" s="754">
        <f>652586+47977+9000+31553</f>
        <v>741116</v>
      </c>
      <c r="H711" s="902">
        <v>738952</v>
      </c>
      <c r="I711" s="1456">
        <f>H711/G711</f>
        <v>0.99708007923186115</v>
      </c>
    </row>
    <row r="712" spans="1:9">
      <c r="A712" s="920"/>
      <c r="B712" s="706" t="s">
        <v>255</v>
      </c>
      <c r="C712" s="754"/>
      <c r="D712" s="754"/>
      <c r="E712" s="754"/>
      <c r="F712" s="754"/>
      <c r="G712" s="754"/>
      <c r="H712" s="902"/>
      <c r="I712" s="916"/>
    </row>
    <row r="713" spans="1:9" ht="13.5" thickBot="1">
      <c r="A713" s="920"/>
      <c r="B713" s="726" t="s">
        <v>254</v>
      </c>
      <c r="C713" s="766"/>
      <c r="D713" s="766"/>
      <c r="E713" s="766"/>
      <c r="F713" s="766"/>
      <c r="G713" s="766"/>
      <c r="H713" s="906"/>
      <c r="I713" s="1434"/>
    </row>
    <row r="714" spans="1:9" ht="13.5" thickBot="1">
      <c r="A714" s="920"/>
      <c r="B714" s="709" t="s">
        <v>37</v>
      </c>
      <c r="C714" s="771">
        <f t="shared" ref="C714" si="476">SUM(C709:C713)</f>
        <v>3441685</v>
      </c>
      <c r="D714" s="767">
        <f t="shared" ref="D714:E714" si="477">SUM(D709:D713)</f>
        <v>3455685</v>
      </c>
      <c r="E714" s="767">
        <f t="shared" si="477"/>
        <v>3504430</v>
      </c>
      <c r="F714" s="767">
        <f t="shared" ref="F714:G714" si="478">SUM(F709:F713)</f>
        <v>3513430</v>
      </c>
      <c r="G714" s="767">
        <f t="shared" si="478"/>
        <v>3507080</v>
      </c>
      <c r="H714" s="907">
        <f t="shared" ref="H714" si="479">SUM(H709:H713)</f>
        <v>3504916</v>
      </c>
      <c r="I714" s="1457">
        <f>H714/G714</f>
        <v>0.99938296246450042</v>
      </c>
    </row>
    <row r="715" spans="1:9">
      <c r="A715" s="920"/>
      <c r="B715" s="706" t="s">
        <v>759</v>
      </c>
      <c r="C715" s="754">
        <v>96130</v>
      </c>
      <c r="D715" s="754">
        <v>96130</v>
      </c>
      <c r="E715" s="754">
        <f>96130+3432</f>
        <v>99562</v>
      </c>
      <c r="F715" s="754">
        <f>96130+3432</f>
        <v>99562</v>
      </c>
      <c r="G715" s="754">
        <f>96130+3432+49659</f>
        <v>149221</v>
      </c>
      <c r="H715" s="902">
        <v>149221</v>
      </c>
      <c r="I715" s="1444">
        <f>H715/G715</f>
        <v>1</v>
      </c>
    </row>
    <row r="716" spans="1:9">
      <c r="A716" s="920"/>
      <c r="B716" s="706" t="s">
        <v>196</v>
      </c>
      <c r="C716" s="754">
        <v>56164</v>
      </c>
      <c r="D716" s="754">
        <v>56164</v>
      </c>
      <c r="E716" s="754">
        <v>56164</v>
      </c>
      <c r="F716" s="754">
        <v>56164</v>
      </c>
      <c r="G716" s="754">
        <f>56164-19686</f>
        <v>36478</v>
      </c>
      <c r="H716" s="902">
        <v>36478</v>
      </c>
      <c r="I716" s="916">
        <f>H716/G716</f>
        <v>1</v>
      </c>
    </row>
    <row r="717" spans="1:9" ht="13.5" thickBot="1">
      <c r="A717" s="920"/>
      <c r="B717" s="708" t="s">
        <v>336</v>
      </c>
      <c r="C717" s="766"/>
      <c r="D717" s="766"/>
      <c r="E717" s="766"/>
      <c r="F717" s="766"/>
      <c r="G717" s="766"/>
      <c r="H717" s="906"/>
      <c r="I717" s="1434"/>
    </row>
    <row r="718" spans="1:9" ht="13.5" thickBot="1">
      <c r="A718" s="920"/>
      <c r="B718" s="710" t="s">
        <v>43</v>
      </c>
      <c r="C718" s="771">
        <f t="shared" ref="C718" si="480">SUM(C715:C717)</f>
        <v>152294</v>
      </c>
      <c r="D718" s="767">
        <f t="shared" ref="D718:E718" si="481">SUM(D715:D717)</f>
        <v>152294</v>
      </c>
      <c r="E718" s="767">
        <f t="shared" si="481"/>
        <v>155726</v>
      </c>
      <c r="F718" s="767">
        <f t="shared" ref="F718:G718" si="482">SUM(F715:F717)</f>
        <v>155726</v>
      </c>
      <c r="G718" s="767">
        <f t="shared" si="482"/>
        <v>185699</v>
      </c>
      <c r="H718" s="907">
        <f t="shared" ref="H718" si="483">SUM(H715:H717)</f>
        <v>185699</v>
      </c>
      <c r="I718" s="1457">
        <f>H718/G718</f>
        <v>1</v>
      </c>
    </row>
    <row r="719" spans="1:9" ht="15.75" thickBot="1">
      <c r="A719" s="921"/>
      <c r="B719" s="711" t="s">
        <v>81</v>
      </c>
      <c r="C719" s="767">
        <f t="shared" ref="C719" si="484">SUM(C718,C714)</f>
        <v>3593979</v>
      </c>
      <c r="D719" s="767">
        <f t="shared" ref="D719:E719" si="485">SUM(D718,D714)</f>
        <v>3607979</v>
      </c>
      <c r="E719" s="767">
        <f t="shared" si="485"/>
        <v>3660156</v>
      </c>
      <c r="F719" s="767">
        <f t="shared" ref="F719:G719" si="486">SUM(F718,F714)</f>
        <v>3669156</v>
      </c>
      <c r="G719" s="767">
        <f t="shared" si="486"/>
        <v>3692779</v>
      </c>
      <c r="H719" s="907">
        <f t="shared" ref="H719" si="487">SUM(H718,H714)</f>
        <v>3690615</v>
      </c>
      <c r="I719" s="1457">
        <f>H719/G719</f>
        <v>0.99941399146821408</v>
      </c>
    </row>
    <row r="720" spans="1:9" ht="31.5" customHeight="1">
      <c r="A720" s="922">
        <v>2991</v>
      </c>
      <c r="B720" s="713" t="s">
        <v>153</v>
      </c>
      <c r="C720" s="1458"/>
      <c r="D720" s="1458"/>
      <c r="E720" s="1458"/>
      <c r="F720" s="1458"/>
      <c r="G720" s="1458"/>
      <c r="H720" s="1459"/>
      <c r="I720" s="1444"/>
    </row>
    <row r="721" spans="1:9">
      <c r="A721" s="920"/>
      <c r="B721" s="696" t="s">
        <v>140</v>
      </c>
      <c r="C721" s="1443"/>
      <c r="D721" s="1443"/>
      <c r="E721" s="1443"/>
      <c r="F721" s="1443"/>
      <c r="G721" s="1443"/>
      <c r="H721" s="695"/>
      <c r="I721" s="916"/>
    </row>
    <row r="722" spans="1:9" ht="13.5" thickBot="1">
      <c r="A722" s="920"/>
      <c r="B722" s="697" t="s">
        <v>141</v>
      </c>
      <c r="C722" s="766">
        <f t="shared" ref="C722:H722" si="488">SUM(C571+C609+C459+C647+C684)</f>
        <v>2641465</v>
      </c>
      <c r="D722" s="766">
        <f t="shared" si="488"/>
        <v>2682165</v>
      </c>
      <c r="E722" s="766">
        <f t="shared" si="488"/>
        <v>2687165</v>
      </c>
      <c r="F722" s="766">
        <f t="shared" si="488"/>
        <v>2702940</v>
      </c>
      <c r="G722" s="766">
        <f t="shared" si="488"/>
        <v>2749869</v>
      </c>
      <c r="H722" s="906">
        <f t="shared" si="488"/>
        <v>2749869</v>
      </c>
      <c r="I722" s="1434">
        <f t="shared" ref="I722:I731" si="489">H722/G722</f>
        <v>1</v>
      </c>
    </row>
    <row r="723" spans="1:9" ht="13.5" thickBot="1">
      <c r="A723" s="920"/>
      <c r="B723" s="698" t="s">
        <v>152</v>
      </c>
      <c r="C723" s="763">
        <f t="shared" ref="C723" si="490">SUM(C722)</f>
        <v>2641465</v>
      </c>
      <c r="D723" s="1442">
        <f t="shared" ref="D723:E723" si="491">SUM(D722)</f>
        <v>2682165</v>
      </c>
      <c r="E723" s="1442">
        <f t="shared" si="491"/>
        <v>2687165</v>
      </c>
      <c r="F723" s="1442">
        <f t="shared" ref="F723:G723" si="492">SUM(F722)</f>
        <v>2702940</v>
      </c>
      <c r="G723" s="1442">
        <f t="shared" si="492"/>
        <v>2749869</v>
      </c>
      <c r="H723" s="1429">
        <f t="shared" ref="H723" si="493">SUM(H722)</f>
        <v>2749869</v>
      </c>
      <c r="I723" s="1441">
        <f t="shared" si="489"/>
        <v>1</v>
      </c>
    </row>
    <row r="724" spans="1:9">
      <c r="A724" s="920"/>
      <c r="B724" s="696" t="s">
        <v>311</v>
      </c>
      <c r="C724" s="754">
        <f t="shared" ref="C724:H724" si="494">SUM(C611+C686)</f>
        <v>50</v>
      </c>
      <c r="D724" s="754">
        <f t="shared" si="494"/>
        <v>50</v>
      </c>
      <c r="E724" s="754">
        <f t="shared" si="494"/>
        <v>776</v>
      </c>
      <c r="F724" s="754">
        <f t="shared" si="494"/>
        <v>776</v>
      </c>
      <c r="G724" s="754">
        <f t="shared" si="494"/>
        <v>976</v>
      </c>
      <c r="H724" s="902">
        <f t="shared" si="494"/>
        <v>976</v>
      </c>
      <c r="I724" s="916">
        <f t="shared" si="489"/>
        <v>1</v>
      </c>
    </row>
    <row r="725" spans="1:9">
      <c r="A725" s="920"/>
      <c r="B725" s="696" t="s">
        <v>143</v>
      </c>
      <c r="C725" s="754">
        <f t="shared" ref="C725:H725" si="495">SUM(C726:C727)</f>
        <v>257687</v>
      </c>
      <c r="D725" s="754">
        <f t="shared" si="495"/>
        <v>255187</v>
      </c>
      <c r="E725" s="754">
        <f t="shared" si="495"/>
        <v>284887</v>
      </c>
      <c r="F725" s="754">
        <f t="shared" si="495"/>
        <v>317015</v>
      </c>
      <c r="G725" s="754">
        <f t="shared" si="495"/>
        <v>338622</v>
      </c>
      <c r="H725" s="902">
        <f t="shared" si="495"/>
        <v>338695</v>
      </c>
      <c r="I725" s="916">
        <f t="shared" si="489"/>
        <v>1.0002155796138468</v>
      </c>
    </row>
    <row r="726" spans="1:9">
      <c r="A726" s="920"/>
      <c r="B726" s="685" t="s">
        <v>144</v>
      </c>
      <c r="C726" s="757">
        <f t="shared" ref="C726:H726" si="496">SUM(C613+C574+C462+C650+C688)</f>
        <v>170439</v>
      </c>
      <c r="D726" s="757">
        <f t="shared" si="496"/>
        <v>167939</v>
      </c>
      <c r="E726" s="757">
        <f t="shared" si="496"/>
        <v>196439</v>
      </c>
      <c r="F726" s="757">
        <f t="shared" si="496"/>
        <v>216662</v>
      </c>
      <c r="G726" s="757">
        <f t="shared" si="496"/>
        <v>218614</v>
      </c>
      <c r="H726" s="905">
        <f t="shared" si="496"/>
        <v>218687</v>
      </c>
      <c r="I726" s="916">
        <f t="shared" si="489"/>
        <v>1.0003339218897234</v>
      </c>
    </row>
    <row r="727" spans="1:9">
      <c r="A727" s="920"/>
      <c r="B727" s="685" t="s">
        <v>145</v>
      </c>
      <c r="C727" s="757">
        <f t="shared" ref="C727" si="497">SUM(C614+C575+C463+C689)</f>
        <v>87248</v>
      </c>
      <c r="D727" s="757">
        <f t="shared" ref="D727:E727" si="498">SUM(D614+D575+D463+D689)</f>
        <v>87248</v>
      </c>
      <c r="E727" s="757">
        <f t="shared" si="498"/>
        <v>88448</v>
      </c>
      <c r="F727" s="757">
        <f t="shared" ref="F727:G727" si="499">SUM(F614+F575+F463+F689)</f>
        <v>100353</v>
      </c>
      <c r="G727" s="757">
        <f t="shared" si="499"/>
        <v>120008</v>
      </c>
      <c r="H727" s="905">
        <f t="shared" ref="H727" si="500">SUM(H614+H575+H463+H689)</f>
        <v>120008</v>
      </c>
      <c r="I727" s="916">
        <f t="shared" si="489"/>
        <v>1</v>
      </c>
    </row>
    <row r="728" spans="1:9">
      <c r="A728" s="920"/>
      <c r="B728" s="686" t="s">
        <v>146</v>
      </c>
      <c r="C728" s="1428">
        <f t="shared" ref="C728" si="501">SUM(C615+C576+C464+C690)</f>
        <v>18384</v>
      </c>
      <c r="D728" s="1428">
        <f t="shared" ref="D728:E728" si="502">SUM(D615+D576+D464+D690)</f>
        <v>18499</v>
      </c>
      <c r="E728" s="1428">
        <f t="shared" si="502"/>
        <v>26093</v>
      </c>
      <c r="F728" s="1428">
        <f t="shared" ref="F728:G728" si="503">SUM(F615+F576+F464+F690)</f>
        <v>28214</v>
      </c>
      <c r="G728" s="1428">
        <f t="shared" si="503"/>
        <v>32311</v>
      </c>
      <c r="H728" s="760">
        <f t="shared" ref="H728" si="504">SUM(H615+H576+H464+H690)</f>
        <v>32312</v>
      </c>
      <c r="I728" s="916">
        <f t="shared" si="489"/>
        <v>1.0000309492123425</v>
      </c>
    </row>
    <row r="729" spans="1:9">
      <c r="A729" s="920"/>
      <c r="B729" s="686" t="s">
        <v>147</v>
      </c>
      <c r="C729" s="754">
        <f t="shared" ref="C729" si="505">SUM(C616+C577+C465+C691)</f>
        <v>196051</v>
      </c>
      <c r="D729" s="754">
        <f t="shared" ref="D729:E729" si="506">SUM(D616+D577+D465+D691)</f>
        <v>198551</v>
      </c>
      <c r="E729" s="754">
        <f t="shared" si="506"/>
        <v>198551</v>
      </c>
      <c r="F729" s="754">
        <f t="shared" ref="F729:G729" si="507">SUM(F616+F577+F465+F691)</f>
        <v>198551</v>
      </c>
      <c r="G729" s="754">
        <f t="shared" si="507"/>
        <v>250749</v>
      </c>
      <c r="H729" s="902">
        <f t="shared" ref="H729" si="508">SUM(H616+H577+H465+H691)</f>
        <v>249559</v>
      </c>
      <c r="I729" s="916">
        <f t="shared" si="489"/>
        <v>0.99525421836178807</v>
      </c>
    </row>
    <row r="730" spans="1:9">
      <c r="A730" s="920"/>
      <c r="B730" s="686" t="s">
        <v>148</v>
      </c>
      <c r="C730" s="754">
        <f t="shared" ref="C730:H730" si="509">SUM(C617+C578+C466+C654+C692)</f>
        <v>90020</v>
      </c>
      <c r="D730" s="754">
        <f t="shared" si="509"/>
        <v>90020</v>
      </c>
      <c r="E730" s="754">
        <f t="shared" si="509"/>
        <v>90020</v>
      </c>
      <c r="F730" s="754">
        <f t="shared" si="509"/>
        <v>96868</v>
      </c>
      <c r="G730" s="754">
        <f t="shared" si="509"/>
        <v>122305</v>
      </c>
      <c r="H730" s="902">
        <f t="shared" si="509"/>
        <v>122375</v>
      </c>
      <c r="I730" s="916">
        <f t="shared" si="489"/>
        <v>1.0005723396426964</v>
      </c>
    </row>
    <row r="731" spans="1:9">
      <c r="A731" s="920"/>
      <c r="B731" s="686" t="s">
        <v>274</v>
      </c>
      <c r="C731" s="754">
        <f>C579+C618+C655+C693</f>
        <v>18000</v>
      </c>
      <c r="D731" s="754">
        <f>D579+D618+D655+D693</f>
        <v>18000</v>
      </c>
      <c r="E731" s="754">
        <f>E467+E579+E618+E655+E693</f>
        <v>52357</v>
      </c>
      <c r="F731" s="754">
        <f>F467+F579+F618+F655+F693</f>
        <v>75977</v>
      </c>
      <c r="G731" s="754">
        <f>G467+G579+G618+G655+G693</f>
        <v>96890</v>
      </c>
      <c r="H731" s="902">
        <f>H467+H579+H618+H655+H693</f>
        <v>96890</v>
      </c>
      <c r="I731" s="916">
        <f t="shared" si="489"/>
        <v>1</v>
      </c>
    </row>
    <row r="732" spans="1:9">
      <c r="A732" s="920"/>
      <c r="B732" s="687" t="s">
        <v>351</v>
      </c>
      <c r="C732" s="754">
        <f t="shared" ref="C732" si="510">SUM(C619+C580+C468+C656+C694)</f>
        <v>0</v>
      </c>
      <c r="D732" s="754">
        <f t="shared" ref="D732:E732" si="511">SUM(D619+D580+D468+D656+D694)</f>
        <v>0</v>
      </c>
      <c r="E732" s="754">
        <f t="shared" si="511"/>
        <v>4</v>
      </c>
      <c r="F732" s="754">
        <f t="shared" ref="F732:G732" si="512">SUM(F619+F580+F468+F656+F694)</f>
        <v>4</v>
      </c>
      <c r="G732" s="754">
        <f t="shared" si="512"/>
        <v>92</v>
      </c>
      <c r="H732" s="902">
        <f>SUM(H619+H580+H468+H656+H694)</f>
        <v>96</v>
      </c>
      <c r="I732" s="916">
        <f t="shared" ref="I732:I733" si="513">H732/G732</f>
        <v>1.0434782608695652</v>
      </c>
    </row>
    <row r="733" spans="1:9">
      <c r="A733" s="920"/>
      <c r="B733" s="687" t="s">
        <v>1067</v>
      </c>
      <c r="C733" s="754">
        <f>C469+C581+C620+C657+C695</f>
        <v>0</v>
      </c>
      <c r="D733" s="754">
        <f t="shared" ref="D733:E733" si="514">D469+D581+D620+D657+D695</f>
        <v>0</v>
      </c>
      <c r="E733" s="754">
        <f t="shared" si="514"/>
        <v>296</v>
      </c>
      <c r="F733" s="754">
        <f t="shared" ref="F733:G733" si="515">F469+F581+F620+F657+F695</f>
        <v>296</v>
      </c>
      <c r="G733" s="754">
        <f t="shared" si="515"/>
        <v>376</v>
      </c>
      <c r="H733" s="902">
        <f t="shared" ref="H733" si="516">H469+H581+H620+H657+H695</f>
        <v>376</v>
      </c>
      <c r="I733" s="916">
        <f t="shared" si="513"/>
        <v>1</v>
      </c>
    </row>
    <row r="734" spans="1:9" ht="13.5" thickBot="1">
      <c r="A734" s="920"/>
      <c r="B734" s="688" t="s">
        <v>149</v>
      </c>
      <c r="C734" s="1428">
        <f t="shared" ref="C734" si="517">SUM(C621+C582+C470+C658+C696)</f>
        <v>27915</v>
      </c>
      <c r="D734" s="1428">
        <f>SUM(D621+D582+D470+D658+D696)</f>
        <v>27915</v>
      </c>
      <c r="E734" s="1428">
        <f>SUM(E621+E582+E470+E658+E696)</f>
        <v>43152</v>
      </c>
      <c r="F734" s="1428">
        <f>SUM(F621+F582+F470+F658+F696)</f>
        <v>49250</v>
      </c>
      <c r="G734" s="1428">
        <f>SUM(G621+G582+G470+G658+G696)</f>
        <v>66223</v>
      </c>
      <c r="H734" s="760">
        <f>SUM(H621+H582+H470+H658+H696)</f>
        <v>66224</v>
      </c>
      <c r="I734" s="1434">
        <f>H734/G734</f>
        <v>1.0000151004937861</v>
      </c>
    </row>
    <row r="735" spans="1:9" ht="13.5" thickBot="1">
      <c r="A735" s="920"/>
      <c r="B735" s="689" t="s">
        <v>270</v>
      </c>
      <c r="C735" s="771">
        <f>SUM(C725+C728+C729+C730+C733+C734+C731+C732+C724)</f>
        <v>608107</v>
      </c>
      <c r="D735" s="771">
        <f t="shared" ref="D735" si="518">SUM(D725+D728+D729+D730+D733+D734+D731+D732+D724)</f>
        <v>608222</v>
      </c>
      <c r="E735" s="771">
        <f>SUM(E725+E728+E729+E730+E733+E734+E731+E732+E724)</f>
        <v>696136</v>
      </c>
      <c r="F735" s="771">
        <f>SUM(F725+F728+F729+F730+F733+F734+F731+F732+F724)</f>
        <v>766951</v>
      </c>
      <c r="G735" s="771">
        <f>SUM(G725+G728+G729+G730+G733+G734+G731+G732+G724)</f>
        <v>908544</v>
      </c>
      <c r="H735" s="910">
        <f>SUM(H725+H728+H729+H730+H733+H734+H731+H732+H724)</f>
        <v>907503</v>
      </c>
      <c r="I735" s="1430">
        <f>H735/G735</f>
        <v>0.99885421069315306</v>
      </c>
    </row>
    <row r="736" spans="1:9" ht="13.5" thickBot="1">
      <c r="A736" s="920"/>
      <c r="B736" s="724" t="s">
        <v>176</v>
      </c>
      <c r="C736" s="771">
        <f t="shared" ref="C736:H736" si="519">C472+C584+C623+C660</f>
        <v>0</v>
      </c>
      <c r="D736" s="767">
        <f t="shared" si="519"/>
        <v>0</v>
      </c>
      <c r="E736" s="767">
        <f t="shared" si="519"/>
        <v>0</v>
      </c>
      <c r="F736" s="767">
        <f t="shared" si="519"/>
        <v>2800</v>
      </c>
      <c r="G736" s="767">
        <f t="shared" si="519"/>
        <v>2800</v>
      </c>
      <c r="H736" s="907">
        <f t="shared" si="519"/>
        <v>2800</v>
      </c>
      <c r="I736" s="1430">
        <f>H736/G736</f>
        <v>1</v>
      </c>
    </row>
    <row r="737" spans="1:9" ht="13.5" thickBot="1">
      <c r="A737" s="920"/>
      <c r="B737" s="691" t="s">
        <v>44</v>
      </c>
      <c r="C737" s="770">
        <f t="shared" ref="C737" si="520">SUM(C735+C723+C736)</f>
        <v>3249572</v>
      </c>
      <c r="D737" s="770">
        <f t="shared" ref="D737:E737" si="521">SUM(D735+D723+D736)</f>
        <v>3290387</v>
      </c>
      <c r="E737" s="770">
        <f t="shared" si="521"/>
        <v>3383301</v>
      </c>
      <c r="F737" s="770">
        <f t="shared" ref="F737:G737" si="522">SUM(F735+F723+F736)</f>
        <v>3472691</v>
      </c>
      <c r="G737" s="770">
        <f t="shared" si="522"/>
        <v>3661213</v>
      </c>
      <c r="H737" s="762">
        <f t="shared" ref="H737" si="523">SUM(H735+H723+H736)</f>
        <v>3660172</v>
      </c>
      <c r="I737" s="1430">
        <f>H737/G737</f>
        <v>0.99971566800401945</v>
      </c>
    </row>
    <row r="738" spans="1:9">
      <c r="A738" s="920"/>
      <c r="B738" s="723" t="s">
        <v>359</v>
      </c>
      <c r="C738" s="1463">
        <f t="shared" ref="C738:H738" si="524">SUM(C474)</f>
        <v>0</v>
      </c>
      <c r="D738" s="1463">
        <f t="shared" si="524"/>
        <v>0</v>
      </c>
      <c r="E738" s="1463">
        <f t="shared" si="524"/>
        <v>0</v>
      </c>
      <c r="F738" s="1463">
        <f t="shared" si="524"/>
        <v>1530</v>
      </c>
      <c r="G738" s="1463">
        <f t="shared" si="524"/>
        <v>1530</v>
      </c>
      <c r="H738" s="1464">
        <f t="shared" si="524"/>
        <v>1530</v>
      </c>
      <c r="I738" s="916">
        <f t="shared" ref="I738" si="525">H738/G738</f>
        <v>1</v>
      </c>
    </row>
    <row r="739" spans="1:9">
      <c r="A739" s="920"/>
      <c r="B739" s="729" t="s">
        <v>185</v>
      </c>
      <c r="C739" s="1463">
        <f t="shared" ref="C739:H739" si="526">C550</f>
        <v>0</v>
      </c>
      <c r="D739" s="1463">
        <f t="shared" si="526"/>
        <v>0</v>
      </c>
      <c r="E739" s="1463">
        <f t="shared" si="526"/>
        <v>0</v>
      </c>
      <c r="F739" s="1463">
        <f t="shared" si="526"/>
        <v>0</v>
      </c>
      <c r="G739" s="1463">
        <f t="shared" si="526"/>
        <v>0</v>
      </c>
      <c r="H739" s="1464">
        <f t="shared" si="526"/>
        <v>0</v>
      </c>
      <c r="I739" s="916"/>
    </row>
    <row r="740" spans="1:9" ht="13.5" thickBot="1">
      <c r="A740" s="920"/>
      <c r="B740" s="702" t="s">
        <v>188</v>
      </c>
      <c r="C740" s="768">
        <f t="shared" ref="C740:H740" si="527">C475+C625+C662+C700</f>
        <v>0</v>
      </c>
      <c r="D740" s="768">
        <f t="shared" si="527"/>
        <v>0</v>
      </c>
      <c r="E740" s="768">
        <f t="shared" si="527"/>
        <v>0</v>
      </c>
      <c r="F740" s="768">
        <f t="shared" si="527"/>
        <v>0</v>
      </c>
      <c r="G740" s="768">
        <f t="shared" si="527"/>
        <v>0</v>
      </c>
      <c r="H740" s="908">
        <f t="shared" si="527"/>
        <v>0</v>
      </c>
      <c r="I740" s="1434"/>
    </row>
    <row r="741" spans="1:9" ht="13.5" thickBot="1">
      <c r="A741" s="920"/>
      <c r="B741" s="700" t="s">
        <v>45</v>
      </c>
      <c r="C741" s="1465">
        <f t="shared" ref="C741" si="528">SUM(C738+C740)</f>
        <v>0</v>
      </c>
      <c r="D741" s="769">
        <f t="shared" ref="D741:E741" si="529">SUM(D738+D740)</f>
        <v>0</v>
      </c>
      <c r="E741" s="769">
        <f t="shared" si="529"/>
        <v>0</v>
      </c>
      <c r="F741" s="769">
        <f t="shared" ref="F741:G741" si="530">SUM(F738+F740)</f>
        <v>1530</v>
      </c>
      <c r="G741" s="769">
        <f t="shared" si="530"/>
        <v>1530</v>
      </c>
      <c r="H741" s="909">
        <f t="shared" ref="H741" si="531">SUM(H738+H740)</f>
        <v>1530</v>
      </c>
      <c r="I741" s="1430">
        <f>H741/G741</f>
        <v>1</v>
      </c>
    </row>
    <row r="742" spans="1:9">
      <c r="A742" s="920"/>
      <c r="B742" s="701" t="s">
        <v>327</v>
      </c>
      <c r="C742" s="1463">
        <f>C477+C588+C627+C665</f>
        <v>0</v>
      </c>
      <c r="D742" s="1463">
        <f>D477+D588+D627+D665</f>
        <v>59338</v>
      </c>
      <c r="E742" s="1463">
        <f>E477+E588+E627+E665+E703</f>
        <v>60967</v>
      </c>
      <c r="F742" s="1463">
        <f>F477+F588+F627+F665+F703</f>
        <v>60967</v>
      </c>
      <c r="G742" s="1463">
        <f>G477+G588+G627+G665+G703</f>
        <v>60967</v>
      </c>
      <c r="H742" s="1464">
        <f>H477+H588+H627+H665+H703</f>
        <v>60967</v>
      </c>
      <c r="I742" s="916">
        <f>H742/G742</f>
        <v>1</v>
      </c>
    </row>
    <row r="743" spans="1:9" ht="12" customHeight="1">
      <c r="A743" s="920"/>
      <c r="B743" s="721" t="s">
        <v>727</v>
      </c>
      <c r="C743" s="1463">
        <f t="shared" ref="C743:H743" si="532">C478+C589</f>
        <v>0</v>
      </c>
      <c r="D743" s="1463">
        <f t="shared" si="532"/>
        <v>0</v>
      </c>
      <c r="E743" s="1463">
        <f t="shared" si="532"/>
        <v>0</v>
      </c>
      <c r="F743" s="1463">
        <f t="shared" si="532"/>
        <v>0</v>
      </c>
      <c r="G743" s="1463">
        <f t="shared" si="532"/>
        <v>0</v>
      </c>
      <c r="H743" s="1464">
        <f t="shared" si="532"/>
        <v>0</v>
      </c>
      <c r="I743" s="916"/>
    </row>
    <row r="744" spans="1:9">
      <c r="A744" s="920"/>
      <c r="B744" s="721" t="s">
        <v>355</v>
      </c>
      <c r="C744" s="754">
        <f t="shared" ref="C744:H744" si="533">SUM(C628+C590+C479+C666+C704)</f>
        <v>8677395</v>
      </c>
      <c r="D744" s="754">
        <f t="shared" si="533"/>
        <v>9858544</v>
      </c>
      <c r="E744" s="754">
        <f t="shared" si="533"/>
        <v>9984729</v>
      </c>
      <c r="F744" s="754">
        <f t="shared" si="533"/>
        <v>10208165</v>
      </c>
      <c r="G744" s="754">
        <f t="shared" si="533"/>
        <v>10249786</v>
      </c>
      <c r="H744" s="902">
        <f t="shared" si="533"/>
        <v>9233925</v>
      </c>
      <c r="I744" s="916">
        <f t="shared" ref="I744:I757" si="534">H744/G744</f>
        <v>0.90088954052308989</v>
      </c>
    </row>
    <row r="745" spans="1:9" ht="13.5" thickBot="1">
      <c r="A745" s="920"/>
      <c r="B745" s="702" t="s">
        <v>358</v>
      </c>
      <c r="C745" s="766">
        <f t="shared" ref="C745:H745" si="535">SUM(C591+C480)</f>
        <v>743572</v>
      </c>
      <c r="D745" s="766">
        <f t="shared" si="535"/>
        <v>743572</v>
      </c>
      <c r="E745" s="766">
        <f t="shared" si="535"/>
        <v>743572</v>
      </c>
      <c r="F745" s="766">
        <f t="shared" si="535"/>
        <v>746212</v>
      </c>
      <c r="G745" s="766">
        <f t="shared" si="535"/>
        <v>746212</v>
      </c>
      <c r="H745" s="906">
        <f t="shared" si="535"/>
        <v>698402</v>
      </c>
      <c r="I745" s="1434">
        <f t="shared" si="534"/>
        <v>0.93592973578554084</v>
      </c>
    </row>
    <row r="746" spans="1:9" ht="13.5" thickBot="1">
      <c r="A746" s="920"/>
      <c r="B746" s="703" t="s">
        <v>38</v>
      </c>
      <c r="C746" s="769">
        <f t="shared" ref="C746" si="536">SUM(C742:C745)</f>
        <v>9420967</v>
      </c>
      <c r="D746" s="769">
        <f t="shared" ref="D746:E746" si="537">SUM(D742:D745)</f>
        <v>10661454</v>
      </c>
      <c r="E746" s="769">
        <f t="shared" si="537"/>
        <v>10789268</v>
      </c>
      <c r="F746" s="769">
        <f t="shared" ref="F746:G746" si="538">SUM(F742:F745)</f>
        <v>11015344</v>
      </c>
      <c r="G746" s="769">
        <f t="shared" si="538"/>
        <v>11056965</v>
      </c>
      <c r="H746" s="909">
        <f t="shared" ref="H746" si="539">SUM(H742:H745)</f>
        <v>9993294</v>
      </c>
      <c r="I746" s="1430">
        <f t="shared" si="534"/>
        <v>0.90380081695112535</v>
      </c>
    </row>
    <row r="747" spans="1:9" ht="13.5" thickBot="1">
      <c r="A747" s="920"/>
      <c r="B747" s="704" t="s">
        <v>327</v>
      </c>
      <c r="C747" s="768">
        <f t="shared" ref="C747:H747" si="540">C482+C593+C630+C668</f>
        <v>0</v>
      </c>
      <c r="D747" s="768">
        <f t="shared" si="540"/>
        <v>500</v>
      </c>
      <c r="E747" s="768">
        <f t="shared" si="540"/>
        <v>500</v>
      </c>
      <c r="F747" s="768">
        <f t="shared" si="540"/>
        <v>500</v>
      </c>
      <c r="G747" s="768">
        <f t="shared" si="540"/>
        <v>500</v>
      </c>
      <c r="H747" s="908">
        <f t="shared" si="540"/>
        <v>500</v>
      </c>
      <c r="I747" s="1441">
        <f t="shared" si="534"/>
        <v>1</v>
      </c>
    </row>
    <row r="748" spans="1:9" ht="13.5" thickBot="1">
      <c r="A748" s="920"/>
      <c r="B748" s="703" t="s">
        <v>40</v>
      </c>
      <c r="C748" s="769">
        <f t="shared" ref="C748" si="541">SUM(C747)</f>
        <v>0</v>
      </c>
      <c r="D748" s="769">
        <f t="shared" ref="D748:E748" si="542">SUM(D747)</f>
        <v>500</v>
      </c>
      <c r="E748" s="769">
        <f t="shared" si="542"/>
        <v>500</v>
      </c>
      <c r="F748" s="769">
        <f t="shared" ref="F748:G748" si="543">SUM(F747)</f>
        <v>500</v>
      </c>
      <c r="G748" s="769">
        <f t="shared" si="543"/>
        <v>500</v>
      </c>
      <c r="H748" s="909">
        <f t="shared" ref="H748" si="544">SUM(H747)</f>
        <v>500</v>
      </c>
      <c r="I748" s="1441">
        <f t="shared" si="534"/>
        <v>1</v>
      </c>
    </row>
    <row r="749" spans="1:9" ht="15.75" thickBot="1">
      <c r="A749" s="920"/>
      <c r="B749" s="705" t="s">
        <v>49</v>
      </c>
      <c r="C749" s="771">
        <f t="shared" ref="C749" si="545">SUM(C737+C741+C746+C748)</f>
        <v>12670539</v>
      </c>
      <c r="D749" s="767">
        <f t="shared" ref="D749:E749" si="546">SUM(D737+D741+D746+D748)</f>
        <v>13952341</v>
      </c>
      <c r="E749" s="767">
        <f t="shared" si="546"/>
        <v>14173069</v>
      </c>
      <c r="F749" s="767">
        <f t="shared" ref="F749:G749" si="547">SUM(F737+F741+F746+F748)</f>
        <v>14490065</v>
      </c>
      <c r="G749" s="767">
        <f t="shared" si="547"/>
        <v>14720208</v>
      </c>
      <c r="H749" s="907">
        <f t="shared" ref="H749" si="548">SUM(H737+H741+H746+H748)</f>
        <v>13655496</v>
      </c>
      <c r="I749" s="1430">
        <f t="shared" si="534"/>
        <v>0.92767004379285944</v>
      </c>
    </row>
    <row r="750" spans="1:9">
      <c r="A750" s="920"/>
      <c r="B750" s="706" t="s">
        <v>251</v>
      </c>
      <c r="C750" s="754">
        <f t="shared" ref="C750" si="549">SUM(C633+C596+C485+C671+C709)</f>
        <v>7696816</v>
      </c>
      <c r="D750" s="754">
        <f t="shared" ref="D750:E750" si="550">SUM(D633+D596+D485+D671+D709)</f>
        <v>7804978</v>
      </c>
      <c r="E750" s="754">
        <f t="shared" si="550"/>
        <v>7909916</v>
      </c>
      <c r="F750" s="754">
        <f t="shared" ref="F750:G750" si="551">SUM(F633+F596+F485+F671+F709)</f>
        <v>8143069</v>
      </c>
      <c r="G750" s="754">
        <f t="shared" si="551"/>
        <v>8142837</v>
      </c>
      <c r="H750" s="902">
        <f t="shared" ref="H750" si="552">SUM(H633+H596+H485+H671+H709)</f>
        <v>8046165</v>
      </c>
      <c r="I750" s="916">
        <f t="shared" si="534"/>
        <v>0.98812797063234836</v>
      </c>
    </row>
    <row r="751" spans="1:9">
      <c r="A751" s="920"/>
      <c r="B751" s="706" t="s">
        <v>252</v>
      </c>
      <c r="C751" s="754">
        <f t="shared" ref="C751" si="553">SUM(C634+C597+C486+C672+C710)</f>
        <v>950917</v>
      </c>
      <c r="D751" s="754">
        <f t="shared" ref="D751:E751" si="554">SUM(D634+D597+D486+D672+D710)</f>
        <v>984539</v>
      </c>
      <c r="E751" s="754">
        <f t="shared" si="554"/>
        <v>998398</v>
      </c>
      <c r="F751" s="754">
        <f t="shared" ref="F751:G751" si="555">SUM(F634+F597+F486+F672+F710)</f>
        <v>1030169</v>
      </c>
      <c r="G751" s="754">
        <f t="shared" si="555"/>
        <v>1036682</v>
      </c>
      <c r="H751" s="902">
        <f t="shared" ref="H751" si="556">SUM(H634+H597+H486+H672+H710)</f>
        <v>971608</v>
      </c>
      <c r="I751" s="916">
        <f t="shared" si="534"/>
        <v>0.93722858118497288</v>
      </c>
    </row>
    <row r="752" spans="1:9">
      <c r="A752" s="920"/>
      <c r="B752" s="706" t="s">
        <v>253</v>
      </c>
      <c r="C752" s="754">
        <f t="shared" ref="C752" si="557">SUM(C635+C598+C487+C673+C711)</f>
        <v>3255076</v>
      </c>
      <c r="D752" s="754">
        <f t="shared" ref="D752:E752" si="558">SUM(D635+D598+D487+D673+D711)</f>
        <v>3853876</v>
      </c>
      <c r="E752" s="754">
        <f t="shared" si="558"/>
        <v>3921523</v>
      </c>
      <c r="F752" s="754">
        <f t="shared" ref="F752:G752" si="559">SUM(F635+F598+F487+F673+F711)</f>
        <v>3977307</v>
      </c>
      <c r="G752" s="754">
        <f t="shared" si="559"/>
        <v>4180554</v>
      </c>
      <c r="H752" s="902">
        <f t="shared" ref="H752" si="560">SUM(H635+H598+H487+H673+H711)</f>
        <v>3319470</v>
      </c>
      <c r="I752" s="916">
        <f t="shared" si="534"/>
        <v>0.79402634196329003</v>
      </c>
    </row>
    <row r="753" spans="1:9">
      <c r="A753" s="920"/>
      <c r="B753" s="707" t="s">
        <v>255</v>
      </c>
      <c r="C753" s="754">
        <f t="shared" ref="C753:H753" si="561">SUM(C561+C712)</f>
        <v>345</v>
      </c>
      <c r="D753" s="754">
        <f t="shared" si="561"/>
        <v>345</v>
      </c>
      <c r="E753" s="754">
        <f t="shared" si="561"/>
        <v>345</v>
      </c>
      <c r="F753" s="754">
        <f t="shared" si="561"/>
        <v>345</v>
      </c>
      <c r="G753" s="754">
        <f t="shared" si="561"/>
        <v>345</v>
      </c>
      <c r="H753" s="902">
        <f t="shared" si="561"/>
        <v>252</v>
      </c>
      <c r="I753" s="916">
        <f t="shared" si="534"/>
        <v>0.73043478260869565</v>
      </c>
    </row>
    <row r="754" spans="1:9" ht="13.5" thickBot="1">
      <c r="A754" s="920"/>
      <c r="B754" s="708" t="s">
        <v>254</v>
      </c>
      <c r="C754" s="754">
        <f t="shared" ref="C754:H754" si="562">SUM(C637+C600+C489)</f>
        <v>0</v>
      </c>
      <c r="D754" s="754">
        <f t="shared" si="562"/>
        <v>69</v>
      </c>
      <c r="E754" s="754">
        <f t="shared" si="562"/>
        <v>971</v>
      </c>
      <c r="F754" s="754">
        <f t="shared" si="562"/>
        <v>971</v>
      </c>
      <c r="G754" s="754">
        <f t="shared" si="562"/>
        <v>971</v>
      </c>
      <c r="H754" s="902">
        <f t="shared" si="562"/>
        <v>971</v>
      </c>
      <c r="I754" s="1434">
        <f t="shared" si="534"/>
        <v>1</v>
      </c>
    </row>
    <row r="755" spans="1:9" ht="13.5" thickBot="1">
      <c r="A755" s="920"/>
      <c r="B755" s="709" t="s">
        <v>37</v>
      </c>
      <c r="C755" s="771">
        <f t="shared" ref="C755" si="563">SUM(C750:C754)</f>
        <v>11903154</v>
      </c>
      <c r="D755" s="771">
        <f t="shared" ref="D755:E755" si="564">SUM(D750:D754)</f>
        <v>12643807</v>
      </c>
      <c r="E755" s="771">
        <f t="shared" si="564"/>
        <v>12831153</v>
      </c>
      <c r="F755" s="771">
        <f t="shared" ref="F755:G755" si="565">SUM(F750:F754)</f>
        <v>13151861</v>
      </c>
      <c r="G755" s="771">
        <f t="shared" si="565"/>
        <v>13361389</v>
      </c>
      <c r="H755" s="910">
        <f t="shared" ref="H755" si="566">SUM(H750:H754)</f>
        <v>12338466</v>
      </c>
      <c r="I755" s="1430">
        <f t="shared" si="534"/>
        <v>0.92344186671011519</v>
      </c>
    </row>
    <row r="756" spans="1:9">
      <c r="A756" s="920"/>
      <c r="B756" s="706" t="s">
        <v>195</v>
      </c>
      <c r="C756" s="754">
        <f t="shared" ref="C756:H756" si="567">SUM(C491+C602+C640+C677+C715)</f>
        <v>348171</v>
      </c>
      <c r="D756" s="754">
        <f t="shared" si="567"/>
        <v>657889</v>
      </c>
      <c r="E756" s="754">
        <f t="shared" si="567"/>
        <v>648910</v>
      </c>
      <c r="F756" s="754">
        <f t="shared" si="567"/>
        <v>579543</v>
      </c>
      <c r="G756" s="754">
        <f t="shared" si="567"/>
        <v>667323</v>
      </c>
      <c r="H756" s="902">
        <f t="shared" si="567"/>
        <v>465195</v>
      </c>
      <c r="I756" s="916">
        <f t="shared" si="534"/>
        <v>0.69710619894713655</v>
      </c>
    </row>
    <row r="757" spans="1:9">
      <c r="A757" s="920"/>
      <c r="B757" s="706" t="s">
        <v>196</v>
      </c>
      <c r="C757" s="754">
        <f t="shared" ref="C757:G757" si="568">SUM(C641+C603+C492+C716)</f>
        <v>419214</v>
      </c>
      <c r="D757" s="754">
        <f t="shared" si="568"/>
        <v>650645</v>
      </c>
      <c r="E757" s="754">
        <f t="shared" si="568"/>
        <v>693006</v>
      </c>
      <c r="F757" s="754">
        <f t="shared" si="568"/>
        <v>758661</v>
      </c>
      <c r="G757" s="754">
        <f t="shared" si="568"/>
        <v>691496</v>
      </c>
      <c r="H757" s="902">
        <f>SUM(H641+H603+H492+H716)</f>
        <v>398709</v>
      </c>
      <c r="I757" s="916">
        <f t="shared" si="534"/>
        <v>0.57658901859157541</v>
      </c>
    </row>
    <row r="758" spans="1:9" ht="13.5" thickBot="1">
      <c r="A758" s="920"/>
      <c r="B758" s="708" t="s">
        <v>336</v>
      </c>
      <c r="C758" s="766"/>
      <c r="D758" s="766"/>
      <c r="E758" s="766"/>
      <c r="F758" s="766"/>
      <c r="G758" s="766"/>
      <c r="H758" s="906"/>
      <c r="I758" s="1434"/>
    </row>
    <row r="759" spans="1:9" ht="13.5" thickBot="1">
      <c r="A759" s="920"/>
      <c r="B759" s="710" t="s">
        <v>43</v>
      </c>
      <c r="C759" s="771">
        <f t="shared" ref="C759" si="569">SUM(C756:C758)</f>
        <v>767385</v>
      </c>
      <c r="D759" s="767">
        <f t="shared" ref="D759:E759" si="570">SUM(D756:D758)</f>
        <v>1308534</v>
      </c>
      <c r="E759" s="767">
        <f t="shared" si="570"/>
        <v>1341916</v>
      </c>
      <c r="F759" s="767">
        <f t="shared" ref="F759:G759" si="571">SUM(F756:F758)</f>
        <v>1338204</v>
      </c>
      <c r="G759" s="767">
        <f t="shared" si="571"/>
        <v>1358819</v>
      </c>
      <c r="H759" s="907">
        <f t="shared" ref="H759" si="572">SUM(H756:H758)</f>
        <v>863904</v>
      </c>
      <c r="I759" s="1430">
        <f>H759/G759</f>
        <v>0.63577562574559232</v>
      </c>
    </row>
    <row r="760" spans="1:9" ht="15.75" thickBot="1">
      <c r="A760" s="921"/>
      <c r="B760" s="711" t="s">
        <v>81</v>
      </c>
      <c r="C760" s="771">
        <f t="shared" ref="C760" si="573">SUM(C755+C759)</f>
        <v>12670539</v>
      </c>
      <c r="D760" s="767">
        <f t="shared" ref="D760:E760" si="574">SUM(D755+D759)</f>
        <v>13952341</v>
      </c>
      <c r="E760" s="767">
        <f t="shared" si="574"/>
        <v>14173069</v>
      </c>
      <c r="F760" s="767">
        <f t="shared" ref="F760:G760" si="575">SUM(F755+F759)</f>
        <v>14490065</v>
      </c>
      <c r="G760" s="767">
        <f t="shared" si="575"/>
        <v>14720208</v>
      </c>
      <c r="H760" s="907">
        <f t="shared" ref="H760" si="576">SUM(H755+H759)</f>
        <v>13202370</v>
      </c>
      <c r="I760" s="1430">
        <f>H760/G760</f>
        <v>0.89688746245976958</v>
      </c>
    </row>
  </sheetData>
  <mergeCells count="11">
    <mergeCell ref="A2:I2"/>
    <mergeCell ref="I5:I7"/>
    <mergeCell ref="A1:I1"/>
    <mergeCell ref="B5:B7"/>
    <mergeCell ref="A5:A7"/>
    <mergeCell ref="C5:C7"/>
    <mergeCell ref="D5:D7"/>
    <mergeCell ref="E5:E7"/>
    <mergeCell ref="F5:F7"/>
    <mergeCell ref="G5:G7"/>
    <mergeCell ref="H5:H7"/>
  </mergeCells>
  <phoneticPr fontId="3" type="noConversion"/>
  <printOptions horizontalCentered="1" verticalCentered="1"/>
  <pageMargins left="0" right="0" top="0.98425196850393704" bottom="0.70866141732283472" header="0.31496062992125984" footer="0.51181102362204722"/>
  <pageSetup paperSize="9" scale="63" firstPageNumber="11" orientation="portrait" useFirstPageNumber="1" r:id="rId1"/>
  <headerFooter alignWithMargins="0">
    <oddFooter>&amp;P. oldal</oddFooter>
  </headerFooter>
  <rowBreaks count="11" manualBreakCount="11">
    <brk id="77" max="16383" man="1"/>
    <brk id="146" max="16383" man="1"/>
    <brk id="214" max="16383" man="1"/>
    <brk id="282" max="16383" man="1"/>
    <brk id="351" max="16383" man="1"/>
    <brk id="414" max="5" man="1"/>
    <brk id="456" max="16383" man="1"/>
    <brk id="495" max="16383" man="1"/>
    <brk id="568" max="16383" man="1"/>
    <brk id="644" max="16383" man="1"/>
    <brk id="71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3793" r:id="rId4" name="Button 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4" r:id="rId5" name="Button 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5" r:id="rId6" name="Button 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6" r:id="rId7" name="Button 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7" r:id="rId8" name="Button 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8" r:id="rId9" name="Button 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9" r:id="rId10" name="Button 7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0" r:id="rId11" name="Button 8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1" r:id="rId12" name="Button 9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2" r:id="rId13" name="Button 10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3" r:id="rId14" name="Button 11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4" r:id="rId15" name="Button 12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5" r:id="rId16" name="Button 13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6" r:id="rId17" name="Button 14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7" r:id="rId18" name="Button 15">
              <controlPr defaultSize="0" print="0" autoFill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8" r:id="rId19" name="Button 16">
              <controlPr defaultSize="0" print="0" autoFill="0" autoLine="0" autoPict="0" macro="[7]!run">
                <anchor moveWithCells="1">
                  <from>
                    <xdr:col>0</xdr:col>
                    <xdr:colOff>85725</xdr:colOff>
                    <xdr:row>0</xdr:row>
                    <xdr:rowOff>38100</xdr:rowOff>
                  </from>
                  <to>
                    <xdr:col>0</xdr:col>
                    <xdr:colOff>247650</xdr:colOff>
                    <xdr:row>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6"/>
  <sheetViews>
    <sheetView topLeftCell="A34" zoomScaleNormal="100" zoomScaleSheetLayoutView="100" workbookViewId="0">
      <selection activeCell="H66" sqref="H66"/>
    </sheetView>
  </sheetViews>
  <sheetFormatPr defaultColWidth="9.140625" defaultRowHeight="12"/>
  <cols>
    <col min="1" max="1" width="6.85546875" style="25" customWidth="1"/>
    <col min="2" max="2" width="50.140625" style="21" customWidth="1"/>
    <col min="3" max="8" width="11.28515625" style="21" customWidth="1"/>
    <col min="9" max="9" width="9" style="21" bestFit="1" customWidth="1"/>
    <col min="10" max="16384" width="9.140625" style="21"/>
  </cols>
  <sheetData>
    <row r="1" spans="1:10" ht="12.75">
      <c r="A1" s="1778" t="s">
        <v>1126</v>
      </c>
      <c r="B1" s="1779"/>
      <c r="C1" s="1780"/>
      <c r="D1" s="1780"/>
      <c r="E1" s="1780"/>
      <c r="F1" s="1780"/>
      <c r="G1" s="1780"/>
      <c r="H1" s="1780"/>
      <c r="I1" s="1780"/>
    </row>
    <row r="2" spans="1:10" ht="12.75">
      <c r="A2" s="1778" t="s">
        <v>961</v>
      </c>
      <c r="B2" s="1779"/>
      <c r="C2" s="1780"/>
      <c r="D2" s="1780"/>
      <c r="E2" s="1780"/>
      <c r="F2" s="1780"/>
      <c r="G2" s="1780"/>
      <c r="H2" s="1780"/>
      <c r="I2" s="1780"/>
    </row>
    <row r="3" spans="1:10" ht="16.899999999999999" customHeight="1" thickBot="1">
      <c r="A3" s="400"/>
      <c r="C3" s="38"/>
      <c r="D3" s="38"/>
      <c r="E3" s="38"/>
      <c r="F3" s="38"/>
      <c r="G3" s="38"/>
      <c r="H3" s="38"/>
      <c r="I3" s="1401" t="s">
        <v>1353</v>
      </c>
    </row>
    <row r="4" spans="1:10" s="11" customFormat="1" ht="11.45" customHeight="1">
      <c r="A4" s="896"/>
      <c r="B4" s="897"/>
      <c r="C4" s="1750" t="s">
        <v>1017</v>
      </c>
      <c r="D4" s="1750" t="s">
        <v>1061</v>
      </c>
      <c r="E4" s="1750" t="s">
        <v>1084</v>
      </c>
      <c r="F4" s="1750" t="s">
        <v>1090</v>
      </c>
      <c r="G4" s="1750" t="s">
        <v>1120</v>
      </c>
      <c r="H4" s="1750" t="s">
        <v>1121</v>
      </c>
      <c r="I4" s="1761" t="s">
        <v>1122</v>
      </c>
    </row>
    <row r="5" spans="1:10" s="11" customFormat="1" ht="12" customHeight="1">
      <c r="A5" s="819" t="s">
        <v>217</v>
      </c>
      <c r="B5" s="128" t="s">
        <v>226</v>
      </c>
      <c r="C5" s="1765"/>
      <c r="D5" s="1765"/>
      <c r="E5" s="1765"/>
      <c r="F5" s="1767"/>
      <c r="G5" s="1767"/>
      <c r="H5" s="1767"/>
      <c r="I5" s="1762"/>
    </row>
    <row r="6" spans="1:10" s="11" customFormat="1" ht="12.75" customHeight="1" thickBot="1">
      <c r="A6" s="898"/>
      <c r="B6" s="129"/>
      <c r="C6" s="1766"/>
      <c r="D6" s="1766"/>
      <c r="E6" s="1766"/>
      <c r="F6" s="1751"/>
      <c r="G6" s="1751"/>
      <c r="H6" s="1751"/>
      <c r="I6" s="1763"/>
    </row>
    <row r="7" spans="1:10" s="11" customFormat="1" ht="12" customHeight="1" thickBot="1">
      <c r="A7" s="451" t="s">
        <v>120</v>
      </c>
      <c r="B7" s="824" t="s">
        <v>121</v>
      </c>
      <c r="C7" s="134" t="s">
        <v>122</v>
      </c>
      <c r="D7" s="134" t="s">
        <v>419</v>
      </c>
      <c r="E7" s="476" t="s">
        <v>420</v>
      </c>
      <c r="F7" s="476" t="s">
        <v>429</v>
      </c>
      <c r="G7" s="476" t="s">
        <v>455</v>
      </c>
      <c r="H7" s="407" t="s">
        <v>378</v>
      </c>
      <c r="I7" s="475" t="s">
        <v>379</v>
      </c>
    </row>
    <row r="8" spans="1:10" ht="12" customHeight="1">
      <c r="A8" s="819">
        <v>3010</v>
      </c>
      <c r="B8" s="135" t="s">
        <v>30</v>
      </c>
      <c r="C8" s="130">
        <f t="shared" ref="C8:D8" si="0">SUM(C18)</f>
        <v>68450</v>
      </c>
      <c r="D8" s="130">
        <f t="shared" si="0"/>
        <v>71403</v>
      </c>
      <c r="E8" s="130">
        <f t="shared" ref="E8:F8" si="1">SUM(E18)</f>
        <v>71403</v>
      </c>
      <c r="F8" s="130">
        <f t="shared" si="1"/>
        <v>88903</v>
      </c>
      <c r="G8" s="130">
        <f t="shared" ref="G8:H8" si="2">SUM(G18)</f>
        <v>88903</v>
      </c>
      <c r="H8" s="130">
        <f t="shared" si="2"/>
        <v>69741</v>
      </c>
      <c r="I8" s="1490">
        <f>H8/G8</f>
        <v>0.78446171670247344</v>
      </c>
    </row>
    <row r="9" spans="1:10" ht="12" customHeight="1">
      <c r="A9" s="838">
        <v>3011</v>
      </c>
      <c r="B9" s="131" t="s">
        <v>83</v>
      </c>
      <c r="C9" s="130"/>
      <c r="D9" s="130"/>
      <c r="E9" s="130"/>
      <c r="F9" s="130"/>
      <c r="G9" s="130"/>
      <c r="H9" s="130"/>
      <c r="I9" s="1287"/>
    </row>
    <row r="10" spans="1:10" ht="12" customHeight="1">
      <c r="A10" s="840"/>
      <c r="B10" s="26" t="s">
        <v>84</v>
      </c>
      <c r="C10" s="127">
        <v>3000</v>
      </c>
      <c r="D10" s="127">
        <f>3000+494</f>
        <v>3494</v>
      </c>
      <c r="E10" s="127">
        <f>3494+2000</f>
        <v>5494</v>
      </c>
      <c r="F10" s="127">
        <f>3494+2000</f>
        <v>5494</v>
      </c>
      <c r="G10" s="127">
        <f>3494+2000</f>
        <v>5494</v>
      </c>
      <c r="H10" s="127">
        <v>4436</v>
      </c>
      <c r="I10" s="1491">
        <f>H10/G10</f>
        <v>0.8074262832180561</v>
      </c>
    </row>
    <row r="11" spans="1:10" ht="12" customHeight="1">
      <c r="A11" s="840"/>
      <c r="B11" s="3" t="s">
        <v>231</v>
      </c>
      <c r="C11" s="127">
        <v>450</v>
      </c>
      <c r="D11" s="127">
        <f>450+25</f>
        <v>475</v>
      </c>
      <c r="E11" s="127">
        <f>475+260</f>
        <v>735</v>
      </c>
      <c r="F11" s="127">
        <f>475+260</f>
        <v>735</v>
      </c>
      <c r="G11" s="127">
        <f>475+260</f>
        <v>735</v>
      </c>
      <c r="H11" s="127">
        <v>662</v>
      </c>
      <c r="I11" s="1491">
        <f>H11/G11</f>
        <v>0.90068027210884349</v>
      </c>
    </row>
    <row r="12" spans="1:10" ht="12" customHeight="1">
      <c r="A12" s="847"/>
      <c r="B12" s="132" t="s">
        <v>222</v>
      </c>
      <c r="C12" s="127">
        <v>16000</v>
      </c>
      <c r="D12" s="127">
        <f>16000+2434</f>
        <v>18434</v>
      </c>
      <c r="E12" s="127">
        <f>18434-2260</f>
        <v>16174</v>
      </c>
      <c r="F12" s="127">
        <f>18434-2260</f>
        <v>16174</v>
      </c>
      <c r="G12" s="127">
        <f>18434-2260</f>
        <v>16174</v>
      </c>
      <c r="H12" s="127">
        <v>6014</v>
      </c>
      <c r="I12" s="1491">
        <f>H12/G12</f>
        <v>0.37183133424013848</v>
      </c>
    </row>
    <row r="13" spans="1:10" ht="12" customHeight="1">
      <c r="A13" s="840"/>
      <c r="B13" s="4" t="s">
        <v>89</v>
      </c>
      <c r="C13" s="127"/>
      <c r="D13" s="127"/>
      <c r="E13" s="127"/>
      <c r="F13" s="127"/>
      <c r="G13" s="127"/>
      <c r="H13" s="127"/>
      <c r="I13" s="1491"/>
    </row>
    <row r="14" spans="1:10" ht="12" customHeight="1">
      <c r="A14" s="840"/>
      <c r="B14" s="592" t="s">
        <v>228</v>
      </c>
      <c r="C14" s="675"/>
      <c r="D14" s="675"/>
      <c r="E14" s="675"/>
      <c r="F14" s="675"/>
      <c r="G14" s="675"/>
      <c r="H14" s="675"/>
      <c r="I14" s="1492"/>
    </row>
    <row r="15" spans="1:10" ht="12" customHeight="1">
      <c r="A15" s="847"/>
      <c r="B15" s="590" t="s">
        <v>197</v>
      </c>
      <c r="C15" s="676">
        <v>13000</v>
      </c>
      <c r="D15" s="676">
        <v>13000</v>
      </c>
      <c r="E15" s="676">
        <v>13000</v>
      </c>
      <c r="F15" s="676">
        <f>13000+2000</f>
        <v>15000</v>
      </c>
      <c r="G15" s="164">
        <f>13000+2000-4000</f>
        <v>11000</v>
      </c>
      <c r="H15" s="164">
        <v>3260</v>
      </c>
      <c r="I15" s="1492">
        <f>H15/G15</f>
        <v>0.29636363636363638</v>
      </c>
      <c r="J15" s="751"/>
    </row>
    <row r="16" spans="1:10" ht="12" customHeight="1">
      <c r="A16" s="847"/>
      <c r="B16" s="660" t="s">
        <v>198</v>
      </c>
      <c r="C16" s="675">
        <v>36000</v>
      </c>
      <c r="D16" s="675">
        <v>36000</v>
      </c>
      <c r="E16" s="675">
        <v>36000</v>
      </c>
      <c r="F16" s="675">
        <f>36000+15500</f>
        <v>51500</v>
      </c>
      <c r="G16" s="775">
        <f>36000+15500+4000</f>
        <v>55500</v>
      </c>
      <c r="H16" s="775">
        <v>55369</v>
      </c>
      <c r="I16" s="1492">
        <f>H16/G16</f>
        <v>0.99763963963963964</v>
      </c>
      <c r="J16" s="751"/>
    </row>
    <row r="17" spans="1:10" ht="12" customHeight="1" thickBot="1">
      <c r="A17" s="840"/>
      <c r="B17" s="516" t="s">
        <v>213</v>
      </c>
      <c r="C17" s="677"/>
      <c r="D17" s="677"/>
      <c r="E17" s="677"/>
      <c r="F17" s="677"/>
      <c r="G17" s="677"/>
      <c r="H17" s="677"/>
      <c r="I17" s="1493"/>
      <c r="J17" s="12"/>
    </row>
    <row r="18" spans="1:10" ht="12" customHeight="1" thickBot="1">
      <c r="A18" s="898"/>
      <c r="B18" s="610" t="s">
        <v>97</v>
      </c>
      <c r="C18" s="678">
        <f t="shared" ref="C18:D18" si="3">SUM(C10:C17)</f>
        <v>68450</v>
      </c>
      <c r="D18" s="678">
        <f t="shared" si="3"/>
        <v>71403</v>
      </c>
      <c r="E18" s="679">
        <f t="shared" ref="E18:F18" si="4">SUM(E10:E17)</f>
        <v>71403</v>
      </c>
      <c r="F18" s="680">
        <f t="shared" si="4"/>
        <v>88903</v>
      </c>
      <c r="G18" s="680">
        <f t="shared" ref="G18:H18" si="5">SUM(G10:G17)</f>
        <v>88903</v>
      </c>
      <c r="H18" s="680">
        <f t="shared" si="5"/>
        <v>69741</v>
      </c>
      <c r="I18" s="681">
        <f>H18/G18</f>
        <v>0.78446171670247344</v>
      </c>
      <c r="J18" s="12"/>
    </row>
    <row r="19" spans="1:10" s="11" customFormat="1" ht="12" customHeight="1">
      <c r="A19" s="896">
        <v>3020</v>
      </c>
      <c r="B19" s="603" t="s">
        <v>62</v>
      </c>
      <c r="C19" s="682">
        <f t="shared" ref="C19:H19" si="6">SUM(C29+C49)</f>
        <v>3832608</v>
      </c>
      <c r="D19" s="682">
        <f t="shared" si="6"/>
        <v>4269039</v>
      </c>
      <c r="E19" s="682">
        <f t="shared" si="6"/>
        <v>4269039</v>
      </c>
      <c r="F19" s="682">
        <f t="shared" si="6"/>
        <v>4486343</v>
      </c>
      <c r="G19" s="682">
        <f t="shared" si="6"/>
        <v>4507658</v>
      </c>
      <c r="H19" s="682">
        <f t="shared" si="6"/>
        <v>4029893</v>
      </c>
      <c r="I19" s="1494">
        <f>H19/G19</f>
        <v>0.89401037079565482</v>
      </c>
      <c r="J19" s="12"/>
    </row>
    <row r="20" spans="1:10" s="11" customFormat="1" ht="12" customHeight="1">
      <c r="A20" s="819">
        <v>3021</v>
      </c>
      <c r="B20" s="683" t="s">
        <v>281</v>
      </c>
      <c r="C20" s="682"/>
      <c r="D20" s="682"/>
      <c r="E20" s="682"/>
      <c r="F20" s="682"/>
      <c r="G20" s="682"/>
      <c r="H20" s="682"/>
      <c r="I20" s="1495"/>
      <c r="J20" s="12"/>
    </row>
    <row r="21" spans="1:10" ht="12" customHeight="1">
      <c r="A21" s="840"/>
      <c r="B21" s="590" t="s">
        <v>84</v>
      </c>
      <c r="C21" s="591">
        <v>2560391</v>
      </c>
      <c r="D21" s="591">
        <f>2560391+101600</f>
        <v>2661991</v>
      </c>
      <c r="E21" s="591">
        <f>2560391+101600</f>
        <v>2661991</v>
      </c>
      <c r="F21" s="591">
        <f>2560391+101600+210000</f>
        <v>2871991</v>
      </c>
      <c r="G21" s="127">
        <f>2560391+101600+210000+13600+988+17874</f>
        <v>2904453</v>
      </c>
      <c r="H21" s="127">
        <f>2780664+988+17874</f>
        <v>2799526</v>
      </c>
      <c r="I21" s="1492">
        <f>H21/G21</f>
        <v>0.96387374834435258</v>
      </c>
      <c r="J21" s="751"/>
    </row>
    <row r="22" spans="1:10" ht="12" customHeight="1">
      <c r="A22" s="840"/>
      <c r="B22" s="592" t="s">
        <v>231</v>
      </c>
      <c r="C22" s="591">
        <v>383879</v>
      </c>
      <c r="D22" s="591">
        <f>383879+30181</f>
        <v>414060</v>
      </c>
      <c r="E22" s="591">
        <f>383879+30181</f>
        <v>414060</v>
      </c>
      <c r="F22" s="591">
        <f>383879+30181+24804</f>
        <v>438864</v>
      </c>
      <c r="G22" s="127">
        <f>383879+30181+24804+11000+129+2324</f>
        <v>452317</v>
      </c>
      <c r="H22" s="127">
        <f>400732+129+2323</f>
        <v>403184</v>
      </c>
      <c r="I22" s="1492">
        <f>H22/G22</f>
        <v>0.89137485436099018</v>
      </c>
      <c r="J22" s="751"/>
    </row>
    <row r="23" spans="1:10" ht="12" customHeight="1">
      <c r="A23" s="847"/>
      <c r="B23" s="593" t="s">
        <v>222</v>
      </c>
      <c r="C23" s="676">
        <v>490000</v>
      </c>
      <c r="D23" s="676">
        <f>490000+81222+93479</f>
        <v>664701</v>
      </c>
      <c r="E23" s="676">
        <f>490000+81222+93479</f>
        <v>664701</v>
      </c>
      <c r="F23" s="676">
        <f>490000+81222+93479-48175</f>
        <v>616526</v>
      </c>
      <c r="G23" s="164">
        <f>490000+81222+93479-48175+24000</f>
        <v>640526</v>
      </c>
      <c r="H23" s="164">
        <v>505386</v>
      </c>
      <c r="I23" s="1492">
        <f>H23/G23</f>
        <v>0.78901715152858742</v>
      </c>
      <c r="J23" s="751"/>
    </row>
    <row r="24" spans="1:10" ht="12" customHeight="1">
      <c r="A24" s="840"/>
      <c r="B24" s="594" t="s">
        <v>89</v>
      </c>
      <c r="C24" s="676"/>
      <c r="D24" s="676"/>
      <c r="E24" s="676"/>
      <c r="F24" s="676"/>
      <c r="G24" s="676"/>
      <c r="H24" s="676"/>
      <c r="I24" s="1492"/>
      <c r="J24" s="499"/>
    </row>
    <row r="25" spans="1:10" ht="12" customHeight="1">
      <c r="A25" s="840"/>
      <c r="B25" s="592" t="s">
        <v>228</v>
      </c>
      <c r="C25" s="676"/>
      <c r="D25" s="676"/>
      <c r="E25" s="676"/>
      <c r="F25" s="676"/>
      <c r="G25" s="676"/>
      <c r="H25" s="676"/>
      <c r="I25" s="1492"/>
      <c r="J25" s="499"/>
    </row>
    <row r="26" spans="1:10" ht="12" customHeight="1">
      <c r="A26" s="847"/>
      <c r="B26" s="590" t="s">
        <v>197</v>
      </c>
      <c r="C26" s="591">
        <v>150000</v>
      </c>
      <c r="D26" s="591">
        <f>150000+2026</f>
        <v>152026</v>
      </c>
      <c r="E26" s="591">
        <f>150000+2026</f>
        <v>152026</v>
      </c>
      <c r="F26" s="591">
        <f>150000+2026-2000</f>
        <v>150026</v>
      </c>
      <c r="G26" s="127">
        <f>150000+2026-2000-61700</f>
        <v>88326</v>
      </c>
      <c r="H26" s="127">
        <v>38424</v>
      </c>
      <c r="I26" s="1492">
        <f>H26/G26</f>
        <v>0.43502479451124243</v>
      </c>
      <c r="J26" s="751"/>
    </row>
    <row r="27" spans="1:10" ht="12" customHeight="1">
      <c r="A27" s="847"/>
      <c r="B27" s="660" t="s">
        <v>198</v>
      </c>
      <c r="C27" s="675">
        <v>25000</v>
      </c>
      <c r="D27" s="675">
        <v>25000</v>
      </c>
      <c r="E27" s="675">
        <v>25000</v>
      </c>
      <c r="F27" s="675">
        <f>25000-15500</f>
        <v>9500</v>
      </c>
      <c r="G27" s="675">
        <f>25000-15500+13100</f>
        <v>22600</v>
      </c>
      <c r="H27" s="675">
        <v>9425</v>
      </c>
      <c r="I27" s="1492">
        <f>H27/G27</f>
        <v>0.41703539823008851</v>
      </c>
      <c r="J27" s="751"/>
    </row>
    <row r="28" spans="1:10" ht="12" customHeight="1" thickBot="1">
      <c r="A28" s="840"/>
      <c r="B28" s="516" t="s">
        <v>337</v>
      </c>
      <c r="C28" s="677">
        <v>3000</v>
      </c>
      <c r="D28" s="677">
        <f>3000+1000</f>
        <v>4000</v>
      </c>
      <c r="E28" s="677">
        <f>3000+1000</f>
        <v>4000</v>
      </c>
      <c r="F28" s="677">
        <f>3000+1000</f>
        <v>4000</v>
      </c>
      <c r="G28" s="677">
        <f>3000+1000</f>
        <v>4000</v>
      </c>
      <c r="H28" s="677">
        <v>1000</v>
      </c>
      <c r="I28" s="1492">
        <f>H28/G28</f>
        <v>0.25</v>
      </c>
      <c r="J28" s="499"/>
    </row>
    <row r="29" spans="1:10" ht="12.75" thickBot="1">
      <c r="A29" s="898"/>
      <c r="B29" s="610" t="s">
        <v>97</v>
      </c>
      <c r="C29" s="678">
        <f t="shared" ref="C29:D29" si="7">SUM(C21:C28)</f>
        <v>3612270</v>
      </c>
      <c r="D29" s="678">
        <f t="shared" si="7"/>
        <v>3921778</v>
      </c>
      <c r="E29" s="678">
        <f t="shared" ref="E29:F29" si="8">SUM(E21:E28)</f>
        <v>3921778</v>
      </c>
      <c r="F29" s="678">
        <f t="shared" si="8"/>
        <v>4090907</v>
      </c>
      <c r="G29" s="678">
        <f t="shared" ref="G29:H29" si="9">SUM(G21:G28)</f>
        <v>4112222</v>
      </c>
      <c r="H29" s="678">
        <f t="shared" si="9"/>
        <v>3756945</v>
      </c>
      <c r="I29" s="681">
        <f>H29/G29</f>
        <v>0.91360461570411322</v>
      </c>
      <c r="J29" s="499"/>
    </row>
    <row r="30" spans="1:10" ht="12" customHeight="1">
      <c r="A30" s="819">
        <v>3027</v>
      </c>
      <c r="B30" s="776" t="s">
        <v>1104</v>
      </c>
      <c r="C30" s="682"/>
      <c r="D30" s="682"/>
      <c r="E30" s="682"/>
      <c r="F30" s="682"/>
      <c r="G30" s="682"/>
      <c r="H30" s="682"/>
      <c r="I30" s="1496"/>
      <c r="J30" s="12"/>
    </row>
    <row r="31" spans="1:10" ht="12" customHeight="1">
      <c r="A31" s="840"/>
      <c r="B31" s="590" t="s">
        <v>84</v>
      </c>
      <c r="C31" s="676"/>
      <c r="D31" s="676"/>
      <c r="E31" s="676"/>
      <c r="F31" s="676"/>
      <c r="G31" s="164">
        <v>885</v>
      </c>
      <c r="H31" s="164">
        <v>885</v>
      </c>
      <c r="I31" s="1492">
        <f>H31/G31</f>
        <v>1</v>
      </c>
      <c r="J31" s="751"/>
    </row>
    <row r="32" spans="1:10" ht="12" customHeight="1">
      <c r="A32" s="840"/>
      <c r="B32" s="592" t="s">
        <v>231</v>
      </c>
      <c r="C32" s="676"/>
      <c r="D32" s="676"/>
      <c r="E32" s="676"/>
      <c r="F32" s="676"/>
      <c r="G32" s="164">
        <v>114</v>
      </c>
      <c r="H32" s="164">
        <v>114</v>
      </c>
      <c r="I32" s="1492">
        <f>H32/G32</f>
        <v>1</v>
      </c>
      <c r="J32" s="751"/>
    </row>
    <row r="33" spans="1:10" ht="12" customHeight="1">
      <c r="A33" s="847"/>
      <c r="B33" s="593" t="s">
        <v>222</v>
      </c>
      <c r="C33" s="676"/>
      <c r="D33" s="676"/>
      <c r="E33" s="676"/>
      <c r="F33" s="676"/>
      <c r="G33" s="676"/>
      <c r="H33" s="676"/>
      <c r="I33" s="1497"/>
      <c r="J33" s="12"/>
    </row>
    <row r="34" spans="1:10" ht="12" customHeight="1">
      <c r="A34" s="840"/>
      <c r="B34" s="594" t="s">
        <v>89</v>
      </c>
      <c r="C34" s="676"/>
      <c r="D34" s="676"/>
      <c r="E34" s="676"/>
      <c r="F34" s="676"/>
      <c r="G34" s="676"/>
      <c r="H34" s="676"/>
      <c r="I34" s="1497"/>
      <c r="J34" s="12"/>
    </row>
    <row r="35" spans="1:10" ht="12" customHeight="1">
      <c r="A35" s="840"/>
      <c r="B35" s="592" t="s">
        <v>228</v>
      </c>
      <c r="C35" s="676"/>
      <c r="D35" s="676"/>
      <c r="E35" s="676"/>
      <c r="F35" s="676"/>
      <c r="G35" s="676"/>
      <c r="H35" s="676"/>
      <c r="I35" s="1497"/>
      <c r="J35" s="12"/>
    </row>
    <row r="36" spans="1:10" ht="12" customHeight="1">
      <c r="A36" s="847"/>
      <c r="B36" s="590" t="s">
        <v>197</v>
      </c>
      <c r="C36" s="675"/>
      <c r="D36" s="675"/>
      <c r="E36" s="675"/>
      <c r="F36" s="675"/>
      <c r="G36" s="675"/>
      <c r="H36" s="675"/>
      <c r="I36" s="1497"/>
      <c r="J36" s="12"/>
    </row>
    <row r="37" spans="1:10" ht="12" customHeight="1">
      <c r="A37" s="847"/>
      <c r="B37" s="660" t="s">
        <v>198</v>
      </c>
      <c r="C37" s="675"/>
      <c r="D37" s="675"/>
      <c r="E37" s="675"/>
      <c r="F37" s="675"/>
      <c r="G37" s="675"/>
      <c r="H37" s="675"/>
      <c r="I37" s="1497"/>
      <c r="J37" s="12"/>
    </row>
    <row r="38" spans="1:10" ht="12" customHeight="1" thickBot="1">
      <c r="A38" s="840"/>
      <c r="B38" s="516" t="s">
        <v>1095</v>
      </c>
      <c r="C38" s="677"/>
      <c r="D38" s="677"/>
      <c r="E38" s="677"/>
      <c r="F38" s="677"/>
      <c r="G38" s="677"/>
      <c r="H38" s="677"/>
      <c r="I38" s="1493"/>
      <c r="J38" s="12"/>
    </row>
    <row r="39" spans="1:10" ht="12" customHeight="1" thickBot="1">
      <c r="A39" s="898"/>
      <c r="B39" s="610" t="s">
        <v>97</v>
      </c>
      <c r="C39" s="678"/>
      <c r="D39" s="678"/>
      <c r="E39" s="678"/>
      <c r="F39" s="678"/>
      <c r="G39" s="162">
        <f>G31+G32</f>
        <v>999</v>
      </c>
      <c r="H39" s="162">
        <f>H31+H32</f>
        <v>999</v>
      </c>
      <c r="I39" s="681">
        <f>H39/G39</f>
        <v>1</v>
      </c>
      <c r="J39" s="751"/>
    </row>
    <row r="40" spans="1:10" ht="12" customHeight="1">
      <c r="A40" s="816">
        <v>3026</v>
      </c>
      <c r="B40" s="624" t="s">
        <v>229</v>
      </c>
      <c r="C40" s="682"/>
      <c r="D40" s="682"/>
      <c r="E40" s="682"/>
      <c r="F40" s="682"/>
      <c r="G40" s="682"/>
      <c r="H40" s="682"/>
      <c r="I40" s="1496"/>
      <c r="J40" s="12"/>
    </row>
    <row r="41" spans="1:10" ht="12" customHeight="1">
      <c r="A41" s="838"/>
      <c r="B41" s="590" t="s">
        <v>84</v>
      </c>
      <c r="C41" s="676"/>
      <c r="D41" s="676"/>
      <c r="E41" s="676"/>
      <c r="F41" s="676"/>
      <c r="G41" s="676"/>
      <c r="H41" s="676"/>
      <c r="I41" s="1495"/>
      <c r="J41" s="12"/>
    </row>
    <row r="42" spans="1:10" ht="12" customHeight="1">
      <c r="A42" s="838"/>
      <c r="B42" s="592" t="s">
        <v>231</v>
      </c>
      <c r="C42" s="676"/>
      <c r="D42" s="676"/>
      <c r="E42" s="676"/>
      <c r="F42" s="676"/>
      <c r="G42" s="676"/>
      <c r="H42" s="676"/>
      <c r="I42" s="1495"/>
      <c r="J42" s="12"/>
    </row>
    <row r="43" spans="1:10" ht="12" customHeight="1">
      <c r="A43" s="838"/>
      <c r="B43" s="593" t="s">
        <v>222</v>
      </c>
      <c r="C43" s="591">
        <v>170338</v>
      </c>
      <c r="D43" s="591">
        <f>170338+24139+43754</f>
        <v>238231</v>
      </c>
      <c r="E43" s="591">
        <f>238231-10000</f>
        <v>228231</v>
      </c>
      <c r="F43" s="591">
        <f>238231-10000-13500+25418</f>
        <v>240149</v>
      </c>
      <c r="G43" s="591">
        <f>238231-10000-13500+25418</f>
        <v>240149</v>
      </c>
      <c r="H43" s="591">
        <v>153172</v>
      </c>
      <c r="I43" s="1492">
        <f>H43/G43</f>
        <v>0.6378206863239072</v>
      </c>
      <c r="J43" s="12"/>
    </row>
    <row r="44" spans="1:10" ht="12" customHeight="1">
      <c r="A44" s="838"/>
      <c r="B44" s="594" t="s">
        <v>89</v>
      </c>
      <c r="C44" s="684"/>
      <c r="D44" s="684"/>
      <c r="E44" s="684"/>
      <c r="F44" s="684"/>
      <c r="G44" s="684"/>
      <c r="H44" s="684"/>
      <c r="I44" s="1497"/>
      <c r="J44" s="12"/>
    </row>
    <row r="45" spans="1:10" ht="12" customHeight="1">
      <c r="A45" s="838"/>
      <c r="B45" s="592" t="s">
        <v>228</v>
      </c>
      <c r="C45" s="684"/>
      <c r="D45" s="684"/>
      <c r="E45" s="684"/>
      <c r="F45" s="684"/>
      <c r="G45" s="684"/>
      <c r="H45" s="684"/>
      <c r="I45" s="1497"/>
      <c r="J45" s="12"/>
    </row>
    <row r="46" spans="1:10" ht="12" customHeight="1">
      <c r="A46" s="838"/>
      <c r="B46" s="590" t="s">
        <v>197</v>
      </c>
      <c r="C46" s="591">
        <v>50000</v>
      </c>
      <c r="D46" s="591">
        <f>50000+41530+17500</f>
        <v>109030</v>
      </c>
      <c r="E46" s="591">
        <f>109030+10000</f>
        <v>119030</v>
      </c>
      <c r="F46" s="591">
        <f>109030+10000+13500+22757</f>
        <v>155287</v>
      </c>
      <c r="G46" s="591">
        <f>109030+10000+13500+22757</f>
        <v>155287</v>
      </c>
      <c r="H46" s="591">
        <v>119776</v>
      </c>
      <c r="I46" s="1492">
        <f>H46/G46</f>
        <v>0.77132020066071205</v>
      </c>
      <c r="J46" s="12"/>
    </row>
    <row r="47" spans="1:10" ht="12" customHeight="1">
      <c r="A47" s="838"/>
      <c r="B47" s="27" t="s">
        <v>198</v>
      </c>
      <c r="C47" s="165"/>
      <c r="D47" s="165"/>
      <c r="E47" s="165"/>
      <c r="F47" s="165"/>
      <c r="G47" s="165"/>
      <c r="H47" s="165"/>
      <c r="I47" s="1267"/>
      <c r="J47" s="12"/>
    </row>
    <row r="48" spans="1:10" ht="12" customHeight="1" thickBot="1">
      <c r="A48" s="838"/>
      <c r="B48" s="22" t="s">
        <v>213</v>
      </c>
      <c r="C48" s="184"/>
      <c r="D48" s="184"/>
      <c r="E48" s="184"/>
      <c r="F48" s="184"/>
      <c r="G48" s="184"/>
      <c r="H48" s="184"/>
      <c r="I48" s="1283"/>
      <c r="J48" s="12"/>
    </row>
    <row r="49" spans="1:12" ht="12" customHeight="1" thickBot="1">
      <c r="A49" s="1498"/>
      <c r="B49" s="133" t="s">
        <v>97</v>
      </c>
      <c r="C49" s="162">
        <f t="shared" ref="C49:D49" si="10">SUM(C40:C46)</f>
        <v>220338</v>
      </c>
      <c r="D49" s="162">
        <f t="shared" si="10"/>
        <v>347261</v>
      </c>
      <c r="E49" s="162">
        <f t="shared" ref="E49:F49" si="11">SUM(E40:E46)</f>
        <v>347261</v>
      </c>
      <c r="F49" s="162">
        <f t="shared" si="11"/>
        <v>395436</v>
      </c>
      <c r="G49" s="162">
        <f t="shared" ref="G49:H49" si="12">SUM(G40:G46)</f>
        <v>395436</v>
      </c>
      <c r="H49" s="162">
        <f t="shared" si="12"/>
        <v>272948</v>
      </c>
      <c r="I49" s="1426">
        <f>H49/G49</f>
        <v>0.6902457034766688</v>
      </c>
      <c r="J49" s="12"/>
    </row>
    <row r="50" spans="1:12" ht="12" customHeight="1">
      <c r="A50" s="819">
        <v>3000</v>
      </c>
      <c r="B50" s="135" t="s">
        <v>85</v>
      </c>
      <c r="C50" s="164"/>
      <c r="D50" s="164"/>
      <c r="E50" s="164"/>
      <c r="F50" s="164"/>
      <c r="G50" s="164"/>
      <c r="H50" s="164"/>
      <c r="I50" s="1287"/>
      <c r="J50" s="12"/>
    </row>
    <row r="51" spans="1:12" ht="12" customHeight="1">
      <c r="A51" s="819"/>
      <c r="B51" s="40" t="s">
        <v>46</v>
      </c>
      <c r="C51" s="164"/>
      <c r="D51" s="164"/>
      <c r="E51" s="164"/>
      <c r="F51" s="164"/>
      <c r="G51" s="164"/>
      <c r="H51" s="164"/>
      <c r="I51" s="1265"/>
      <c r="J51" s="12"/>
    </row>
    <row r="52" spans="1:12" ht="12" customHeight="1">
      <c r="A52" s="840"/>
      <c r="B52" s="26" t="s">
        <v>84</v>
      </c>
      <c r="C52" s="164">
        <f t="shared" ref="C52:D52" si="13">SUM(C21+C10+C31)</f>
        <v>2563391</v>
      </c>
      <c r="D52" s="164">
        <f t="shared" si="13"/>
        <v>2665485</v>
      </c>
      <c r="E52" s="164">
        <f t="shared" ref="E52:F52" si="14">SUM(E21+E10+E31)</f>
        <v>2667485</v>
      </c>
      <c r="F52" s="164">
        <f t="shared" si="14"/>
        <v>2877485</v>
      </c>
      <c r="G52" s="164">
        <f t="shared" ref="G52:H52" si="15">SUM(G21+G10+G31)</f>
        <v>2910832</v>
      </c>
      <c r="H52" s="164">
        <f t="shared" si="15"/>
        <v>2804847</v>
      </c>
      <c r="I52" s="1491">
        <f>H52/G52</f>
        <v>0.9635894479653927</v>
      </c>
      <c r="J52" s="12"/>
    </row>
    <row r="53" spans="1:12" ht="12" customHeight="1">
      <c r="A53" s="840"/>
      <c r="B53" s="3" t="s">
        <v>231</v>
      </c>
      <c r="C53" s="164">
        <f t="shared" ref="C53:D53" si="16">SUM(C22+C11+C32)</f>
        <v>384329</v>
      </c>
      <c r="D53" s="164">
        <f t="shared" si="16"/>
        <v>414535</v>
      </c>
      <c r="E53" s="164">
        <f t="shared" ref="E53:F53" si="17">SUM(E22+E11+E32)</f>
        <v>414795</v>
      </c>
      <c r="F53" s="164">
        <f t="shared" si="17"/>
        <v>439599</v>
      </c>
      <c r="G53" s="164">
        <f t="shared" ref="G53:H53" si="18">SUM(G22+G11+G32)</f>
        <v>453166</v>
      </c>
      <c r="H53" s="164">
        <f t="shared" si="18"/>
        <v>403960</v>
      </c>
      <c r="I53" s="1491">
        <f>H53/G53</f>
        <v>0.89141727314052688</v>
      </c>
      <c r="J53" s="12"/>
    </row>
    <row r="54" spans="1:12" ht="12" customHeight="1">
      <c r="A54" s="847"/>
      <c r="B54" s="4" t="s">
        <v>230</v>
      </c>
      <c r="C54" s="164">
        <f t="shared" ref="C54:H54" si="19">SUM(C23+C12+C33)+C43</f>
        <v>676338</v>
      </c>
      <c r="D54" s="164">
        <f t="shared" si="19"/>
        <v>921366</v>
      </c>
      <c r="E54" s="164">
        <f t="shared" si="19"/>
        <v>909106</v>
      </c>
      <c r="F54" s="164">
        <f t="shared" si="19"/>
        <v>872849</v>
      </c>
      <c r="G54" s="164">
        <f t="shared" si="19"/>
        <v>896849</v>
      </c>
      <c r="H54" s="164">
        <f t="shared" si="19"/>
        <v>664572</v>
      </c>
      <c r="I54" s="1491">
        <f>H54/G54</f>
        <v>0.74100768356769087</v>
      </c>
      <c r="J54" s="12"/>
    </row>
    <row r="55" spans="1:12" ht="12" customHeight="1">
      <c r="A55" s="840"/>
      <c r="B55" s="4" t="s">
        <v>89</v>
      </c>
      <c r="C55" s="164">
        <f t="shared" ref="C55:H55" si="20">SUM(C24+C13+C34)</f>
        <v>0</v>
      </c>
      <c r="D55" s="164">
        <f t="shared" si="20"/>
        <v>0</v>
      </c>
      <c r="E55" s="164">
        <f t="shared" si="20"/>
        <v>0</v>
      </c>
      <c r="F55" s="164">
        <f t="shared" si="20"/>
        <v>0</v>
      </c>
      <c r="G55" s="164">
        <f t="shared" si="20"/>
        <v>0</v>
      </c>
      <c r="H55" s="164">
        <f t="shared" si="20"/>
        <v>0</v>
      </c>
      <c r="I55" s="1491"/>
      <c r="J55" s="12"/>
    </row>
    <row r="56" spans="1:12" ht="12" customHeight="1">
      <c r="A56" s="840"/>
      <c r="B56" s="3" t="s">
        <v>228</v>
      </c>
      <c r="C56" s="164"/>
      <c r="D56" s="164"/>
      <c r="E56" s="164"/>
      <c r="F56" s="164"/>
      <c r="G56" s="164"/>
      <c r="H56" s="164"/>
      <c r="I56" s="1491"/>
      <c r="J56" s="12"/>
    </row>
    <row r="57" spans="1:12" ht="12" customHeight="1">
      <c r="A57" s="840"/>
      <c r="B57" s="36" t="s">
        <v>37</v>
      </c>
      <c r="C57" s="166">
        <f t="shared" ref="C57:D57" si="21">SUM(C52:C56)</f>
        <v>3624058</v>
      </c>
      <c r="D57" s="166">
        <f t="shared" si="21"/>
        <v>4001386</v>
      </c>
      <c r="E57" s="166">
        <f t="shared" ref="E57:F57" si="22">SUM(E52:E56)</f>
        <v>3991386</v>
      </c>
      <c r="F57" s="166">
        <f t="shared" si="22"/>
        <v>4189933</v>
      </c>
      <c r="G57" s="166">
        <f t="shared" ref="G57:H57" si="23">SUM(G52:G56)</f>
        <v>4260847</v>
      </c>
      <c r="H57" s="166">
        <f t="shared" si="23"/>
        <v>3873379</v>
      </c>
      <c r="I57" s="1499">
        <f>H57/G57</f>
        <v>0.90906315105893265</v>
      </c>
      <c r="J57" s="12"/>
    </row>
    <row r="58" spans="1:12" ht="12" customHeight="1">
      <c r="A58" s="840"/>
      <c r="B58" s="49" t="s">
        <v>47</v>
      </c>
      <c r="C58" s="164"/>
      <c r="D58" s="164"/>
      <c r="E58" s="164"/>
      <c r="F58" s="164"/>
      <c r="G58" s="164"/>
      <c r="H58" s="164"/>
      <c r="I58" s="1491"/>
      <c r="J58" s="12"/>
    </row>
    <row r="59" spans="1:12" ht="12" customHeight="1">
      <c r="A59" s="840"/>
      <c r="B59" s="26" t="s">
        <v>199</v>
      </c>
      <c r="C59" s="164">
        <f t="shared" ref="C59:H59" si="24">SUM(C27+C16)</f>
        <v>61000</v>
      </c>
      <c r="D59" s="164">
        <f t="shared" si="24"/>
        <v>61000</v>
      </c>
      <c r="E59" s="164">
        <f t="shared" si="24"/>
        <v>61000</v>
      </c>
      <c r="F59" s="164">
        <f t="shared" si="24"/>
        <v>61000</v>
      </c>
      <c r="G59" s="164">
        <f t="shared" si="24"/>
        <v>78100</v>
      </c>
      <c r="H59" s="164">
        <f t="shared" si="24"/>
        <v>64794</v>
      </c>
      <c r="I59" s="1491">
        <f t="shared" ref="I59:I64" si="25">H59/G59</f>
        <v>0.82962868117797695</v>
      </c>
      <c r="J59" s="12"/>
    </row>
    <row r="60" spans="1:12" ht="12" customHeight="1">
      <c r="A60" s="840"/>
      <c r="B60" s="27" t="s">
        <v>291</v>
      </c>
      <c r="C60" s="164">
        <f t="shared" ref="C60:H60" si="26">SUM(C26+C15+C46)+C36</f>
        <v>213000</v>
      </c>
      <c r="D60" s="164">
        <f t="shared" si="26"/>
        <v>274056</v>
      </c>
      <c r="E60" s="164">
        <f t="shared" si="26"/>
        <v>284056</v>
      </c>
      <c r="F60" s="164">
        <f t="shared" si="26"/>
        <v>320313</v>
      </c>
      <c r="G60" s="164">
        <f t="shared" si="26"/>
        <v>254613</v>
      </c>
      <c r="H60" s="164">
        <f t="shared" si="26"/>
        <v>161460</v>
      </c>
      <c r="I60" s="1491">
        <f t="shared" si="25"/>
        <v>0.63413886957853682</v>
      </c>
      <c r="J60" s="12"/>
    </row>
    <row r="61" spans="1:12" ht="12" customHeight="1">
      <c r="A61" s="840"/>
      <c r="B61" s="4" t="s">
        <v>338</v>
      </c>
      <c r="C61" s="164">
        <f t="shared" ref="C61:H61" si="27">SUM(C28)</f>
        <v>3000</v>
      </c>
      <c r="D61" s="164">
        <f t="shared" si="27"/>
        <v>4000</v>
      </c>
      <c r="E61" s="164">
        <f t="shared" si="27"/>
        <v>4000</v>
      </c>
      <c r="F61" s="164">
        <f t="shared" si="27"/>
        <v>4000</v>
      </c>
      <c r="G61" s="164">
        <f t="shared" si="27"/>
        <v>4000</v>
      </c>
      <c r="H61" s="164">
        <f t="shared" si="27"/>
        <v>1000</v>
      </c>
      <c r="I61" s="1491">
        <f t="shared" si="25"/>
        <v>0.25</v>
      </c>
      <c r="J61" s="12"/>
    </row>
    <row r="62" spans="1:12" ht="12" customHeight="1" thickBot="1">
      <c r="A62" s="840"/>
      <c r="B62" s="36" t="s">
        <v>48</v>
      </c>
      <c r="C62" s="187">
        <f t="shared" ref="C62:D62" si="28">SUM(C59:C61)</f>
        <v>277000</v>
      </c>
      <c r="D62" s="187">
        <f t="shared" si="28"/>
        <v>339056</v>
      </c>
      <c r="E62" s="187">
        <f t="shared" ref="E62:F62" si="29">SUM(E59:E61)</f>
        <v>349056</v>
      </c>
      <c r="F62" s="187">
        <f t="shared" si="29"/>
        <v>385313</v>
      </c>
      <c r="G62" s="187">
        <f t="shared" ref="G62:H62" si="30">SUM(G59:G61)</f>
        <v>336713</v>
      </c>
      <c r="H62" s="187">
        <f t="shared" si="30"/>
        <v>227254</v>
      </c>
      <c r="I62" s="1499">
        <f t="shared" si="25"/>
        <v>0.67491899629654928</v>
      </c>
      <c r="J62" s="12"/>
    </row>
    <row r="63" spans="1:12" ht="12" customHeight="1" thickBot="1">
      <c r="A63" s="898"/>
      <c r="B63" s="133" t="s">
        <v>200</v>
      </c>
      <c r="C63" s="162">
        <f t="shared" ref="C63:D63" si="31">SUM(C57+C62)</f>
        <v>3901058</v>
      </c>
      <c r="D63" s="162">
        <f t="shared" si="31"/>
        <v>4340442</v>
      </c>
      <c r="E63" s="162">
        <f t="shared" ref="E63:F63" si="32">SUM(E57+E62)</f>
        <v>4340442</v>
      </c>
      <c r="F63" s="162">
        <f t="shared" si="32"/>
        <v>4575246</v>
      </c>
      <c r="G63" s="162">
        <f t="shared" ref="G63:H63" si="33">SUM(G57+G62)</f>
        <v>4597560</v>
      </c>
      <c r="H63" s="162">
        <f t="shared" si="33"/>
        <v>4100633</v>
      </c>
      <c r="I63" s="1426">
        <f t="shared" si="25"/>
        <v>0.89191505929232029</v>
      </c>
      <c r="J63" s="12"/>
    </row>
    <row r="64" spans="1:12" ht="12.75" thickBot="1">
      <c r="A64" s="1500"/>
      <c r="B64" s="136" t="s">
        <v>54</v>
      </c>
      <c r="C64" s="185">
        <f t="shared" ref="C64:D64" si="34">SUM(C63)</f>
        <v>3901058</v>
      </c>
      <c r="D64" s="185">
        <f t="shared" si="34"/>
        <v>4340442</v>
      </c>
      <c r="E64" s="185">
        <f t="shared" ref="E64:F64" si="35">SUM(E63)</f>
        <v>4340442</v>
      </c>
      <c r="F64" s="185">
        <f t="shared" si="35"/>
        <v>4575246</v>
      </c>
      <c r="G64" s="185">
        <f t="shared" ref="G64:H64" si="36">SUM(G63)</f>
        <v>4597560</v>
      </c>
      <c r="H64" s="185">
        <f t="shared" si="36"/>
        <v>4100633</v>
      </c>
      <c r="I64" s="1426">
        <f t="shared" si="25"/>
        <v>0.89191505929232029</v>
      </c>
      <c r="J64" s="751"/>
      <c r="L64" s="12"/>
    </row>
    <row r="66" spans="3:8">
      <c r="C66" s="12"/>
      <c r="D66" s="12"/>
      <c r="E66" s="12"/>
      <c r="F66" s="12"/>
      <c r="G66" s="12"/>
      <c r="H66" s="12"/>
    </row>
  </sheetData>
  <mergeCells count="9">
    <mergeCell ref="I4:I6"/>
    <mergeCell ref="A2:I2"/>
    <mergeCell ref="A1:I1"/>
    <mergeCell ref="C4:C6"/>
    <mergeCell ref="D4:D6"/>
    <mergeCell ref="E4:E6"/>
    <mergeCell ref="F4:F6"/>
    <mergeCell ref="G4:G6"/>
    <mergeCell ref="H4:H6"/>
  </mergeCells>
  <phoneticPr fontId="0" type="noConversion"/>
  <printOptions horizontalCentered="1" verticalCentered="1"/>
  <pageMargins left="0.39370078740157483" right="0.39370078740157483" top="0.19685039370078741" bottom="0.19685039370078741" header="0.11811023622047245" footer="0"/>
  <pageSetup paperSize="9" firstPageNumber="23" orientation="landscape" useFirstPageNumber="1" r:id="rId1"/>
  <headerFooter alignWithMargins="0">
    <oddFooter>&amp;P. oldal</oddFooter>
  </headerFooter>
  <rowBreaks count="1" manualBreakCount="1">
    <brk id="2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4" name="Button 1">
              <controlPr defaultSize="0" print="0" autoFill="0" autoPict="0" macro="[8]!run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1</xdr:col>
                    <xdr:colOff>28575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5" name="Button 2">
              <controlPr defaultSize="0" print="0" autoFill="0" autoPict="0" macro="[8]!run">
                <anchor moveWithCells="1">
                  <from>
                    <xdr:col>0</xdr:col>
                    <xdr:colOff>247650</xdr:colOff>
                    <xdr:row>0</xdr:row>
                    <xdr:rowOff>0</xdr:rowOff>
                  </from>
                  <to>
                    <xdr:col>1</xdr:col>
                    <xdr:colOff>276225</xdr:colOff>
                    <xdr:row>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918"/>
  <sheetViews>
    <sheetView topLeftCell="A882" zoomScale="98" zoomScaleNormal="98" zoomScaleSheetLayoutView="100" workbookViewId="0">
      <selection activeCell="I906" sqref="I906"/>
    </sheetView>
  </sheetViews>
  <sheetFormatPr defaultColWidth="9.140625" defaultRowHeight="12"/>
  <cols>
    <col min="1" max="1" width="6.140625" style="25" customWidth="1"/>
    <col min="2" max="2" width="50.85546875" style="21" customWidth="1"/>
    <col min="3" max="5" width="12.42578125" style="422" customWidth="1"/>
    <col min="6" max="6" width="13.7109375" style="422" customWidth="1"/>
    <col min="7" max="7" width="13.85546875" style="422" customWidth="1"/>
    <col min="8" max="8" width="12.85546875" style="422" customWidth="1"/>
    <col min="9" max="9" width="9.28515625" style="422" customWidth="1"/>
    <col min="10" max="10" width="46" style="422" bestFit="1" customWidth="1"/>
    <col min="11" max="16384" width="9.140625" style="21"/>
  </cols>
  <sheetData>
    <row r="1" spans="1:10" ht="12.75">
      <c r="A1" s="1781" t="s">
        <v>1125</v>
      </c>
      <c r="B1" s="1782"/>
      <c r="C1" s="1782"/>
      <c r="D1" s="1782"/>
      <c r="E1" s="1782"/>
      <c r="F1" s="1782"/>
      <c r="G1" s="1782"/>
      <c r="H1" s="1782"/>
      <c r="I1" s="1782"/>
      <c r="J1" s="1782"/>
    </row>
    <row r="2" spans="1:10" ht="12.75">
      <c r="A2" s="1783" t="s">
        <v>962</v>
      </c>
      <c r="B2" s="1784"/>
      <c r="C2" s="1784"/>
      <c r="D2" s="1784"/>
      <c r="E2" s="1784"/>
      <c r="F2" s="1784"/>
      <c r="G2" s="1784"/>
      <c r="H2" s="1784"/>
      <c r="I2" s="1784"/>
      <c r="J2" s="1784"/>
    </row>
    <row r="3" spans="1:10" ht="12.75">
      <c r="A3" s="417"/>
      <c r="B3" s="417"/>
      <c r="C3" s="417"/>
      <c r="D3" s="417"/>
      <c r="E3" s="417"/>
      <c r="F3" s="417"/>
      <c r="G3" s="417"/>
      <c r="H3" s="417"/>
      <c r="I3" s="417"/>
      <c r="J3" s="417"/>
    </row>
    <row r="4" spans="1:10" ht="15.75" thickBot="1">
      <c r="A4" s="400"/>
      <c r="C4" s="895"/>
      <c r="D4" s="895"/>
      <c r="E4" s="895"/>
      <c r="F4" s="895"/>
      <c r="G4" s="895"/>
      <c r="H4" s="895"/>
      <c r="I4" s="895"/>
      <c r="J4" s="1401" t="s">
        <v>1353</v>
      </c>
    </row>
    <row r="5" spans="1:10" s="11" customFormat="1" ht="12" customHeight="1">
      <c r="A5" s="896"/>
      <c r="B5" s="897"/>
      <c r="C5" s="1750" t="s">
        <v>1017</v>
      </c>
      <c r="D5" s="1750" t="s">
        <v>1061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50" t="s">
        <v>1122</v>
      </c>
      <c r="J5" s="818" t="s">
        <v>400</v>
      </c>
    </row>
    <row r="6" spans="1:10" s="11" customFormat="1" ht="12" customHeight="1">
      <c r="A6" s="819" t="s">
        <v>217</v>
      </c>
      <c r="B6" s="128" t="s">
        <v>226</v>
      </c>
      <c r="C6" s="1765"/>
      <c r="D6" s="1765"/>
      <c r="E6" s="1765"/>
      <c r="F6" s="1767"/>
      <c r="G6" s="1767"/>
      <c r="H6" s="1767"/>
      <c r="I6" s="1765"/>
      <c r="J6" s="820" t="s">
        <v>106</v>
      </c>
    </row>
    <row r="7" spans="1:10" s="11" customFormat="1" ht="18.600000000000001" customHeight="1" thickBot="1">
      <c r="A7" s="898"/>
      <c r="B7" s="129"/>
      <c r="C7" s="1766"/>
      <c r="D7" s="1766"/>
      <c r="E7" s="1766"/>
      <c r="F7" s="1751"/>
      <c r="G7" s="1751"/>
      <c r="H7" s="1751"/>
      <c r="I7" s="1766"/>
      <c r="J7" s="822"/>
    </row>
    <row r="8" spans="1:10" s="11" customFormat="1" ht="12.75" thickBot="1">
      <c r="A8" s="1501" t="s">
        <v>120</v>
      </c>
      <c r="B8" s="481" t="s">
        <v>121</v>
      </c>
      <c r="C8" s="31" t="s">
        <v>122</v>
      </c>
      <c r="D8" s="31" t="s">
        <v>419</v>
      </c>
      <c r="E8" s="407" t="s">
        <v>420</v>
      </c>
      <c r="F8" s="482" t="s">
        <v>429</v>
      </c>
      <c r="G8" s="482" t="s">
        <v>455</v>
      </c>
      <c r="H8" s="407" t="s">
        <v>378</v>
      </c>
      <c r="I8" s="407" t="s">
        <v>379</v>
      </c>
      <c r="J8" s="475" t="s">
        <v>456</v>
      </c>
    </row>
    <row r="9" spans="1:10" s="11" customFormat="1" ht="12.75" thickBot="1">
      <c r="A9" s="819">
        <v>3050</v>
      </c>
      <c r="B9" s="479" t="s">
        <v>201</v>
      </c>
      <c r="C9" s="408">
        <f t="shared" ref="C9:H9" si="0">SUM(C17+C27+C36+C45+C54)</f>
        <v>240000</v>
      </c>
      <c r="D9" s="408">
        <f t="shared" si="0"/>
        <v>403294</v>
      </c>
      <c r="E9" s="408">
        <f t="shared" si="0"/>
        <v>403294</v>
      </c>
      <c r="F9" s="414">
        <f t="shared" si="0"/>
        <v>396294</v>
      </c>
      <c r="G9" s="414">
        <f t="shared" si="0"/>
        <v>396294</v>
      </c>
      <c r="H9" s="414">
        <f t="shared" si="0"/>
        <v>142233</v>
      </c>
      <c r="I9" s="472">
        <f>H9/G9</f>
        <v>0.35890778058713985</v>
      </c>
      <c r="J9" s="480"/>
    </row>
    <row r="10" spans="1:10">
      <c r="A10" s="1502">
        <v>3054</v>
      </c>
      <c r="B10" s="418" t="s">
        <v>184</v>
      </c>
      <c r="C10" s="403"/>
      <c r="D10" s="403"/>
      <c r="E10" s="403"/>
      <c r="F10" s="403"/>
      <c r="G10" s="403"/>
      <c r="H10" s="403"/>
      <c r="I10" s="402"/>
      <c r="J10" s="1503"/>
    </row>
    <row r="11" spans="1:10" ht="12.6" customHeight="1">
      <c r="A11" s="844"/>
      <c r="B11" s="416" t="s">
        <v>84</v>
      </c>
      <c r="C11" s="401"/>
      <c r="D11" s="401"/>
      <c r="E11" s="401"/>
      <c r="F11" s="401"/>
      <c r="G11" s="401"/>
      <c r="H11" s="401"/>
      <c r="I11" s="402"/>
      <c r="J11" s="1504"/>
    </row>
    <row r="12" spans="1:10" ht="12.6" customHeight="1">
      <c r="A12" s="844"/>
      <c r="B12" s="419" t="s">
        <v>231</v>
      </c>
      <c r="C12" s="401"/>
      <c r="D12" s="401"/>
      <c r="E12" s="401"/>
      <c r="F12" s="401"/>
      <c r="G12" s="401"/>
      <c r="H12" s="401"/>
      <c r="I12" s="402"/>
      <c r="J12" s="1505" t="s">
        <v>936</v>
      </c>
    </row>
    <row r="13" spans="1:10" ht="12.6" customHeight="1">
      <c r="A13" s="844"/>
      <c r="B13" s="420" t="s">
        <v>222</v>
      </c>
      <c r="C13" s="401">
        <v>15000</v>
      </c>
      <c r="D13" s="401">
        <f>15000+4444</f>
        <v>19444</v>
      </c>
      <c r="E13" s="401">
        <f>19444</f>
        <v>19444</v>
      </c>
      <c r="F13" s="401">
        <f>19444</f>
        <v>19444</v>
      </c>
      <c r="G13" s="401">
        <f>19444</f>
        <v>19444</v>
      </c>
      <c r="H13" s="401">
        <v>3191</v>
      </c>
      <c r="I13" s="473">
        <f>H13/G13</f>
        <v>0.16411232256737296</v>
      </c>
      <c r="J13" s="1504" t="s">
        <v>399</v>
      </c>
    </row>
    <row r="14" spans="1:10" ht="12.6" customHeight="1">
      <c r="A14" s="844"/>
      <c r="B14" s="421" t="s">
        <v>89</v>
      </c>
      <c r="C14" s="401"/>
      <c r="D14" s="401"/>
      <c r="E14" s="401"/>
      <c r="F14" s="401"/>
      <c r="G14" s="401"/>
      <c r="H14" s="401"/>
      <c r="I14" s="402"/>
      <c r="J14" s="1506"/>
    </row>
    <row r="15" spans="1:10" ht="12.6" customHeight="1">
      <c r="A15" s="844"/>
      <c r="B15" s="421" t="s">
        <v>228</v>
      </c>
      <c r="C15" s="403"/>
      <c r="D15" s="403"/>
      <c r="E15" s="403"/>
      <c r="F15" s="403"/>
      <c r="G15" s="403"/>
      <c r="H15" s="403"/>
      <c r="I15" s="402"/>
      <c r="J15" s="1506"/>
    </row>
    <row r="16" spans="1:10" ht="12.6" customHeight="1" thickBot="1">
      <c r="A16" s="844"/>
      <c r="B16" s="415" t="s">
        <v>59</v>
      </c>
      <c r="C16" s="404"/>
      <c r="D16" s="404"/>
      <c r="E16" s="404"/>
      <c r="F16" s="404"/>
      <c r="G16" s="404"/>
      <c r="H16" s="404"/>
      <c r="I16" s="405"/>
      <c r="J16" s="1507"/>
    </row>
    <row r="17" spans="1:11" ht="12.6" customHeight="1" thickBot="1">
      <c r="A17" s="1508"/>
      <c r="B17" s="470" t="s">
        <v>97</v>
      </c>
      <c r="C17" s="406">
        <f t="shared" ref="C17:D17" si="1">SUM(C13:C16)</f>
        <v>15000</v>
      </c>
      <c r="D17" s="406">
        <f t="shared" si="1"/>
        <v>19444</v>
      </c>
      <c r="E17" s="406">
        <f t="shared" ref="E17:F17" si="2">SUM(E13:E16)</f>
        <v>19444</v>
      </c>
      <c r="F17" s="406">
        <f t="shared" si="2"/>
        <v>19444</v>
      </c>
      <c r="G17" s="406">
        <f t="shared" ref="G17:H17" si="3">SUM(G13:G16)</f>
        <v>19444</v>
      </c>
      <c r="H17" s="406">
        <f t="shared" si="3"/>
        <v>3191</v>
      </c>
      <c r="I17" s="468">
        <f>H17/G17</f>
        <v>0.16411232256737296</v>
      </c>
      <c r="J17" s="471"/>
    </row>
    <row r="18" spans="1:11" ht="12.6" customHeight="1">
      <c r="A18" s="1502">
        <v>3056</v>
      </c>
      <c r="B18" s="418" t="s">
        <v>381</v>
      </c>
      <c r="C18" s="403"/>
      <c r="D18" s="403"/>
      <c r="E18" s="403"/>
      <c r="F18" s="403"/>
      <c r="G18" s="403"/>
      <c r="H18" s="403"/>
      <c r="I18" s="402"/>
      <c r="J18" s="1503"/>
    </row>
    <row r="19" spans="1:11" ht="12.6" customHeight="1">
      <c r="A19" s="844"/>
      <c r="B19" s="416" t="s">
        <v>84</v>
      </c>
      <c r="C19" s="401"/>
      <c r="D19" s="401"/>
      <c r="E19" s="401"/>
      <c r="F19" s="401"/>
      <c r="G19" s="401"/>
      <c r="H19" s="401"/>
      <c r="I19" s="402"/>
      <c r="J19" s="1505" t="s">
        <v>936</v>
      </c>
    </row>
    <row r="20" spans="1:11" ht="12.6" customHeight="1">
      <c r="A20" s="844"/>
      <c r="B20" s="558" t="s">
        <v>231</v>
      </c>
      <c r="C20" s="559"/>
      <c r="D20" s="559"/>
      <c r="E20" s="559"/>
      <c r="F20" s="559"/>
      <c r="G20" s="559"/>
      <c r="H20" s="559"/>
      <c r="I20" s="560"/>
      <c r="J20" s="1504" t="s">
        <v>399</v>
      </c>
    </row>
    <row r="21" spans="1:11" ht="12.6" customHeight="1">
      <c r="A21" s="844"/>
      <c r="B21" s="561" t="s">
        <v>222</v>
      </c>
      <c r="C21" s="559">
        <v>25000</v>
      </c>
      <c r="D21" s="559">
        <f>25000+3397</f>
        <v>28397</v>
      </c>
      <c r="E21" s="559">
        <f>28397-1800-5000</f>
        <v>21597</v>
      </c>
      <c r="F21" s="559">
        <f>28397-1800-5000-568</f>
        <v>21029</v>
      </c>
      <c r="G21" s="401">
        <f>28397-1800-5000-568-1850-2800</f>
        <v>16379</v>
      </c>
      <c r="H21" s="401">
        <v>8817</v>
      </c>
      <c r="I21" s="562">
        <f>H21/G21</f>
        <v>0.53831125221319986</v>
      </c>
      <c r="J21" s="1504"/>
      <c r="K21" s="751"/>
    </row>
    <row r="22" spans="1:11" ht="12.6" customHeight="1">
      <c r="A22" s="844"/>
      <c r="B22" s="563" t="s">
        <v>89</v>
      </c>
      <c r="C22" s="559"/>
      <c r="D22" s="559"/>
      <c r="E22" s="559"/>
      <c r="F22" s="559"/>
      <c r="G22" s="401"/>
      <c r="H22" s="401"/>
      <c r="I22" s="560"/>
      <c r="J22" s="1506"/>
    </row>
    <row r="23" spans="1:11" ht="12.6" customHeight="1">
      <c r="A23" s="844"/>
      <c r="B23" s="563" t="s">
        <v>228</v>
      </c>
      <c r="C23" s="564"/>
      <c r="D23" s="564"/>
      <c r="E23" s="559">
        <f>1800+5000</f>
        <v>6800</v>
      </c>
      <c r="F23" s="559">
        <f>1800+5000</f>
        <v>6800</v>
      </c>
      <c r="G23" s="401">
        <f>1800+5000</f>
        <v>6800</v>
      </c>
      <c r="H23" s="401">
        <v>1800</v>
      </c>
      <c r="I23" s="562">
        <f>H23/G23</f>
        <v>0.26470588235294118</v>
      </c>
      <c r="J23" s="1504"/>
    </row>
    <row r="24" spans="1:11" ht="12.6" customHeight="1">
      <c r="A24" s="844"/>
      <c r="B24" s="563" t="s">
        <v>405</v>
      </c>
      <c r="C24" s="565"/>
      <c r="D24" s="565"/>
      <c r="E24" s="565"/>
      <c r="F24" s="565"/>
      <c r="G24" s="777"/>
      <c r="H24" s="777"/>
      <c r="I24" s="560"/>
      <c r="J24" s="1509"/>
    </row>
    <row r="25" spans="1:11" ht="12.6" customHeight="1">
      <c r="A25" s="844"/>
      <c r="B25" s="566" t="s">
        <v>197</v>
      </c>
      <c r="C25" s="567"/>
      <c r="D25" s="567">
        <v>240</v>
      </c>
      <c r="E25" s="567">
        <v>240</v>
      </c>
      <c r="F25" s="567">
        <v>240</v>
      </c>
      <c r="G25" s="778">
        <f>240+2800</f>
        <v>3040</v>
      </c>
      <c r="H25" s="778">
        <v>0</v>
      </c>
      <c r="I25" s="562">
        <f>H25/G25</f>
        <v>0</v>
      </c>
      <c r="J25" s="1510"/>
      <c r="K25" s="751"/>
    </row>
    <row r="26" spans="1:11" ht="12.6" customHeight="1" thickBot="1">
      <c r="A26" s="844"/>
      <c r="B26" s="568" t="s">
        <v>59</v>
      </c>
      <c r="C26" s="569"/>
      <c r="D26" s="569"/>
      <c r="E26" s="569"/>
      <c r="F26" s="569">
        <v>568</v>
      </c>
      <c r="G26" s="569">
        <v>568</v>
      </c>
      <c r="H26" s="569">
        <v>556</v>
      </c>
      <c r="I26" s="562">
        <f>H26/G26</f>
        <v>0.97887323943661975</v>
      </c>
      <c r="J26" s="1510"/>
    </row>
    <row r="27" spans="1:11" ht="12.6" customHeight="1" thickBot="1">
      <c r="A27" s="1508"/>
      <c r="B27" s="570" t="s">
        <v>97</v>
      </c>
      <c r="C27" s="571">
        <f t="shared" ref="C27:D27" si="4">SUM(C21:C25)</f>
        <v>25000</v>
      </c>
      <c r="D27" s="571">
        <f t="shared" si="4"/>
        <v>28637</v>
      </c>
      <c r="E27" s="571">
        <f t="shared" ref="E27" si="5">SUM(E21:E25)</f>
        <v>28637</v>
      </c>
      <c r="F27" s="571">
        <f>SUM(F21:F26)</f>
        <v>28637</v>
      </c>
      <c r="G27" s="571">
        <f>SUM(G21:G26)</f>
        <v>26787</v>
      </c>
      <c r="H27" s="571">
        <f>SUM(H21:H26)</f>
        <v>11173</v>
      </c>
      <c r="I27" s="553">
        <f>H27/G27</f>
        <v>0.41710531227834396</v>
      </c>
      <c r="J27" s="471"/>
      <c r="K27" s="751"/>
    </row>
    <row r="28" spans="1:11" ht="12.6" customHeight="1">
      <c r="A28" s="1502">
        <v>3057</v>
      </c>
      <c r="B28" s="572" t="s">
        <v>708</v>
      </c>
      <c r="C28" s="564"/>
      <c r="D28" s="564"/>
      <c r="E28" s="564"/>
      <c r="F28" s="564"/>
      <c r="G28" s="564"/>
      <c r="H28" s="564"/>
      <c r="I28" s="560"/>
      <c r="J28" s="1503"/>
    </row>
    <row r="29" spans="1:11" ht="12.6" customHeight="1">
      <c r="A29" s="844"/>
      <c r="B29" s="573" t="s">
        <v>84</v>
      </c>
      <c r="C29" s="559"/>
      <c r="D29" s="559"/>
      <c r="E29" s="559"/>
      <c r="F29" s="559"/>
      <c r="G29" s="559"/>
      <c r="H29" s="559"/>
      <c r="I29" s="560"/>
      <c r="J29" s="1505" t="s">
        <v>936</v>
      </c>
    </row>
    <row r="30" spans="1:11" ht="12.6" customHeight="1">
      <c r="A30" s="844"/>
      <c r="B30" s="558" t="s">
        <v>231</v>
      </c>
      <c r="C30" s="559"/>
      <c r="D30" s="559"/>
      <c r="E30" s="559"/>
      <c r="F30" s="559"/>
      <c r="G30" s="559"/>
      <c r="H30" s="559"/>
      <c r="I30" s="548"/>
      <c r="J30" s="1504" t="s">
        <v>399</v>
      </c>
    </row>
    <row r="31" spans="1:11" ht="12.6" customHeight="1">
      <c r="A31" s="844"/>
      <c r="B31" s="561" t="s">
        <v>222</v>
      </c>
      <c r="C31" s="559">
        <v>140000</v>
      </c>
      <c r="D31" s="559">
        <f>140000+115335</f>
        <v>255335</v>
      </c>
      <c r="E31" s="559">
        <f>255335</f>
        <v>255335</v>
      </c>
      <c r="F31" s="559">
        <f>255335</f>
        <v>255335</v>
      </c>
      <c r="G31" s="559">
        <f>255335</f>
        <v>255335</v>
      </c>
      <c r="H31" s="559">
        <v>110773</v>
      </c>
      <c r="I31" s="562">
        <f>H31/G31</f>
        <v>0.43383398280690072</v>
      </c>
      <c r="J31" s="1504"/>
    </row>
    <row r="32" spans="1:11" ht="12.6" customHeight="1">
      <c r="A32" s="844"/>
      <c r="B32" s="563" t="s">
        <v>89</v>
      </c>
      <c r="C32" s="559"/>
      <c r="D32" s="559"/>
      <c r="E32" s="559"/>
      <c r="F32" s="559"/>
      <c r="G32" s="559"/>
      <c r="H32" s="559"/>
      <c r="I32" s="560"/>
      <c r="J32" s="1506"/>
    </row>
    <row r="33" spans="1:11" ht="12.6" customHeight="1">
      <c r="A33" s="844"/>
      <c r="B33" s="563" t="s">
        <v>228</v>
      </c>
      <c r="C33" s="564"/>
      <c r="D33" s="564"/>
      <c r="E33" s="564"/>
      <c r="F33" s="564"/>
      <c r="G33" s="564"/>
      <c r="H33" s="564"/>
      <c r="I33" s="560"/>
      <c r="J33" s="1504"/>
    </row>
    <row r="34" spans="1:11" ht="12.6" customHeight="1">
      <c r="A34" s="844"/>
      <c r="B34" s="563" t="s">
        <v>405</v>
      </c>
      <c r="C34" s="565"/>
      <c r="D34" s="565"/>
      <c r="E34" s="565"/>
      <c r="F34" s="565"/>
      <c r="G34" s="565"/>
      <c r="H34" s="565"/>
      <c r="I34" s="560"/>
      <c r="J34" s="1509"/>
    </row>
    <row r="35" spans="1:11" ht="12.6" customHeight="1" thickBot="1">
      <c r="A35" s="844"/>
      <c r="B35" s="566" t="s">
        <v>195</v>
      </c>
      <c r="C35" s="574"/>
      <c r="D35" s="574"/>
      <c r="E35" s="574"/>
      <c r="F35" s="574"/>
      <c r="G35" s="574"/>
      <c r="H35" s="574"/>
      <c r="I35" s="575"/>
      <c r="J35" s="1507"/>
    </row>
    <row r="36" spans="1:11" ht="12.6" customHeight="1" thickBot="1">
      <c r="A36" s="1508"/>
      <c r="B36" s="576" t="s">
        <v>97</v>
      </c>
      <c r="C36" s="571">
        <f t="shared" ref="C36:D36" si="6">SUM(C31:C35)</f>
        <v>140000</v>
      </c>
      <c r="D36" s="571">
        <f t="shared" si="6"/>
        <v>255335</v>
      </c>
      <c r="E36" s="571">
        <f t="shared" ref="E36:F36" si="7">SUM(E31:E35)</f>
        <v>255335</v>
      </c>
      <c r="F36" s="571">
        <f t="shared" si="7"/>
        <v>255335</v>
      </c>
      <c r="G36" s="571">
        <f t="shared" ref="G36:H36" si="8">SUM(G31:G35)</f>
        <v>255335</v>
      </c>
      <c r="H36" s="571">
        <f t="shared" si="8"/>
        <v>110773</v>
      </c>
      <c r="I36" s="553">
        <f>H36/G36</f>
        <v>0.43383398280690072</v>
      </c>
      <c r="J36" s="1511"/>
    </row>
    <row r="37" spans="1:11" ht="12.6" customHeight="1">
      <c r="A37" s="1502">
        <v>3058</v>
      </c>
      <c r="B37" s="572" t="s">
        <v>709</v>
      </c>
      <c r="C37" s="564"/>
      <c r="D37" s="564"/>
      <c r="E37" s="564"/>
      <c r="F37" s="564"/>
      <c r="G37" s="564"/>
      <c r="H37" s="564"/>
      <c r="I37" s="560"/>
      <c r="J37" s="1503"/>
    </row>
    <row r="38" spans="1:11" ht="12.6" customHeight="1">
      <c r="A38" s="844"/>
      <c r="B38" s="573" t="s">
        <v>84</v>
      </c>
      <c r="C38" s="559"/>
      <c r="D38" s="559"/>
      <c r="E38" s="559"/>
      <c r="F38" s="559"/>
      <c r="G38" s="559"/>
      <c r="H38" s="559"/>
      <c r="I38" s="560"/>
      <c r="J38" s="1505" t="s">
        <v>936</v>
      </c>
    </row>
    <row r="39" spans="1:11" ht="12.6" customHeight="1">
      <c r="A39" s="844"/>
      <c r="B39" s="558" t="s">
        <v>231</v>
      </c>
      <c r="C39" s="559"/>
      <c r="D39" s="559"/>
      <c r="E39" s="559"/>
      <c r="F39" s="559"/>
      <c r="G39" s="559"/>
      <c r="H39" s="559"/>
      <c r="I39" s="562"/>
      <c r="J39" s="1504" t="s">
        <v>399</v>
      </c>
    </row>
    <row r="40" spans="1:11" ht="12.6" customHeight="1">
      <c r="A40" s="844"/>
      <c r="B40" s="561" t="s">
        <v>222</v>
      </c>
      <c r="C40" s="559">
        <v>10000</v>
      </c>
      <c r="D40" s="559">
        <f>10000+11939</f>
        <v>21939</v>
      </c>
      <c r="E40" s="559">
        <f>21939</f>
        <v>21939</v>
      </c>
      <c r="F40" s="559">
        <f>21939</f>
        <v>21939</v>
      </c>
      <c r="G40" s="559">
        <f>21939+1850</f>
        <v>23789</v>
      </c>
      <c r="H40" s="559">
        <v>11939</v>
      </c>
      <c r="I40" s="562">
        <f>H40/G40</f>
        <v>0.5018706124679474</v>
      </c>
      <c r="J40" s="1504"/>
      <c r="K40" s="751"/>
    </row>
    <row r="41" spans="1:11" ht="12.6" customHeight="1">
      <c r="A41" s="844"/>
      <c r="B41" s="563" t="s">
        <v>89</v>
      </c>
      <c r="C41" s="559"/>
      <c r="D41" s="559"/>
      <c r="E41" s="559"/>
      <c r="F41" s="559"/>
      <c r="G41" s="559"/>
      <c r="H41" s="559"/>
      <c r="I41" s="560"/>
      <c r="J41" s="1506"/>
    </row>
    <row r="42" spans="1:11" ht="12.6" customHeight="1">
      <c r="A42" s="844"/>
      <c r="B42" s="563" t="s">
        <v>228</v>
      </c>
      <c r="C42" s="565"/>
      <c r="D42" s="565"/>
      <c r="E42" s="565"/>
      <c r="F42" s="565"/>
      <c r="G42" s="565"/>
      <c r="H42" s="565"/>
      <c r="I42" s="560"/>
      <c r="J42" s="1504"/>
    </row>
    <row r="43" spans="1:11" ht="12.6" customHeight="1">
      <c r="A43" s="844"/>
      <c r="B43" s="637" t="s">
        <v>405</v>
      </c>
      <c r="C43" s="900"/>
      <c r="D43" s="900"/>
      <c r="E43" s="900"/>
      <c r="F43" s="900"/>
      <c r="G43" s="900"/>
      <c r="H43" s="900"/>
      <c r="I43" s="899"/>
      <c r="J43" s="1509"/>
    </row>
    <row r="44" spans="1:11" ht="12.6" customHeight="1" thickBot="1">
      <c r="A44" s="844"/>
      <c r="B44" s="566" t="s">
        <v>195</v>
      </c>
      <c r="C44" s="577"/>
      <c r="D44" s="577"/>
      <c r="E44" s="577"/>
      <c r="F44" s="577"/>
      <c r="G44" s="577"/>
      <c r="H44" s="577"/>
      <c r="I44" s="578"/>
      <c r="J44" s="1507"/>
    </row>
    <row r="45" spans="1:11" ht="12.6" customHeight="1" thickBot="1">
      <c r="A45" s="1508"/>
      <c r="B45" s="576" t="s">
        <v>97</v>
      </c>
      <c r="C45" s="571">
        <f t="shared" ref="C45:D45" si="9">SUM(C40:C44)</f>
        <v>10000</v>
      </c>
      <c r="D45" s="571">
        <f t="shared" si="9"/>
        <v>21939</v>
      </c>
      <c r="E45" s="571">
        <f t="shared" ref="E45:F45" si="10">SUM(E40:E44)</f>
        <v>21939</v>
      </c>
      <c r="F45" s="571">
        <f t="shared" si="10"/>
        <v>21939</v>
      </c>
      <c r="G45" s="571">
        <f t="shared" ref="G45:H45" si="11">SUM(G40:G44)</f>
        <v>23789</v>
      </c>
      <c r="H45" s="571">
        <f t="shared" si="11"/>
        <v>11939</v>
      </c>
      <c r="I45" s="553">
        <f>H45/G45</f>
        <v>0.5018706124679474</v>
      </c>
      <c r="J45" s="471"/>
      <c r="K45" s="751"/>
    </row>
    <row r="46" spans="1:11" ht="12.6" customHeight="1">
      <c r="A46" s="1502">
        <v>3059</v>
      </c>
      <c r="B46" s="572" t="s">
        <v>776</v>
      </c>
      <c r="C46" s="564"/>
      <c r="D46" s="564"/>
      <c r="E46" s="564"/>
      <c r="F46" s="564"/>
      <c r="G46" s="564"/>
      <c r="H46" s="564"/>
      <c r="I46" s="560"/>
      <c r="J46" s="1503"/>
    </row>
    <row r="47" spans="1:11" ht="12.6" customHeight="1">
      <c r="A47" s="844"/>
      <c r="B47" s="573" t="s">
        <v>84</v>
      </c>
      <c r="C47" s="559"/>
      <c r="D47" s="559"/>
      <c r="E47" s="559"/>
      <c r="F47" s="559"/>
      <c r="G47" s="401">
        <v>1000</v>
      </c>
      <c r="H47" s="401">
        <v>0</v>
      </c>
      <c r="I47" s="562">
        <f>H47/G47</f>
        <v>0</v>
      </c>
      <c r="J47" s="1505" t="s">
        <v>936</v>
      </c>
      <c r="K47" s="751"/>
    </row>
    <row r="48" spans="1:11" ht="12.6" customHeight="1">
      <c r="A48" s="844"/>
      <c r="B48" s="558" t="s">
        <v>231</v>
      </c>
      <c r="C48" s="559"/>
      <c r="D48" s="559"/>
      <c r="E48" s="559"/>
      <c r="F48" s="559"/>
      <c r="G48" s="401">
        <v>150</v>
      </c>
      <c r="H48" s="401">
        <v>0</v>
      </c>
      <c r="I48" s="562">
        <f>H48/G48</f>
        <v>0</v>
      </c>
      <c r="J48" s="1504" t="s">
        <v>399</v>
      </c>
      <c r="K48" s="751"/>
    </row>
    <row r="49" spans="1:11" ht="12.6" customHeight="1">
      <c r="A49" s="844"/>
      <c r="B49" s="561" t="s">
        <v>222</v>
      </c>
      <c r="C49" s="559">
        <v>50000</v>
      </c>
      <c r="D49" s="559">
        <f>50000+15318</f>
        <v>65318</v>
      </c>
      <c r="E49" s="559">
        <f>65318</f>
        <v>65318</v>
      </c>
      <c r="F49" s="559">
        <f>65318-7000</f>
        <v>58318</v>
      </c>
      <c r="G49" s="401">
        <f>65318-7000-1150</f>
        <v>57168</v>
      </c>
      <c r="H49" s="401">
        <v>5157</v>
      </c>
      <c r="I49" s="562">
        <f>H49/G49</f>
        <v>9.0207808564231731E-2</v>
      </c>
      <c r="J49" s="1504"/>
      <c r="K49" s="751"/>
    </row>
    <row r="50" spans="1:11" ht="12.6" customHeight="1">
      <c r="A50" s="844"/>
      <c r="B50" s="563" t="s">
        <v>89</v>
      </c>
      <c r="C50" s="559"/>
      <c r="D50" s="559"/>
      <c r="E50" s="559"/>
      <c r="F50" s="559"/>
      <c r="G50" s="559"/>
      <c r="H50" s="559"/>
      <c r="I50" s="548"/>
      <c r="J50" s="1506"/>
    </row>
    <row r="51" spans="1:11" ht="12.6" customHeight="1">
      <c r="A51" s="844"/>
      <c r="B51" s="563" t="s">
        <v>228</v>
      </c>
      <c r="C51" s="564"/>
      <c r="D51" s="564"/>
      <c r="E51" s="564"/>
      <c r="F51" s="564"/>
      <c r="G51" s="564"/>
      <c r="H51" s="564"/>
      <c r="I51" s="548"/>
      <c r="J51" s="1504"/>
    </row>
    <row r="52" spans="1:11" ht="12.6" customHeight="1">
      <c r="A52" s="844"/>
      <c r="B52" s="563" t="s">
        <v>405</v>
      </c>
      <c r="C52" s="565"/>
      <c r="D52" s="565"/>
      <c r="E52" s="565"/>
      <c r="F52" s="565"/>
      <c r="G52" s="565"/>
      <c r="H52" s="565"/>
      <c r="I52" s="548"/>
      <c r="J52" s="1509"/>
    </row>
    <row r="53" spans="1:11" ht="12.6" customHeight="1" thickBot="1">
      <c r="A53" s="844"/>
      <c r="B53" s="566" t="s">
        <v>195</v>
      </c>
      <c r="C53" s="574"/>
      <c r="D53" s="574">
        <v>12621</v>
      </c>
      <c r="E53" s="574">
        <v>12621</v>
      </c>
      <c r="F53" s="574">
        <v>12621</v>
      </c>
      <c r="G53" s="574">
        <v>12621</v>
      </c>
      <c r="H53" s="574">
        <v>0</v>
      </c>
      <c r="I53" s="562"/>
      <c r="J53" s="1507"/>
    </row>
    <row r="54" spans="1:11" ht="12.6" customHeight="1" thickBot="1">
      <c r="A54" s="1508"/>
      <c r="B54" s="576" t="s">
        <v>97</v>
      </c>
      <c r="C54" s="571">
        <f>SUM(C49:C53)</f>
        <v>50000</v>
      </c>
      <c r="D54" s="571">
        <f>SUM(D49:D53)</f>
        <v>77939</v>
      </c>
      <c r="E54" s="571">
        <f>SUM(E49:E53)</f>
        <v>77939</v>
      </c>
      <c r="F54" s="571">
        <f>SUM(F49:F53)</f>
        <v>70939</v>
      </c>
      <c r="G54" s="571">
        <f>SUM(G47:G53)</f>
        <v>70939</v>
      </c>
      <c r="H54" s="571">
        <f>SUM(H47:H53)</f>
        <v>5157</v>
      </c>
      <c r="I54" s="553">
        <f>H54/G54</f>
        <v>7.2696260167185889E-2</v>
      </c>
      <c r="J54" s="1511"/>
    </row>
    <row r="55" spans="1:11">
      <c r="A55" s="1502">
        <v>3060</v>
      </c>
      <c r="B55" s="579" t="s">
        <v>57</v>
      </c>
      <c r="C55" s="564">
        <f t="shared" ref="C55:D55" si="12">SUM(C63+C72)</f>
        <v>38000</v>
      </c>
      <c r="D55" s="564">
        <f t="shared" si="12"/>
        <v>56054</v>
      </c>
      <c r="E55" s="564">
        <f t="shared" ref="E55:F55" si="13">SUM(E63+E72)</f>
        <v>56054</v>
      </c>
      <c r="F55" s="564">
        <f t="shared" si="13"/>
        <v>56054</v>
      </c>
      <c r="G55" s="564">
        <f t="shared" ref="G55:H55" si="14">SUM(G63+G72)</f>
        <v>68054</v>
      </c>
      <c r="H55" s="564">
        <f t="shared" si="14"/>
        <v>45965</v>
      </c>
      <c r="I55" s="580">
        <f>H55/G55</f>
        <v>0.67541951979310544</v>
      </c>
      <c r="J55" s="1503"/>
    </row>
    <row r="56" spans="1:11" ht="12" customHeight="1">
      <c r="A56" s="1502">
        <v>3061</v>
      </c>
      <c r="B56" s="581" t="s">
        <v>90</v>
      </c>
      <c r="C56" s="564"/>
      <c r="D56" s="564"/>
      <c r="E56" s="564"/>
      <c r="F56" s="564"/>
      <c r="G56" s="564"/>
      <c r="H56" s="564"/>
      <c r="I56" s="560"/>
      <c r="J56" s="1512"/>
    </row>
    <row r="57" spans="1:11" ht="12" customHeight="1">
      <c r="A57" s="844"/>
      <c r="B57" s="573" t="s">
        <v>84</v>
      </c>
      <c r="C57" s="559"/>
      <c r="D57" s="559"/>
      <c r="E57" s="559"/>
      <c r="F57" s="559"/>
      <c r="G57" s="559"/>
      <c r="H57" s="559"/>
      <c r="I57" s="560"/>
      <c r="J57" s="1513"/>
    </row>
    <row r="58" spans="1:11" ht="12" customHeight="1">
      <c r="A58" s="844"/>
      <c r="B58" s="558" t="s">
        <v>231</v>
      </c>
      <c r="C58" s="559"/>
      <c r="D58" s="559"/>
      <c r="E58" s="559"/>
      <c r="F58" s="559"/>
      <c r="G58" s="559"/>
      <c r="H58" s="559"/>
      <c r="I58" s="545"/>
      <c r="J58" s="1505" t="s">
        <v>937</v>
      </c>
    </row>
    <row r="59" spans="1:11" ht="12" customHeight="1">
      <c r="A59" s="842"/>
      <c r="B59" s="561" t="s">
        <v>222</v>
      </c>
      <c r="C59" s="559">
        <v>3000</v>
      </c>
      <c r="D59" s="559">
        <f>3000+461</f>
        <v>3461</v>
      </c>
      <c r="E59" s="559">
        <f>3461</f>
        <v>3461</v>
      </c>
      <c r="F59" s="559">
        <f>3461</f>
        <v>3461</v>
      </c>
      <c r="G59" s="559">
        <f>3461</f>
        <v>3461</v>
      </c>
      <c r="H59" s="559">
        <v>176</v>
      </c>
      <c r="I59" s="562">
        <f>H59/G59</f>
        <v>5.0852354810748339E-2</v>
      </c>
      <c r="J59" s="1506"/>
    </row>
    <row r="60" spans="1:11" ht="12" customHeight="1">
      <c r="A60" s="842"/>
      <c r="B60" s="563" t="s">
        <v>89</v>
      </c>
      <c r="C60" s="559"/>
      <c r="D60" s="559"/>
      <c r="E60" s="559"/>
      <c r="F60" s="559"/>
      <c r="G60" s="559"/>
      <c r="H60" s="559"/>
      <c r="I60" s="548"/>
      <c r="J60" s="1514" t="s">
        <v>939</v>
      </c>
    </row>
    <row r="61" spans="1:11">
      <c r="A61" s="842"/>
      <c r="B61" s="563" t="s">
        <v>228</v>
      </c>
      <c r="C61" s="559"/>
      <c r="D61" s="559"/>
      <c r="E61" s="559"/>
      <c r="F61" s="559"/>
      <c r="G61" s="559"/>
      <c r="H61" s="559"/>
      <c r="I61" s="548"/>
      <c r="J61" s="1512"/>
    </row>
    <row r="62" spans="1:11" ht="12.75" thickBot="1">
      <c r="A62" s="842" t="s">
        <v>218</v>
      </c>
      <c r="B62" s="566" t="s">
        <v>190</v>
      </c>
      <c r="C62" s="574"/>
      <c r="D62" s="577"/>
      <c r="E62" s="577"/>
      <c r="F62" s="577"/>
      <c r="G62" s="577"/>
      <c r="H62" s="577"/>
      <c r="I62" s="578"/>
      <c r="J62" s="1515"/>
    </row>
    <row r="63" spans="1:11" ht="12.75" thickBot="1">
      <c r="A63" s="1516"/>
      <c r="B63" s="576" t="s">
        <v>97</v>
      </c>
      <c r="C63" s="571">
        <f t="shared" ref="C63:D63" si="15">SUM(C57:C62)</f>
        <v>3000</v>
      </c>
      <c r="D63" s="571">
        <f t="shared" si="15"/>
        <v>3461</v>
      </c>
      <c r="E63" s="571">
        <f t="shared" ref="E63:F63" si="16">SUM(E57:E62)</f>
        <v>3461</v>
      </c>
      <c r="F63" s="571">
        <f t="shared" si="16"/>
        <v>3461</v>
      </c>
      <c r="G63" s="571">
        <f t="shared" ref="G63:H63" si="17">SUM(G57:G62)</f>
        <v>3461</v>
      </c>
      <c r="H63" s="571">
        <f t="shared" si="17"/>
        <v>176</v>
      </c>
      <c r="I63" s="553">
        <f>H63/G63</f>
        <v>5.0852354810748339E-2</v>
      </c>
      <c r="J63" s="1517"/>
    </row>
    <row r="64" spans="1:11">
      <c r="A64" s="1518">
        <v>3071</v>
      </c>
      <c r="B64" s="582" t="s">
        <v>100</v>
      </c>
      <c r="C64" s="564"/>
      <c r="D64" s="564"/>
      <c r="E64" s="564"/>
      <c r="F64" s="564"/>
      <c r="G64" s="564"/>
      <c r="H64" s="564"/>
      <c r="I64" s="560"/>
      <c r="J64" s="1519"/>
    </row>
    <row r="65" spans="1:11" ht="12" customHeight="1">
      <c r="A65" s="842"/>
      <c r="B65" s="573" t="s">
        <v>84</v>
      </c>
      <c r="C65" s="559"/>
      <c r="D65" s="567"/>
      <c r="E65" s="567"/>
      <c r="F65" s="567"/>
      <c r="G65" s="567"/>
      <c r="H65" s="567"/>
      <c r="I65" s="545"/>
      <c r="J65" s="1520"/>
    </row>
    <row r="66" spans="1:11" ht="12" customHeight="1">
      <c r="A66" s="844"/>
      <c r="B66" s="558" t="s">
        <v>231</v>
      </c>
      <c r="C66" s="559"/>
      <c r="D66" s="567"/>
      <c r="E66" s="567"/>
      <c r="F66" s="567"/>
      <c r="G66" s="567"/>
      <c r="H66" s="567"/>
      <c r="I66" s="545"/>
      <c r="J66" s="1506"/>
    </row>
    <row r="67" spans="1:11" ht="12" customHeight="1">
      <c r="A67" s="844"/>
      <c r="B67" s="561" t="s">
        <v>222</v>
      </c>
      <c r="C67" s="559">
        <v>20000</v>
      </c>
      <c r="D67" s="567">
        <f>20000+17593+10000</f>
        <v>47593</v>
      </c>
      <c r="E67" s="567">
        <f>47593+3000</f>
        <v>50593</v>
      </c>
      <c r="F67" s="567">
        <f>47593+3000</f>
        <v>50593</v>
      </c>
      <c r="G67" s="778">
        <f>47593+3000-650</f>
        <v>49943</v>
      </c>
      <c r="H67" s="778">
        <v>45789</v>
      </c>
      <c r="I67" s="562">
        <f>H67/G67</f>
        <v>0.91682518070600483</v>
      </c>
      <c r="J67" s="1505" t="s">
        <v>936</v>
      </c>
      <c r="K67" s="751"/>
    </row>
    <row r="68" spans="1:11" ht="12" customHeight="1">
      <c r="A68" s="844"/>
      <c r="B68" s="563" t="s">
        <v>89</v>
      </c>
      <c r="C68" s="559"/>
      <c r="D68" s="567"/>
      <c r="E68" s="567"/>
      <c r="F68" s="567"/>
      <c r="G68" s="778"/>
      <c r="H68" s="778"/>
      <c r="I68" s="545"/>
      <c r="J68" s="1504" t="s">
        <v>399</v>
      </c>
    </row>
    <row r="69" spans="1:11" ht="12" customHeight="1">
      <c r="A69" s="844"/>
      <c r="B69" s="563" t="s">
        <v>228</v>
      </c>
      <c r="C69" s="559"/>
      <c r="D69" s="567"/>
      <c r="E69" s="567"/>
      <c r="F69" s="567"/>
      <c r="G69" s="778"/>
      <c r="H69" s="778"/>
      <c r="I69" s="545"/>
      <c r="J69" s="1506"/>
    </row>
    <row r="70" spans="1:11" ht="12" customHeight="1">
      <c r="A70" s="844"/>
      <c r="B70" s="566" t="s">
        <v>195</v>
      </c>
      <c r="C70" s="567"/>
      <c r="D70" s="567"/>
      <c r="E70" s="567"/>
      <c r="F70" s="567"/>
      <c r="G70" s="778">
        <f>12000+2650</f>
        <v>14650</v>
      </c>
      <c r="H70" s="778">
        <v>0</v>
      </c>
      <c r="I70" s="562">
        <f>H70/G70</f>
        <v>0</v>
      </c>
      <c r="J70" s="1510"/>
      <c r="K70" s="751"/>
    </row>
    <row r="71" spans="1:11" ht="12" customHeight="1" thickBot="1">
      <c r="A71" s="844"/>
      <c r="B71" s="566" t="s">
        <v>59</v>
      </c>
      <c r="C71" s="577">
        <v>15000</v>
      </c>
      <c r="D71" s="577">
        <f>15000-10000</f>
        <v>5000</v>
      </c>
      <c r="E71" s="577">
        <f>5000-3000</f>
        <v>2000</v>
      </c>
      <c r="F71" s="577">
        <f>5000-3000</f>
        <v>2000</v>
      </c>
      <c r="G71" s="779">
        <f>5000-3000-2000</f>
        <v>0</v>
      </c>
      <c r="H71" s="779">
        <f>5000-3000-2000</f>
        <v>0</v>
      </c>
      <c r="I71" s="527"/>
      <c r="J71" s="1521"/>
      <c r="K71" s="751"/>
    </row>
    <row r="72" spans="1:11" ht="12" customHeight="1" thickBot="1">
      <c r="A72" s="1522"/>
      <c r="B72" s="576" t="s">
        <v>97</v>
      </c>
      <c r="C72" s="571">
        <f t="shared" ref="C72:D72" si="18">SUM(C67:C71)</f>
        <v>35000</v>
      </c>
      <c r="D72" s="571">
        <f t="shared" si="18"/>
        <v>52593</v>
      </c>
      <c r="E72" s="571">
        <f t="shared" ref="E72:F72" si="19">SUM(E67:E71)</f>
        <v>52593</v>
      </c>
      <c r="F72" s="571">
        <f t="shared" si="19"/>
        <v>52593</v>
      </c>
      <c r="G72" s="571">
        <f t="shared" ref="G72:H72" si="20">SUM(G67:G71)</f>
        <v>64593</v>
      </c>
      <c r="H72" s="571">
        <f t="shared" si="20"/>
        <v>45789</v>
      </c>
      <c r="I72" s="553">
        <f>H72/G72</f>
        <v>0.70888486368491943</v>
      </c>
      <c r="J72" s="1523"/>
      <c r="K72" s="751"/>
    </row>
    <row r="73" spans="1:11">
      <c r="A73" s="1518">
        <v>3080</v>
      </c>
      <c r="B73" s="583" t="s">
        <v>60</v>
      </c>
      <c r="C73" s="564">
        <f t="shared" ref="C73:D73" si="21">SUM(C81)</f>
        <v>25000</v>
      </c>
      <c r="D73" s="564">
        <f t="shared" si="21"/>
        <v>33032</v>
      </c>
      <c r="E73" s="564">
        <f t="shared" ref="E73:F73" si="22">SUM(E81)</f>
        <v>33032</v>
      </c>
      <c r="F73" s="584">
        <f t="shared" si="22"/>
        <v>33032</v>
      </c>
      <c r="G73" s="584">
        <f t="shared" ref="G73:H73" si="23">SUM(G81)</f>
        <v>33032</v>
      </c>
      <c r="H73" s="584">
        <f t="shared" si="23"/>
        <v>26074</v>
      </c>
      <c r="I73" s="1712">
        <f>H73/G73</f>
        <v>0.7893557762170017</v>
      </c>
      <c r="J73" s="1519"/>
    </row>
    <row r="74" spans="1:11" ht="12" customHeight="1">
      <c r="A74" s="1518">
        <v>3081</v>
      </c>
      <c r="B74" s="581" t="s">
        <v>104</v>
      </c>
      <c r="C74" s="564"/>
      <c r="D74" s="564"/>
      <c r="E74" s="564"/>
      <c r="F74" s="564"/>
      <c r="G74" s="564"/>
      <c r="H74" s="564"/>
      <c r="I74" s="560"/>
      <c r="J74" s="1524"/>
    </row>
    <row r="75" spans="1:11" ht="12" customHeight="1">
      <c r="A75" s="842"/>
      <c r="B75" s="573" t="s">
        <v>84</v>
      </c>
      <c r="C75" s="559"/>
      <c r="D75" s="559"/>
      <c r="E75" s="559"/>
      <c r="F75" s="559"/>
      <c r="G75" s="559"/>
      <c r="H75" s="559"/>
      <c r="I75" s="560"/>
      <c r="J75" s="1504"/>
    </row>
    <row r="76" spans="1:11" ht="12" customHeight="1">
      <c r="A76" s="842"/>
      <c r="B76" s="558" t="s">
        <v>231</v>
      </c>
      <c r="C76" s="559"/>
      <c r="D76" s="559"/>
      <c r="E76" s="559"/>
      <c r="F76" s="559"/>
      <c r="G76" s="559"/>
      <c r="H76" s="559"/>
      <c r="I76" s="545"/>
      <c r="J76" s="1509"/>
    </row>
    <row r="77" spans="1:11" ht="12" customHeight="1">
      <c r="A77" s="842"/>
      <c r="B77" s="561" t="s">
        <v>222</v>
      </c>
      <c r="C77" s="559">
        <v>10000</v>
      </c>
      <c r="D77" s="559">
        <f>10000+1553</f>
        <v>11553</v>
      </c>
      <c r="E77" s="559">
        <f>11553</f>
        <v>11553</v>
      </c>
      <c r="F77" s="559">
        <f>11553-5000</f>
        <v>6553</v>
      </c>
      <c r="G77" s="559">
        <f>11553-5000</f>
        <v>6553</v>
      </c>
      <c r="H77" s="559">
        <v>2980</v>
      </c>
      <c r="I77" s="562">
        <f>H77/G77</f>
        <v>0.45475354799328555</v>
      </c>
      <c r="J77" s="1504"/>
    </row>
    <row r="78" spans="1:11" ht="12" customHeight="1">
      <c r="A78" s="842"/>
      <c r="B78" s="561" t="s">
        <v>58</v>
      </c>
      <c r="C78" s="559">
        <v>15000</v>
      </c>
      <c r="D78" s="559">
        <f>15000+6479</f>
        <v>21479</v>
      </c>
      <c r="E78" s="559">
        <f>21479</f>
        <v>21479</v>
      </c>
      <c r="F78" s="559">
        <f>21479+5000</f>
        <v>26479</v>
      </c>
      <c r="G78" s="559">
        <f>21479+5000</f>
        <v>26479</v>
      </c>
      <c r="H78" s="559">
        <v>23094</v>
      </c>
      <c r="I78" s="562">
        <f>H78/G78</f>
        <v>0.87216284602892857</v>
      </c>
      <c r="J78" s="1509"/>
    </row>
    <row r="79" spans="1:11" ht="12" customHeight="1">
      <c r="A79" s="842"/>
      <c r="B79" s="563" t="s">
        <v>228</v>
      </c>
      <c r="C79" s="559"/>
      <c r="D79" s="559"/>
      <c r="E79" s="559"/>
      <c r="F79" s="559"/>
      <c r="G79" s="559"/>
      <c r="H79" s="559"/>
      <c r="I79" s="560"/>
      <c r="J79" s="1520"/>
    </row>
    <row r="80" spans="1:11" ht="12" customHeight="1" thickBot="1">
      <c r="A80" s="844"/>
      <c r="B80" s="566" t="s">
        <v>59</v>
      </c>
      <c r="C80" s="577"/>
      <c r="D80" s="577"/>
      <c r="E80" s="569"/>
      <c r="F80" s="569"/>
      <c r="G80" s="569"/>
      <c r="H80" s="569"/>
      <c r="I80" s="585"/>
      <c r="J80" s="1521"/>
    </row>
    <row r="81" spans="1:11" ht="12" customHeight="1" thickBot="1">
      <c r="A81" s="1522"/>
      <c r="B81" s="576" t="s">
        <v>97</v>
      </c>
      <c r="C81" s="571">
        <f t="shared" ref="C81:D81" si="24">SUM(C75:C80)</f>
        <v>25000</v>
      </c>
      <c r="D81" s="571">
        <f t="shared" si="24"/>
        <v>33032</v>
      </c>
      <c r="E81" s="571">
        <f t="shared" ref="E81:F81" si="25">SUM(E75:E80)</f>
        <v>33032</v>
      </c>
      <c r="F81" s="586">
        <f t="shared" si="25"/>
        <v>33032</v>
      </c>
      <c r="G81" s="586">
        <f t="shared" ref="G81:H81" si="26">SUM(G75:G80)</f>
        <v>33032</v>
      </c>
      <c r="H81" s="586">
        <f t="shared" si="26"/>
        <v>26074</v>
      </c>
      <c r="I81" s="553">
        <f>H81/G81</f>
        <v>0.7893557762170017</v>
      </c>
      <c r="J81" s="1523"/>
    </row>
    <row r="82" spans="1:11" ht="12" customHeight="1" thickBot="1">
      <c r="A82" s="1525">
        <v>3130</v>
      </c>
      <c r="B82" s="587" t="s">
        <v>282</v>
      </c>
      <c r="C82" s="571">
        <f t="shared" ref="C82:H82" si="27">SUM(C83+C126)</f>
        <v>1645530</v>
      </c>
      <c r="D82" s="571">
        <f t="shared" si="27"/>
        <v>2099393</v>
      </c>
      <c r="E82" s="571">
        <f t="shared" si="27"/>
        <v>2149393</v>
      </c>
      <c r="F82" s="586">
        <f t="shared" si="27"/>
        <v>2356393</v>
      </c>
      <c r="G82" s="586">
        <f t="shared" si="27"/>
        <v>2356393</v>
      </c>
      <c r="H82" s="586">
        <f t="shared" si="27"/>
        <v>1696382</v>
      </c>
      <c r="I82" s="553">
        <f>H82/G82</f>
        <v>0.71990622956357453</v>
      </c>
      <c r="J82" s="1523"/>
    </row>
    <row r="83" spans="1:11" ht="12" customHeight="1" thickBot="1">
      <c r="A83" s="1518">
        <v>3110</v>
      </c>
      <c r="B83" s="587" t="s">
        <v>280</v>
      </c>
      <c r="C83" s="571">
        <f t="shared" ref="C83:D83" si="28">SUM(C91+C109+C117+C99+C125)</f>
        <v>1610530</v>
      </c>
      <c r="D83" s="571">
        <f t="shared" si="28"/>
        <v>2061695</v>
      </c>
      <c r="E83" s="571">
        <f t="shared" ref="E83:F83" si="29">SUM(E91+E109+E117+E99+E125)</f>
        <v>2111695</v>
      </c>
      <c r="F83" s="586">
        <f t="shared" si="29"/>
        <v>2318695</v>
      </c>
      <c r="G83" s="586">
        <f t="shared" ref="G83:H83" si="30">SUM(G91+G109+G117+G99+G125)</f>
        <v>2318695</v>
      </c>
      <c r="H83" s="586">
        <f t="shared" si="30"/>
        <v>1670238</v>
      </c>
      <c r="I83" s="553">
        <f>H83/G83</f>
        <v>0.72033536105438623</v>
      </c>
      <c r="J83" s="1523"/>
    </row>
    <row r="84" spans="1:11" ht="12" customHeight="1">
      <c r="A84" s="1526">
        <v>3111</v>
      </c>
      <c r="B84" s="588" t="s">
        <v>117</v>
      </c>
      <c r="C84" s="564"/>
      <c r="D84" s="564"/>
      <c r="E84" s="564"/>
      <c r="F84" s="564"/>
      <c r="G84" s="564"/>
      <c r="H84" s="564"/>
      <c r="I84" s="560"/>
      <c r="J84" s="1527" t="s">
        <v>938</v>
      </c>
    </row>
    <row r="85" spans="1:11" ht="12" customHeight="1">
      <c r="A85" s="844"/>
      <c r="B85" s="573" t="s">
        <v>84</v>
      </c>
      <c r="C85" s="559"/>
      <c r="D85" s="559"/>
      <c r="E85" s="559"/>
      <c r="F85" s="559"/>
      <c r="G85" s="559"/>
      <c r="H85" s="559"/>
      <c r="I85" s="560"/>
      <c r="J85" s="1504" t="s">
        <v>399</v>
      </c>
    </row>
    <row r="86" spans="1:11" ht="12" customHeight="1">
      <c r="A86" s="844"/>
      <c r="B86" s="558" t="s">
        <v>231</v>
      </c>
      <c r="C86" s="559"/>
      <c r="D86" s="559"/>
      <c r="E86" s="559"/>
      <c r="F86" s="559"/>
      <c r="G86" s="559"/>
      <c r="H86" s="559"/>
      <c r="I86" s="560"/>
      <c r="J86" s="1528"/>
    </row>
    <row r="87" spans="1:11" ht="12" customHeight="1">
      <c r="A87" s="844"/>
      <c r="B87" s="561" t="s">
        <v>222</v>
      </c>
      <c r="C87" s="559"/>
      <c r="D87" s="559">
        <v>2400</v>
      </c>
      <c r="E87" s="559">
        <v>2400</v>
      </c>
      <c r="F87" s="559">
        <v>2400</v>
      </c>
      <c r="G87" s="559">
        <v>2400</v>
      </c>
      <c r="H87" s="559">
        <v>0</v>
      </c>
      <c r="I87" s="562">
        <f>H87/G87</f>
        <v>0</v>
      </c>
      <c r="J87" s="1528"/>
    </row>
    <row r="88" spans="1:11" ht="12" customHeight="1">
      <c r="A88" s="844"/>
      <c r="B88" s="563" t="s">
        <v>89</v>
      </c>
      <c r="C88" s="559"/>
      <c r="D88" s="559"/>
      <c r="E88" s="559"/>
      <c r="F88" s="559"/>
      <c r="G88" s="559"/>
      <c r="H88" s="559"/>
      <c r="I88" s="560"/>
      <c r="J88" s="1529"/>
    </row>
    <row r="89" spans="1:11" ht="12" customHeight="1">
      <c r="A89" s="844"/>
      <c r="B89" s="563" t="s">
        <v>228</v>
      </c>
      <c r="C89" s="559"/>
      <c r="D89" s="559"/>
      <c r="E89" s="559"/>
      <c r="F89" s="559"/>
      <c r="G89" s="559"/>
      <c r="H89" s="559"/>
      <c r="I89" s="560"/>
      <c r="J89" s="1528"/>
    </row>
    <row r="90" spans="1:11" ht="12" customHeight="1" thickBot="1">
      <c r="A90" s="844"/>
      <c r="B90" s="566" t="s">
        <v>213</v>
      </c>
      <c r="C90" s="569">
        <v>1409129</v>
      </c>
      <c r="D90" s="569">
        <f>1409129+400000-2400</f>
        <v>1806729</v>
      </c>
      <c r="E90" s="569">
        <f>1806729</f>
        <v>1806729</v>
      </c>
      <c r="F90" s="569">
        <f>1806729+200000</f>
        <v>2006729</v>
      </c>
      <c r="G90" s="569">
        <f>1806729+200000</f>
        <v>2006729</v>
      </c>
      <c r="H90" s="569">
        <v>1482144</v>
      </c>
      <c r="I90" s="562">
        <f>H90/G90</f>
        <v>0.73858702395789366</v>
      </c>
      <c r="J90" s="1528"/>
      <c r="K90" s="12"/>
    </row>
    <row r="91" spans="1:11" ht="12" customHeight="1" thickBot="1">
      <c r="A91" s="1522"/>
      <c r="B91" s="576" t="s">
        <v>97</v>
      </c>
      <c r="C91" s="571">
        <f t="shared" ref="C91:D91" si="31">SUM(C85:C90)</f>
        <v>1409129</v>
      </c>
      <c r="D91" s="571">
        <f t="shared" si="31"/>
        <v>1809129</v>
      </c>
      <c r="E91" s="571">
        <f t="shared" ref="E91:F91" si="32">SUM(E85:E90)</f>
        <v>1809129</v>
      </c>
      <c r="F91" s="571">
        <f t="shared" si="32"/>
        <v>2009129</v>
      </c>
      <c r="G91" s="571">
        <f t="shared" ref="G91:H91" si="33">SUM(G85:G90)</f>
        <v>2009129</v>
      </c>
      <c r="H91" s="571">
        <f t="shared" si="33"/>
        <v>1482144</v>
      </c>
      <c r="I91" s="553">
        <f>H91/G91</f>
        <v>0.73770474668376196</v>
      </c>
      <c r="J91" s="475"/>
    </row>
    <row r="92" spans="1:11" ht="12" customHeight="1">
      <c r="A92" s="1526">
        <v>3112</v>
      </c>
      <c r="B92" s="588" t="s">
        <v>314</v>
      </c>
      <c r="C92" s="564"/>
      <c r="D92" s="564"/>
      <c r="E92" s="564"/>
      <c r="F92" s="564"/>
      <c r="G92" s="564"/>
      <c r="H92" s="564"/>
      <c r="I92" s="560"/>
      <c r="J92" s="1527"/>
    </row>
    <row r="93" spans="1:11" ht="12" customHeight="1">
      <c r="A93" s="844"/>
      <c r="B93" s="573" t="s">
        <v>84</v>
      </c>
      <c r="C93" s="559"/>
      <c r="D93" s="559"/>
      <c r="E93" s="559"/>
      <c r="F93" s="559"/>
      <c r="G93" s="559"/>
      <c r="H93" s="559"/>
      <c r="I93" s="560"/>
      <c r="J93" s="1528"/>
    </row>
    <row r="94" spans="1:11" ht="12" customHeight="1">
      <c r="A94" s="844"/>
      <c r="B94" s="558" t="s">
        <v>231</v>
      </c>
      <c r="C94" s="559"/>
      <c r="D94" s="559"/>
      <c r="E94" s="559"/>
      <c r="F94" s="559"/>
      <c r="G94" s="559"/>
      <c r="H94" s="559"/>
      <c r="I94" s="560"/>
      <c r="J94" s="1528"/>
    </row>
    <row r="95" spans="1:11" ht="12" customHeight="1">
      <c r="A95" s="844"/>
      <c r="B95" s="561" t="s">
        <v>222</v>
      </c>
      <c r="C95" s="559">
        <v>50000</v>
      </c>
      <c r="D95" s="559">
        <f>50000+17851</f>
        <v>67851</v>
      </c>
      <c r="E95" s="559">
        <f>67851</f>
        <v>67851</v>
      </c>
      <c r="F95" s="559">
        <f>67851</f>
        <v>67851</v>
      </c>
      <c r="G95" s="559">
        <f>67851</f>
        <v>67851</v>
      </c>
      <c r="H95" s="559">
        <v>16756</v>
      </c>
      <c r="I95" s="562">
        <f>H95/G95</f>
        <v>0.24695288205037508</v>
      </c>
      <c r="J95" s="1505" t="s">
        <v>936</v>
      </c>
    </row>
    <row r="96" spans="1:11" ht="12" customHeight="1">
      <c r="A96" s="844"/>
      <c r="B96" s="563" t="s">
        <v>89</v>
      </c>
      <c r="C96" s="559"/>
      <c r="D96" s="559"/>
      <c r="E96" s="559"/>
      <c r="F96" s="559"/>
      <c r="G96" s="559"/>
      <c r="H96" s="559"/>
      <c r="I96" s="548"/>
      <c r="J96" s="1514" t="s">
        <v>402</v>
      </c>
    </row>
    <row r="97" spans="1:10" ht="12" customHeight="1">
      <c r="A97" s="844"/>
      <c r="B97" s="563" t="s">
        <v>228</v>
      </c>
      <c r="C97" s="559"/>
      <c r="D97" s="559"/>
      <c r="E97" s="559"/>
      <c r="F97" s="559"/>
      <c r="G97" s="559"/>
      <c r="H97" s="559"/>
      <c r="I97" s="548"/>
      <c r="J97" s="1504" t="s">
        <v>399</v>
      </c>
    </row>
    <row r="98" spans="1:10" ht="12" customHeight="1" thickBot="1">
      <c r="A98" s="844"/>
      <c r="B98" s="566" t="s">
        <v>11</v>
      </c>
      <c r="C98" s="569"/>
      <c r="D98" s="569"/>
      <c r="E98" s="569"/>
      <c r="F98" s="569"/>
      <c r="G98" s="569"/>
      <c r="H98" s="569"/>
      <c r="I98" s="578"/>
      <c r="J98" s="1528"/>
    </row>
    <row r="99" spans="1:10" ht="12" customHeight="1" thickBot="1">
      <c r="A99" s="1522"/>
      <c r="B99" s="576" t="s">
        <v>97</v>
      </c>
      <c r="C99" s="571">
        <f t="shared" ref="C99:D99" si="34">SUM(C93:C98)</f>
        <v>50000</v>
      </c>
      <c r="D99" s="571">
        <f t="shared" si="34"/>
        <v>67851</v>
      </c>
      <c r="E99" s="571">
        <f t="shared" ref="E99:F99" si="35">SUM(E93:E98)</f>
        <v>67851</v>
      </c>
      <c r="F99" s="571">
        <f t="shared" si="35"/>
        <v>67851</v>
      </c>
      <c r="G99" s="571">
        <f t="shared" ref="G99:H99" si="36">SUM(G93:G98)</f>
        <v>67851</v>
      </c>
      <c r="H99" s="571">
        <f t="shared" si="36"/>
        <v>16756</v>
      </c>
      <c r="I99" s="553">
        <f>H99/G99</f>
        <v>0.24695288205037508</v>
      </c>
      <c r="J99" s="475"/>
    </row>
    <row r="100" spans="1:10" ht="12" customHeight="1">
      <c r="A100" s="819">
        <v>3114</v>
      </c>
      <c r="B100" s="589" t="s">
        <v>92</v>
      </c>
      <c r="C100" s="544"/>
      <c r="D100" s="544"/>
      <c r="E100" s="544"/>
      <c r="F100" s="544"/>
      <c r="G100" s="544"/>
      <c r="H100" s="544"/>
      <c r="I100" s="560"/>
      <c r="J100" s="854"/>
    </row>
    <row r="101" spans="1:10" ht="12" customHeight="1">
      <c r="A101" s="847"/>
      <c r="B101" s="590" t="s">
        <v>84</v>
      </c>
      <c r="C101" s="591"/>
      <c r="D101" s="591"/>
      <c r="E101" s="591"/>
      <c r="F101" s="591"/>
      <c r="G101" s="591"/>
      <c r="H101" s="591"/>
      <c r="I101" s="560"/>
      <c r="J101" s="1528"/>
    </row>
    <row r="102" spans="1:10" ht="12" customHeight="1">
      <c r="A102" s="847"/>
      <c r="B102" s="592" t="s">
        <v>231</v>
      </c>
      <c r="C102" s="591"/>
      <c r="D102" s="591"/>
      <c r="E102" s="591"/>
      <c r="F102" s="591"/>
      <c r="G102" s="591"/>
      <c r="H102" s="591"/>
      <c r="I102" s="560"/>
      <c r="J102" s="1530"/>
    </row>
    <row r="103" spans="1:10" ht="12" customHeight="1">
      <c r="A103" s="847"/>
      <c r="B103" s="593" t="s">
        <v>222</v>
      </c>
      <c r="C103" s="591">
        <v>85000</v>
      </c>
      <c r="D103" s="591">
        <f>85000+7221+2000</f>
        <v>94221</v>
      </c>
      <c r="E103" s="591">
        <f>94221+50000</f>
        <v>144221</v>
      </c>
      <c r="F103" s="591">
        <f>94221+50000</f>
        <v>144221</v>
      </c>
      <c r="G103" s="591">
        <f>94221+50000</f>
        <v>144221</v>
      </c>
      <c r="H103" s="591">
        <v>137120</v>
      </c>
      <c r="I103" s="562">
        <f>H103/G103</f>
        <v>0.95076306501827057</v>
      </c>
      <c r="J103" s="1531" t="s">
        <v>940</v>
      </c>
    </row>
    <row r="104" spans="1:10" ht="12" customHeight="1">
      <c r="A104" s="847"/>
      <c r="B104" s="594" t="s">
        <v>89</v>
      </c>
      <c r="C104" s="591"/>
      <c r="D104" s="591"/>
      <c r="E104" s="591"/>
      <c r="F104" s="591"/>
      <c r="G104" s="591"/>
      <c r="H104" s="591"/>
      <c r="I104" s="548"/>
      <c r="J104" s="1513"/>
    </row>
    <row r="105" spans="1:10" ht="12" customHeight="1">
      <c r="A105" s="847"/>
      <c r="B105" s="594" t="s">
        <v>228</v>
      </c>
      <c r="C105" s="591"/>
      <c r="D105" s="591"/>
      <c r="E105" s="591"/>
      <c r="F105" s="591"/>
      <c r="G105" s="591"/>
      <c r="H105" s="591"/>
      <c r="I105" s="548"/>
      <c r="J105" s="1530"/>
    </row>
    <row r="106" spans="1:10" ht="12" customHeight="1">
      <c r="A106" s="847"/>
      <c r="B106" s="566" t="s">
        <v>197</v>
      </c>
      <c r="C106" s="591"/>
      <c r="D106" s="591">
        <v>20011</v>
      </c>
      <c r="E106" s="591">
        <v>20011</v>
      </c>
      <c r="F106" s="591">
        <v>20011</v>
      </c>
      <c r="G106" s="591">
        <v>20011</v>
      </c>
      <c r="H106" s="591">
        <v>0</v>
      </c>
      <c r="I106" s="562">
        <f>H106/G106</f>
        <v>0</v>
      </c>
      <c r="J106" s="1532"/>
    </row>
    <row r="107" spans="1:10" ht="12" customHeight="1">
      <c r="A107" s="847"/>
      <c r="B107" s="595" t="s">
        <v>384</v>
      </c>
      <c r="C107" s="591"/>
      <c r="D107" s="591"/>
      <c r="E107" s="591"/>
      <c r="F107" s="591"/>
      <c r="G107" s="591"/>
      <c r="H107" s="591"/>
      <c r="I107" s="560"/>
      <c r="J107" s="1506"/>
    </row>
    <row r="108" spans="1:10" ht="12" customHeight="1" thickBot="1">
      <c r="A108" s="847"/>
      <c r="B108" s="568" t="s">
        <v>840</v>
      </c>
      <c r="C108" s="531"/>
      <c r="D108" s="531"/>
      <c r="E108" s="531"/>
      <c r="F108" s="531"/>
      <c r="G108" s="531"/>
      <c r="H108" s="531"/>
      <c r="I108" s="575"/>
      <c r="J108" s="1533"/>
    </row>
    <row r="109" spans="1:10" ht="12" customHeight="1" thickBot="1">
      <c r="A109" s="1498"/>
      <c r="B109" s="576" t="s">
        <v>97</v>
      </c>
      <c r="C109" s="596">
        <f t="shared" ref="C109:D109" si="37">SUM(C101:C108)</f>
        <v>85000</v>
      </c>
      <c r="D109" s="596">
        <f t="shared" si="37"/>
        <v>114232</v>
      </c>
      <c r="E109" s="596">
        <f t="shared" ref="E109:F109" si="38">SUM(E101:E108)</f>
        <v>164232</v>
      </c>
      <c r="F109" s="596">
        <f t="shared" si="38"/>
        <v>164232</v>
      </c>
      <c r="G109" s="596">
        <f t="shared" ref="G109:H109" si="39">SUM(G101:G108)</f>
        <v>164232</v>
      </c>
      <c r="H109" s="596">
        <f t="shared" si="39"/>
        <v>137120</v>
      </c>
      <c r="I109" s="553">
        <f>H109/G109</f>
        <v>0.83491645964245698</v>
      </c>
      <c r="J109" s="475"/>
    </row>
    <row r="110" spans="1:10" ht="12" customHeight="1">
      <c r="A110" s="819">
        <v>3115</v>
      </c>
      <c r="B110" s="589" t="s">
        <v>393</v>
      </c>
      <c r="C110" s="544"/>
      <c r="D110" s="544"/>
      <c r="E110" s="544"/>
      <c r="F110" s="544"/>
      <c r="G110" s="544"/>
      <c r="H110" s="544"/>
      <c r="I110" s="560"/>
      <c r="J110" s="854"/>
    </row>
    <row r="111" spans="1:10" ht="12" customHeight="1">
      <c r="A111" s="847"/>
      <c r="B111" s="590" t="s">
        <v>84</v>
      </c>
      <c r="C111" s="591"/>
      <c r="D111" s="591"/>
      <c r="E111" s="591"/>
      <c r="F111" s="591"/>
      <c r="G111" s="591"/>
      <c r="H111" s="591"/>
      <c r="I111" s="560"/>
      <c r="J111" s="1528"/>
    </row>
    <row r="112" spans="1:10" ht="12" customHeight="1">
      <c r="A112" s="847"/>
      <c r="B112" s="592" t="s">
        <v>231</v>
      </c>
      <c r="C112" s="591"/>
      <c r="D112" s="591"/>
      <c r="E112" s="591"/>
      <c r="F112" s="591"/>
      <c r="G112" s="591"/>
      <c r="H112" s="591"/>
      <c r="I112" s="545"/>
      <c r="J112" s="1505" t="s">
        <v>936</v>
      </c>
    </row>
    <row r="113" spans="1:11" ht="12" customHeight="1">
      <c r="A113" s="847"/>
      <c r="B113" s="597" t="s">
        <v>222</v>
      </c>
      <c r="C113" s="598">
        <v>30000</v>
      </c>
      <c r="D113" s="598">
        <f>30000+2216</f>
        <v>32216</v>
      </c>
      <c r="E113" s="598">
        <f>32216</f>
        <v>32216</v>
      </c>
      <c r="F113" s="598">
        <f>32216+7000</f>
        <v>39216</v>
      </c>
      <c r="G113" s="598">
        <f>32216+7000</f>
        <v>39216</v>
      </c>
      <c r="H113" s="598">
        <v>28569</v>
      </c>
      <c r="I113" s="562">
        <f>H113/G113</f>
        <v>0.72850367197062427</v>
      </c>
      <c r="J113" s="1504" t="s">
        <v>399</v>
      </c>
      <c r="K113" s="12"/>
    </row>
    <row r="114" spans="1:11" ht="12" customHeight="1">
      <c r="A114" s="847"/>
      <c r="B114" s="594" t="s">
        <v>89</v>
      </c>
      <c r="C114" s="591"/>
      <c r="D114" s="591"/>
      <c r="E114" s="591"/>
      <c r="F114" s="591"/>
      <c r="G114" s="591"/>
      <c r="H114" s="591"/>
      <c r="I114" s="548"/>
      <c r="J114" s="1513"/>
    </row>
    <row r="115" spans="1:11" ht="12" customHeight="1">
      <c r="A115" s="847"/>
      <c r="B115" s="594" t="s">
        <v>228</v>
      </c>
      <c r="C115" s="591"/>
      <c r="D115" s="591"/>
      <c r="E115" s="591"/>
      <c r="F115" s="591"/>
      <c r="G115" s="591"/>
      <c r="H115" s="591"/>
      <c r="I115" s="548"/>
      <c r="J115" s="1506"/>
    </row>
    <row r="116" spans="1:11" ht="12" customHeight="1" thickBot="1">
      <c r="A116" s="840"/>
      <c r="B116" s="599" t="s">
        <v>197</v>
      </c>
      <c r="C116" s="531"/>
      <c r="D116" s="531"/>
      <c r="E116" s="531"/>
      <c r="F116" s="531"/>
      <c r="G116" s="531"/>
      <c r="H116" s="531"/>
      <c r="I116" s="578"/>
      <c r="J116" s="1532"/>
    </row>
    <row r="117" spans="1:11" ht="12.75" customHeight="1" thickBot="1">
      <c r="A117" s="1498"/>
      <c r="B117" s="576" t="s">
        <v>97</v>
      </c>
      <c r="C117" s="596">
        <f t="shared" ref="C117:D117" si="40">SUM(C112:C116)</f>
        <v>30000</v>
      </c>
      <c r="D117" s="596">
        <f t="shared" si="40"/>
        <v>32216</v>
      </c>
      <c r="E117" s="596">
        <f t="shared" ref="E117:F117" si="41">SUM(E112:E116)</f>
        <v>32216</v>
      </c>
      <c r="F117" s="596">
        <f t="shared" si="41"/>
        <v>39216</v>
      </c>
      <c r="G117" s="596">
        <f t="shared" ref="G117:H117" si="42">SUM(G112:G116)</f>
        <v>39216</v>
      </c>
      <c r="H117" s="596">
        <f t="shared" si="42"/>
        <v>28569</v>
      </c>
      <c r="I117" s="553">
        <f>H117/G117</f>
        <v>0.72850367197062427</v>
      </c>
      <c r="J117" s="475"/>
    </row>
    <row r="118" spans="1:11" ht="12" customHeight="1">
      <c r="A118" s="819">
        <v>3116</v>
      </c>
      <c r="B118" s="589" t="s">
        <v>380</v>
      </c>
      <c r="C118" s="544"/>
      <c r="D118" s="544"/>
      <c r="E118" s="544"/>
      <c r="F118" s="544"/>
      <c r="G118" s="544"/>
      <c r="H118" s="544"/>
      <c r="I118" s="560"/>
      <c r="J118" s="854"/>
    </row>
    <row r="119" spans="1:11" ht="12" customHeight="1">
      <c r="A119" s="847"/>
      <c r="B119" s="590" t="s">
        <v>84</v>
      </c>
      <c r="C119" s="591"/>
      <c r="D119" s="591"/>
      <c r="E119" s="591"/>
      <c r="F119" s="591"/>
      <c r="G119" s="591"/>
      <c r="H119" s="591"/>
      <c r="I119" s="560"/>
      <c r="J119" s="1528"/>
    </row>
    <row r="120" spans="1:11" ht="12" customHeight="1">
      <c r="A120" s="847"/>
      <c r="B120" s="592" t="s">
        <v>231</v>
      </c>
      <c r="C120" s="591"/>
      <c r="D120" s="591"/>
      <c r="E120" s="591"/>
      <c r="F120" s="591"/>
      <c r="G120" s="591"/>
      <c r="H120" s="591"/>
      <c r="I120" s="545"/>
      <c r="J120" s="1514" t="s">
        <v>941</v>
      </c>
    </row>
    <row r="121" spans="1:11" ht="12" customHeight="1">
      <c r="A121" s="847"/>
      <c r="B121" s="593" t="s">
        <v>222</v>
      </c>
      <c r="C121" s="591">
        <v>36401</v>
      </c>
      <c r="D121" s="591">
        <f>36401+1866</f>
        <v>38267</v>
      </c>
      <c r="E121" s="591">
        <f>38267</f>
        <v>38267</v>
      </c>
      <c r="F121" s="591">
        <f>38267</f>
        <v>38267</v>
      </c>
      <c r="G121" s="591">
        <f>38267</f>
        <v>38267</v>
      </c>
      <c r="H121" s="591">
        <v>5649</v>
      </c>
      <c r="I121" s="562">
        <f>H121/G121</f>
        <v>0.14762066532521495</v>
      </c>
      <c r="J121" s="1531" t="s">
        <v>940</v>
      </c>
    </row>
    <row r="122" spans="1:11" ht="12" customHeight="1">
      <c r="A122" s="847"/>
      <c r="B122" s="594" t="s">
        <v>89</v>
      </c>
      <c r="C122" s="591"/>
      <c r="D122" s="591"/>
      <c r="E122" s="591"/>
      <c r="F122" s="591"/>
      <c r="G122" s="591"/>
      <c r="H122" s="591"/>
      <c r="I122" s="548"/>
      <c r="J122" s="1513"/>
    </row>
    <row r="123" spans="1:11" ht="12" customHeight="1">
      <c r="A123" s="847"/>
      <c r="B123" s="594" t="s">
        <v>228</v>
      </c>
      <c r="C123" s="591"/>
      <c r="D123" s="591"/>
      <c r="E123" s="591"/>
      <c r="F123" s="591"/>
      <c r="G123" s="591"/>
      <c r="H123" s="591"/>
      <c r="I123" s="548"/>
      <c r="J123" s="1528"/>
    </row>
    <row r="124" spans="1:11" ht="12" customHeight="1" thickBot="1">
      <c r="A124" s="840"/>
      <c r="B124" s="599" t="s">
        <v>59</v>
      </c>
      <c r="C124" s="531"/>
      <c r="D124" s="531"/>
      <c r="E124" s="531"/>
      <c r="F124" s="531"/>
      <c r="G124" s="531"/>
      <c r="H124" s="531"/>
      <c r="I124" s="578"/>
      <c r="J124" s="1532"/>
    </row>
    <row r="125" spans="1:11" ht="12" customHeight="1" thickBot="1">
      <c r="A125" s="1498"/>
      <c r="B125" s="576" t="s">
        <v>97</v>
      </c>
      <c r="C125" s="596">
        <f t="shared" ref="C125:D125" si="43">SUM(C120:C124)</f>
        <v>36401</v>
      </c>
      <c r="D125" s="596">
        <f t="shared" si="43"/>
        <v>38267</v>
      </c>
      <c r="E125" s="596">
        <f t="shared" ref="E125:F125" si="44">SUM(E120:E124)</f>
        <v>38267</v>
      </c>
      <c r="F125" s="596">
        <f t="shared" si="44"/>
        <v>38267</v>
      </c>
      <c r="G125" s="596">
        <f t="shared" ref="G125:H125" si="45">SUM(G120:G124)</f>
        <v>38267</v>
      </c>
      <c r="H125" s="596">
        <f t="shared" si="45"/>
        <v>5649</v>
      </c>
      <c r="I125" s="553">
        <f>H125/G125</f>
        <v>0.14762066532521495</v>
      </c>
      <c r="J125" s="475"/>
    </row>
    <row r="126" spans="1:11" ht="12" customHeight="1" thickBot="1">
      <c r="A126" s="451">
        <v>3120</v>
      </c>
      <c r="B126" s="587" t="s">
        <v>283</v>
      </c>
      <c r="C126" s="596">
        <f t="shared" ref="C126:H126" si="46">SUM(C134+C142+C150+C158+C166)</f>
        <v>35000</v>
      </c>
      <c r="D126" s="596">
        <f t="shared" si="46"/>
        <v>37698</v>
      </c>
      <c r="E126" s="596">
        <f t="shared" si="46"/>
        <v>37698</v>
      </c>
      <c r="F126" s="596">
        <f t="shared" si="46"/>
        <v>37698</v>
      </c>
      <c r="G126" s="596">
        <f t="shared" si="46"/>
        <v>37698</v>
      </c>
      <c r="H126" s="596">
        <f t="shared" si="46"/>
        <v>26144</v>
      </c>
      <c r="I126" s="553">
        <f>H126/G126</f>
        <v>0.69351159212690328</v>
      </c>
      <c r="J126" s="475"/>
    </row>
    <row r="127" spans="1:11" ht="12" customHeight="1">
      <c r="A127" s="838">
        <v>3121</v>
      </c>
      <c r="B127" s="600" t="s">
        <v>136</v>
      </c>
      <c r="C127" s="544"/>
      <c r="D127" s="544"/>
      <c r="E127" s="544"/>
      <c r="F127" s="544"/>
      <c r="G127" s="544"/>
      <c r="H127" s="544"/>
      <c r="I127" s="560"/>
      <c r="J127" s="1534"/>
    </row>
    <row r="128" spans="1:11" ht="12" customHeight="1">
      <c r="A128" s="838"/>
      <c r="B128" s="590" t="s">
        <v>84</v>
      </c>
      <c r="C128" s="544"/>
      <c r="D128" s="544"/>
      <c r="E128" s="544"/>
      <c r="F128" s="544"/>
      <c r="G128" s="544"/>
      <c r="H128" s="544"/>
      <c r="I128" s="560"/>
      <c r="J128" s="1535"/>
    </row>
    <row r="129" spans="1:10" ht="12" customHeight="1">
      <c r="A129" s="838"/>
      <c r="B129" s="592" t="s">
        <v>231</v>
      </c>
      <c r="C129" s="544"/>
      <c r="D129" s="544"/>
      <c r="E129" s="544"/>
      <c r="F129" s="544"/>
      <c r="G129" s="544"/>
      <c r="H129" s="544"/>
      <c r="I129" s="545"/>
      <c r="J129" s="1505" t="s">
        <v>936</v>
      </c>
    </row>
    <row r="130" spans="1:10" ht="12" customHeight="1">
      <c r="A130" s="819"/>
      <c r="B130" s="593" t="s">
        <v>222</v>
      </c>
      <c r="C130" s="598">
        <v>10000</v>
      </c>
      <c r="D130" s="598">
        <f>10000+756</f>
        <v>10756</v>
      </c>
      <c r="E130" s="598">
        <f>10756</f>
        <v>10756</v>
      </c>
      <c r="F130" s="598">
        <f>10756</f>
        <v>10756</v>
      </c>
      <c r="G130" s="598">
        <f>10756</f>
        <v>10756</v>
      </c>
      <c r="H130" s="598">
        <v>9081</v>
      </c>
      <c r="I130" s="562">
        <f>H130/G130</f>
        <v>0.84427296392711049</v>
      </c>
      <c r="J130" s="1536" t="s">
        <v>399</v>
      </c>
    </row>
    <row r="131" spans="1:10" ht="12" customHeight="1">
      <c r="A131" s="819"/>
      <c r="B131" s="594" t="s">
        <v>228</v>
      </c>
      <c r="C131" s="598"/>
      <c r="D131" s="598"/>
      <c r="E131" s="598"/>
      <c r="F131" s="598"/>
      <c r="G131" s="598"/>
      <c r="H131" s="598"/>
      <c r="I131" s="548"/>
      <c r="J131" s="1537"/>
    </row>
    <row r="132" spans="1:10" ht="12" customHeight="1">
      <c r="A132" s="838"/>
      <c r="B132" s="594" t="s">
        <v>228</v>
      </c>
      <c r="C132" s="544"/>
      <c r="D132" s="544"/>
      <c r="E132" s="544"/>
      <c r="F132" s="544"/>
      <c r="G132" s="544"/>
      <c r="H132" s="544"/>
      <c r="I132" s="548"/>
      <c r="J132" s="1506"/>
    </row>
    <row r="133" spans="1:10" ht="12" customHeight="1" thickBot="1">
      <c r="A133" s="838"/>
      <c r="B133" s="566" t="s">
        <v>59</v>
      </c>
      <c r="C133" s="601"/>
      <c r="D133" s="601"/>
      <c r="E133" s="601"/>
      <c r="F133" s="601"/>
      <c r="G133" s="601"/>
      <c r="H133" s="601"/>
      <c r="I133" s="578"/>
      <c r="J133" s="1538"/>
    </row>
    <row r="134" spans="1:10" ht="12.6" customHeight="1" thickBot="1">
      <c r="A134" s="1498"/>
      <c r="B134" s="576" t="s">
        <v>97</v>
      </c>
      <c r="C134" s="596">
        <f t="shared" ref="C134:D134" si="47">SUM(C130:C133)</f>
        <v>10000</v>
      </c>
      <c r="D134" s="596">
        <f t="shared" si="47"/>
        <v>10756</v>
      </c>
      <c r="E134" s="596">
        <f t="shared" ref="E134:F134" si="48">SUM(E130:E133)</f>
        <v>10756</v>
      </c>
      <c r="F134" s="596">
        <f t="shared" si="48"/>
        <v>10756</v>
      </c>
      <c r="G134" s="596">
        <f t="shared" ref="G134:H134" si="49">SUM(G130:G133)</f>
        <v>10756</v>
      </c>
      <c r="H134" s="596">
        <f t="shared" si="49"/>
        <v>9081</v>
      </c>
      <c r="I134" s="553">
        <f>H134/G134</f>
        <v>0.84427296392711049</v>
      </c>
      <c r="J134" s="475"/>
    </row>
    <row r="135" spans="1:10" ht="12" customHeight="1">
      <c r="A135" s="819">
        <v>3122</v>
      </c>
      <c r="B135" s="589" t="s">
        <v>132</v>
      </c>
      <c r="C135" s="544"/>
      <c r="D135" s="544"/>
      <c r="E135" s="544"/>
      <c r="F135" s="544"/>
      <c r="G135" s="544"/>
      <c r="H135" s="544"/>
      <c r="I135" s="560"/>
      <c r="J135" s="1539"/>
    </row>
    <row r="136" spans="1:10" ht="12" customHeight="1">
      <c r="A136" s="847"/>
      <c r="B136" s="590" t="s">
        <v>84</v>
      </c>
      <c r="C136" s="591"/>
      <c r="D136" s="591"/>
      <c r="E136" s="591"/>
      <c r="F136" s="591"/>
      <c r="G136" s="591"/>
      <c r="H136" s="591"/>
      <c r="I136" s="560"/>
      <c r="J136" s="1528"/>
    </row>
    <row r="137" spans="1:10" ht="12" customHeight="1">
      <c r="A137" s="847"/>
      <c r="B137" s="592" t="s">
        <v>231</v>
      </c>
      <c r="C137" s="591"/>
      <c r="D137" s="591"/>
      <c r="E137" s="591"/>
      <c r="F137" s="591"/>
      <c r="G137" s="591"/>
      <c r="H137" s="591"/>
      <c r="I137" s="545"/>
      <c r="J137" s="1528"/>
    </row>
    <row r="138" spans="1:10" ht="12" customHeight="1">
      <c r="A138" s="847"/>
      <c r="B138" s="593" t="s">
        <v>222</v>
      </c>
      <c r="C138" s="591">
        <v>5000</v>
      </c>
      <c r="D138" s="591">
        <f>5000+541</f>
        <v>5541</v>
      </c>
      <c r="E138" s="591">
        <f>5541</f>
        <v>5541</v>
      </c>
      <c r="F138" s="591">
        <f>5541</f>
        <v>5541</v>
      </c>
      <c r="G138" s="591">
        <f>5541</f>
        <v>5541</v>
      </c>
      <c r="H138" s="591">
        <v>2343</v>
      </c>
      <c r="I138" s="562">
        <f>H138/G138</f>
        <v>0.42284786139685976</v>
      </c>
      <c r="J138" s="1513"/>
    </row>
    <row r="139" spans="1:10" ht="12" customHeight="1">
      <c r="A139" s="847"/>
      <c r="B139" s="594" t="s">
        <v>89</v>
      </c>
      <c r="C139" s="591"/>
      <c r="D139" s="591"/>
      <c r="E139" s="591"/>
      <c r="F139" s="591"/>
      <c r="G139" s="591"/>
      <c r="H139" s="591"/>
      <c r="I139" s="548"/>
      <c r="J139" s="1528"/>
    </row>
    <row r="140" spans="1:10" ht="12" customHeight="1">
      <c r="A140" s="847"/>
      <c r="B140" s="594" t="s">
        <v>228</v>
      </c>
      <c r="C140" s="591"/>
      <c r="D140" s="591"/>
      <c r="E140" s="591"/>
      <c r="F140" s="591"/>
      <c r="G140" s="591"/>
      <c r="H140" s="591"/>
      <c r="I140" s="548"/>
      <c r="J140" s="1506"/>
    </row>
    <row r="141" spans="1:10" ht="12" customHeight="1" thickBot="1">
      <c r="A141" s="847"/>
      <c r="B141" s="566" t="s">
        <v>59</v>
      </c>
      <c r="C141" s="602"/>
      <c r="D141" s="602"/>
      <c r="E141" s="602"/>
      <c r="F141" s="602"/>
      <c r="G141" s="602"/>
      <c r="H141" s="602"/>
      <c r="I141" s="578"/>
      <c r="J141" s="1528"/>
    </row>
    <row r="142" spans="1:10" ht="12" customHeight="1" thickBot="1">
      <c r="A142" s="898"/>
      <c r="B142" s="576" t="s">
        <v>97</v>
      </c>
      <c r="C142" s="596">
        <f t="shared" ref="C142:D142" si="50">SUM(C136:C141)</f>
        <v>5000</v>
      </c>
      <c r="D142" s="596">
        <f t="shared" si="50"/>
        <v>5541</v>
      </c>
      <c r="E142" s="596">
        <f t="shared" ref="E142:F142" si="51">SUM(E136:E141)</f>
        <v>5541</v>
      </c>
      <c r="F142" s="596">
        <f t="shared" si="51"/>
        <v>5541</v>
      </c>
      <c r="G142" s="596">
        <f t="shared" ref="G142:H142" si="52">SUM(G136:G141)</f>
        <v>5541</v>
      </c>
      <c r="H142" s="596">
        <f t="shared" si="52"/>
        <v>2343</v>
      </c>
      <c r="I142" s="553">
        <f>H142/G142</f>
        <v>0.42284786139685976</v>
      </c>
      <c r="J142" s="475"/>
    </row>
    <row r="143" spans="1:10" ht="12" customHeight="1">
      <c r="A143" s="819">
        <v>3123</v>
      </c>
      <c r="B143" s="603" t="s">
        <v>91</v>
      </c>
      <c r="C143" s="544"/>
      <c r="D143" s="544"/>
      <c r="E143" s="544"/>
      <c r="F143" s="544"/>
      <c r="G143" s="544"/>
      <c r="H143" s="544"/>
      <c r="I143" s="560"/>
      <c r="J143" s="1527"/>
    </row>
    <row r="144" spans="1:10" ht="12" customHeight="1">
      <c r="A144" s="847"/>
      <c r="B144" s="590" t="s">
        <v>84</v>
      </c>
      <c r="C144" s="591"/>
      <c r="D144" s="591"/>
      <c r="E144" s="591"/>
      <c r="F144" s="591"/>
      <c r="G144" s="591"/>
      <c r="H144" s="591"/>
      <c r="I144" s="560"/>
      <c r="J144" s="1528"/>
    </row>
    <row r="145" spans="1:10" ht="12" customHeight="1">
      <c r="A145" s="847"/>
      <c r="B145" s="592" t="s">
        <v>231</v>
      </c>
      <c r="C145" s="591"/>
      <c r="D145" s="591"/>
      <c r="E145" s="591"/>
      <c r="F145" s="591"/>
      <c r="G145" s="591"/>
      <c r="H145" s="591"/>
      <c r="I145" s="545"/>
      <c r="J145" s="1529"/>
    </row>
    <row r="146" spans="1:10" ht="12" customHeight="1">
      <c r="A146" s="847"/>
      <c r="B146" s="593" t="s">
        <v>222</v>
      </c>
      <c r="C146" s="591">
        <v>10000</v>
      </c>
      <c r="D146" s="591">
        <f>10000+1401</f>
        <v>11401</v>
      </c>
      <c r="E146" s="591">
        <f>11401</f>
        <v>11401</v>
      </c>
      <c r="F146" s="591">
        <f>11401</f>
        <v>11401</v>
      </c>
      <c r="G146" s="591">
        <f>11401</f>
        <v>11401</v>
      </c>
      <c r="H146" s="591">
        <v>9720</v>
      </c>
      <c r="I146" s="562">
        <f>H146/G146</f>
        <v>0.85255679326374878</v>
      </c>
      <c r="J146" s="1513"/>
    </row>
    <row r="147" spans="1:10" ht="12" customHeight="1">
      <c r="A147" s="847"/>
      <c r="B147" s="594" t="s">
        <v>89</v>
      </c>
      <c r="C147" s="591"/>
      <c r="D147" s="591"/>
      <c r="E147" s="591"/>
      <c r="F147" s="591"/>
      <c r="G147" s="591"/>
      <c r="H147" s="591"/>
      <c r="I147" s="548"/>
      <c r="J147" s="1530"/>
    </row>
    <row r="148" spans="1:10" ht="12" customHeight="1">
      <c r="A148" s="847"/>
      <c r="B148" s="594" t="s">
        <v>228</v>
      </c>
      <c r="C148" s="591"/>
      <c r="D148" s="591"/>
      <c r="E148" s="591"/>
      <c r="F148" s="591"/>
      <c r="G148" s="591"/>
      <c r="H148" s="591"/>
      <c r="I148" s="548"/>
      <c r="J148" s="1506"/>
    </row>
    <row r="149" spans="1:10" ht="12" customHeight="1" thickBot="1">
      <c r="A149" s="847"/>
      <c r="B149" s="566" t="s">
        <v>59</v>
      </c>
      <c r="C149" s="602"/>
      <c r="D149" s="602"/>
      <c r="E149" s="602"/>
      <c r="F149" s="602"/>
      <c r="G149" s="602"/>
      <c r="H149" s="602"/>
      <c r="I149" s="578"/>
      <c r="J149" s="1528"/>
    </row>
    <row r="150" spans="1:10" ht="12" customHeight="1" thickBot="1">
      <c r="A150" s="898"/>
      <c r="B150" s="576" t="s">
        <v>97</v>
      </c>
      <c r="C150" s="596">
        <f t="shared" ref="C150:D150" si="53">SUM(C144:C149)</f>
        <v>10000</v>
      </c>
      <c r="D150" s="596">
        <f t="shared" si="53"/>
        <v>11401</v>
      </c>
      <c r="E150" s="596">
        <f t="shared" ref="E150:F150" si="54">SUM(E144:E149)</f>
        <v>11401</v>
      </c>
      <c r="F150" s="596">
        <f t="shared" si="54"/>
        <v>11401</v>
      </c>
      <c r="G150" s="596">
        <f t="shared" ref="G150:H150" si="55">SUM(G144:G149)</f>
        <v>11401</v>
      </c>
      <c r="H150" s="596">
        <f t="shared" si="55"/>
        <v>9720</v>
      </c>
      <c r="I150" s="553">
        <f>H150/G150</f>
        <v>0.85255679326374878</v>
      </c>
      <c r="J150" s="475"/>
    </row>
    <row r="151" spans="1:10" ht="12" customHeight="1">
      <c r="A151" s="819">
        <v>3124</v>
      </c>
      <c r="B151" s="603" t="s">
        <v>94</v>
      </c>
      <c r="C151" s="544"/>
      <c r="D151" s="544"/>
      <c r="E151" s="544"/>
      <c r="F151" s="544"/>
      <c r="G151" s="544"/>
      <c r="H151" s="544"/>
      <c r="I151" s="560"/>
      <c r="J151" s="1527" t="s">
        <v>938</v>
      </c>
    </row>
    <row r="152" spans="1:10" ht="12" customHeight="1">
      <c r="A152" s="847"/>
      <c r="B152" s="590" t="s">
        <v>84</v>
      </c>
      <c r="C152" s="591"/>
      <c r="D152" s="591"/>
      <c r="E152" s="591"/>
      <c r="F152" s="591"/>
      <c r="G152" s="591"/>
      <c r="H152" s="591"/>
      <c r="I152" s="560"/>
      <c r="J152" s="1504" t="s">
        <v>399</v>
      </c>
    </row>
    <row r="153" spans="1:10" ht="12" customHeight="1">
      <c r="A153" s="847"/>
      <c r="B153" s="592" t="s">
        <v>231</v>
      </c>
      <c r="C153" s="591"/>
      <c r="D153" s="591"/>
      <c r="E153" s="591"/>
      <c r="F153" s="591"/>
      <c r="G153" s="591"/>
      <c r="H153" s="591"/>
      <c r="I153" s="545"/>
      <c r="J153" s="1528"/>
    </row>
    <row r="154" spans="1:10" ht="12" customHeight="1">
      <c r="A154" s="847"/>
      <c r="B154" s="593" t="s">
        <v>222</v>
      </c>
      <c r="C154" s="591">
        <v>5000</v>
      </c>
      <c r="D154" s="591">
        <v>5000</v>
      </c>
      <c r="E154" s="591">
        <v>5000</v>
      </c>
      <c r="F154" s="591">
        <v>5000</v>
      </c>
      <c r="G154" s="591">
        <v>5000</v>
      </c>
      <c r="H154" s="591">
        <v>5000</v>
      </c>
      <c r="I154" s="562">
        <f>H154/G154</f>
        <v>1</v>
      </c>
      <c r="J154" s="1513"/>
    </row>
    <row r="155" spans="1:10" ht="12" customHeight="1">
      <c r="A155" s="847"/>
      <c r="B155" s="594" t="s">
        <v>89</v>
      </c>
      <c r="C155" s="591"/>
      <c r="D155" s="591"/>
      <c r="E155" s="591"/>
      <c r="F155" s="591"/>
      <c r="G155" s="591"/>
      <c r="H155" s="591"/>
      <c r="I155" s="548"/>
      <c r="J155" s="1528"/>
    </row>
    <row r="156" spans="1:10" ht="12" customHeight="1">
      <c r="A156" s="847"/>
      <c r="B156" s="594" t="s">
        <v>228</v>
      </c>
      <c r="C156" s="591"/>
      <c r="D156" s="591"/>
      <c r="E156" s="591"/>
      <c r="F156" s="591"/>
      <c r="G156" s="591"/>
      <c r="H156" s="591"/>
      <c r="I156" s="548"/>
      <c r="J156" s="1506"/>
    </row>
    <row r="157" spans="1:10" ht="12" customHeight="1" thickBot="1">
      <c r="A157" s="847"/>
      <c r="B157" s="566" t="s">
        <v>59</v>
      </c>
      <c r="C157" s="602"/>
      <c r="D157" s="602"/>
      <c r="E157" s="602"/>
      <c r="F157" s="602"/>
      <c r="G157" s="602"/>
      <c r="H157" s="602"/>
      <c r="I157" s="578"/>
      <c r="J157" s="1528"/>
    </row>
    <row r="158" spans="1:10" ht="12" customHeight="1" thickBot="1">
      <c r="A158" s="898"/>
      <c r="B158" s="576" t="s">
        <v>97</v>
      </c>
      <c r="C158" s="596">
        <f t="shared" ref="C158:D158" si="56">SUM(C152:C157)</f>
        <v>5000</v>
      </c>
      <c r="D158" s="596">
        <f t="shared" si="56"/>
        <v>5000</v>
      </c>
      <c r="E158" s="596">
        <f t="shared" ref="E158:F158" si="57">SUM(E152:E157)</f>
        <v>5000</v>
      </c>
      <c r="F158" s="596">
        <f t="shared" si="57"/>
        <v>5000</v>
      </c>
      <c r="G158" s="596">
        <f t="shared" ref="G158:H158" si="58">SUM(G152:G157)</f>
        <v>5000</v>
      </c>
      <c r="H158" s="596">
        <f t="shared" si="58"/>
        <v>5000</v>
      </c>
      <c r="I158" s="553">
        <f>H158/G158</f>
        <v>1</v>
      </c>
      <c r="J158" s="475"/>
    </row>
    <row r="159" spans="1:10" ht="12" customHeight="1">
      <c r="A159" s="819">
        <v>3125</v>
      </c>
      <c r="B159" s="603" t="s">
        <v>829</v>
      </c>
      <c r="C159" s="544"/>
      <c r="D159" s="544"/>
      <c r="E159" s="544"/>
      <c r="F159" s="544"/>
      <c r="G159" s="544"/>
      <c r="H159" s="544"/>
      <c r="I159" s="560"/>
      <c r="J159" s="1527"/>
    </row>
    <row r="160" spans="1:10" ht="12" customHeight="1">
      <c r="A160" s="847"/>
      <c r="B160" s="590" t="s">
        <v>84</v>
      </c>
      <c r="C160" s="591">
        <v>4425</v>
      </c>
      <c r="D160" s="591">
        <v>4425</v>
      </c>
      <c r="E160" s="591">
        <v>4425</v>
      </c>
      <c r="F160" s="591">
        <v>4425</v>
      </c>
      <c r="G160" s="591">
        <v>4425</v>
      </c>
      <c r="H160" s="591">
        <v>0</v>
      </c>
      <c r="I160" s="562">
        <f>H160/G160</f>
        <v>0</v>
      </c>
      <c r="J160" s="1528"/>
    </row>
    <row r="161" spans="1:10" ht="12" customHeight="1">
      <c r="A161" s="847"/>
      <c r="B161" s="592" t="s">
        <v>231</v>
      </c>
      <c r="C161" s="591">
        <v>575</v>
      </c>
      <c r="D161" s="591">
        <v>575</v>
      </c>
      <c r="E161" s="591">
        <v>575</v>
      </c>
      <c r="F161" s="591">
        <v>575</v>
      </c>
      <c r="G161" s="591">
        <v>575</v>
      </c>
      <c r="H161" s="591">
        <v>0</v>
      </c>
      <c r="I161" s="562">
        <f>H161/G161</f>
        <v>0</v>
      </c>
      <c r="J161" s="1528"/>
    </row>
    <row r="162" spans="1:10" ht="12" customHeight="1">
      <c r="A162" s="847"/>
      <c r="B162" s="593" t="s">
        <v>222</v>
      </c>
      <c r="C162" s="591"/>
      <c r="D162" s="591"/>
      <c r="E162" s="591"/>
      <c r="F162" s="591"/>
      <c r="G162" s="591"/>
      <c r="H162" s="591"/>
      <c r="I162" s="548"/>
      <c r="J162" s="1513"/>
    </row>
    <row r="163" spans="1:10" ht="12" customHeight="1">
      <c r="A163" s="847"/>
      <c r="B163" s="594" t="s">
        <v>89</v>
      </c>
      <c r="C163" s="591"/>
      <c r="D163" s="591"/>
      <c r="E163" s="591"/>
      <c r="F163" s="591"/>
      <c r="G163" s="591"/>
      <c r="H163" s="591"/>
      <c r="I163" s="548"/>
      <c r="J163" s="1528"/>
    </row>
    <row r="164" spans="1:10" ht="12" customHeight="1">
      <c r="A164" s="847"/>
      <c r="B164" s="594" t="s">
        <v>228</v>
      </c>
      <c r="C164" s="591"/>
      <c r="D164" s="591"/>
      <c r="E164" s="591"/>
      <c r="F164" s="591"/>
      <c r="G164" s="591"/>
      <c r="H164" s="591"/>
      <c r="I164" s="548"/>
      <c r="J164" s="1506"/>
    </row>
    <row r="165" spans="1:10" ht="12" customHeight="1" thickBot="1">
      <c r="A165" s="847"/>
      <c r="B165" s="566" t="s">
        <v>59</v>
      </c>
      <c r="C165" s="602"/>
      <c r="D165" s="602"/>
      <c r="E165" s="602"/>
      <c r="F165" s="602"/>
      <c r="G165" s="602"/>
      <c r="H165" s="602"/>
      <c r="I165" s="578"/>
      <c r="J165" s="1528"/>
    </row>
    <row r="166" spans="1:10" ht="12" customHeight="1" thickBot="1">
      <c r="A166" s="898"/>
      <c r="B166" s="576" t="s">
        <v>97</v>
      </c>
      <c r="C166" s="596">
        <f t="shared" ref="C166:H166" si="59">C160+C161+C162+C163+C164+C165</f>
        <v>5000</v>
      </c>
      <c r="D166" s="596">
        <f t="shared" si="59"/>
        <v>5000</v>
      </c>
      <c r="E166" s="596">
        <f t="shared" si="59"/>
        <v>5000</v>
      </c>
      <c r="F166" s="596">
        <f t="shared" si="59"/>
        <v>5000</v>
      </c>
      <c r="G166" s="596">
        <f t="shared" si="59"/>
        <v>5000</v>
      </c>
      <c r="H166" s="596">
        <f t="shared" si="59"/>
        <v>0</v>
      </c>
      <c r="I166" s="553">
        <f>H166/G166</f>
        <v>0</v>
      </c>
      <c r="J166" s="475"/>
    </row>
    <row r="167" spans="1:10" ht="12" customHeight="1" thickBot="1">
      <c r="A167" s="819">
        <v>3140</v>
      </c>
      <c r="B167" s="603" t="s">
        <v>95</v>
      </c>
      <c r="C167" s="596">
        <f t="shared" ref="C167:H167" si="60">SUM(C175+C184+C192+C200+C209+C218)+C227</f>
        <v>66500</v>
      </c>
      <c r="D167" s="596">
        <f t="shared" si="60"/>
        <v>108047</v>
      </c>
      <c r="E167" s="596">
        <f t="shared" si="60"/>
        <v>108047</v>
      </c>
      <c r="F167" s="596">
        <f t="shared" si="60"/>
        <v>108047</v>
      </c>
      <c r="G167" s="596">
        <f t="shared" si="60"/>
        <v>108047</v>
      </c>
      <c r="H167" s="596">
        <f t="shared" si="60"/>
        <v>58884</v>
      </c>
      <c r="I167" s="553">
        <f>H167/G167</f>
        <v>0.54498505280109577</v>
      </c>
      <c r="J167" s="409"/>
    </row>
    <row r="168" spans="1:10" ht="12" customHeight="1">
      <c r="A168" s="819">
        <v>3141</v>
      </c>
      <c r="B168" s="603" t="s">
        <v>710</v>
      </c>
      <c r="C168" s="544"/>
      <c r="D168" s="544"/>
      <c r="E168" s="544"/>
      <c r="F168" s="544"/>
      <c r="G168" s="544"/>
      <c r="H168" s="544"/>
      <c r="I168" s="560"/>
      <c r="J168" s="1528"/>
    </row>
    <row r="169" spans="1:10" ht="12" customHeight="1">
      <c r="A169" s="847"/>
      <c r="B169" s="590" t="s">
        <v>84</v>
      </c>
      <c r="C169" s="591"/>
      <c r="D169" s="591"/>
      <c r="E169" s="591"/>
      <c r="F169" s="591"/>
      <c r="G169" s="591"/>
      <c r="H169" s="591"/>
      <c r="I169" s="560"/>
      <c r="J169" s="1540" t="s">
        <v>942</v>
      </c>
    </row>
    <row r="170" spans="1:10" ht="12" customHeight="1">
      <c r="A170" s="847"/>
      <c r="B170" s="592" t="s">
        <v>231</v>
      </c>
      <c r="C170" s="591"/>
      <c r="D170" s="591"/>
      <c r="E170" s="591"/>
      <c r="F170" s="591"/>
      <c r="G170" s="591"/>
      <c r="H170" s="591"/>
      <c r="I170" s="545"/>
      <c r="J170" s="1529"/>
    </row>
    <row r="171" spans="1:10" ht="12" customHeight="1">
      <c r="A171" s="847"/>
      <c r="B171" s="593" t="s">
        <v>222</v>
      </c>
      <c r="C171" s="591">
        <v>12500</v>
      </c>
      <c r="D171" s="591">
        <v>12500</v>
      </c>
      <c r="E171" s="591">
        <f>12500-2047</f>
        <v>10453</v>
      </c>
      <c r="F171" s="591">
        <f>12500-2047</f>
        <v>10453</v>
      </c>
      <c r="G171" s="591">
        <f>12500-2047</f>
        <v>10453</v>
      </c>
      <c r="H171" s="591">
        <v>10453</v>
      </c>
      <c r="I171" s="562">
        <f>H171/G171</f>
        <v>1</v>
      </c>
      <c r="J171" s="1529"/>
    </row>
    <row r="172" spans="1:10" ht="12" customHeight="1">
      <c r="A172" s="847"/>
      <c r="B172" s="594" t="s">
        <v>89</v>
      </c>
      <c r="C172" s="591">
        <v>3000</v>
      </c>
      <c r="D172" s="591">
        <v>3000</v>
      </c>
      <c r="E172" s="591">
        <f>3000+2047</f>
        <v>5047</v>
      </c>
      <c r="F172" s="591">
        <f>3000+2047</f>
        <v>5047</v>
      </c>
      <c r="G172" s="591">
        <f>3000+2047</f>
        <v>5047</v>
      </c>
      <c r="H172" s="591">
        <v>964</v>
      </c>
      <c r="I172" s="562">
        <f>H172/G172</f>
        <v>0.1910045571626709</v>
      </c>
      <c r="J172" s="1529"/>
    </row>
    <row r="173" spans="1:10" ht="12" customHeight="1">
      <c r="A173" s="847"/>
      <c r="B173" s="594" t="s">
        <v>228</v>
      </c>
      <c r="C173" s="598"/>
      <c r="D173" s="598"/>
      <c r="E173" s="598"/>
      <c r="F173" s="598"/>
      <c r="G173" s="598"/>
      <c r="H173" s="598"/>
      <c r="I173" s="548"/>
      <c r="J173" s="1529"/>
    </row>
    <row r="174" spans="1:10" ht="12" customHeight="1" thickBot="1">
      <c r="A174" s="847"/>
      <c r="B174" s="566" t="s">
        <v>59</v>
      </c>
      <c r="C174" s="602"/>
      <c r="D174" s="602"/>
      <c r="E174" s="602"/>
      <c r="F174" s="602"/>
      <c r="G174" s="602"/>
      <c r="H174" s="602"/>
      <c r="I174" s="578"/>
      <c r="J174" s="1541"/>
    </row>
    <row r="175" spans="1:10" ht="12" customHeight="1" thickBot="1">
      <c r="A175" s="898"/>
      <c r="B175" s="576" t="s">
        <v>97</v>
      </c>
      <c r="C175" s="596">
        <f t="shared" ref="C175:D175" si="61">SUM(C169:C174)</f>
        <v>15500</v>
      </c>
      <c r="D175" s="596">
        <f t="shared" si="61"/>
        <v>15500</v>
      </c>
      <c r="E175" s="596">
        <f t="shared" ref="E175:F175" si="62">SUM(E169:E174)</f>
        <v>15500</v>
      </c>
      <c r="F175" s="596">
        <f t="shared" si="62"/>
        <v>15500</v>
      </c>
      <c r="G175" s="596">
        <f t="shared" ref="G175:H175" si="63">SUM(G169:G174)</f>
        <v>15500</v>
      </c>
      <c r="H175" s="596">
        <f t="shared" si="63"/>
        <v>11417</v>
      </c>
      <c r="I175" s="553">
        <f>H175/G175</f>
        <v>0.73658064516129029</v>
      </c>
      <c r="J175" s="475"/>
    </row>
    <row r="176" spans="1:10" ht="12" customHeight="1">
      <c r="A176" s="819">
        <v>3142</v>
      </c>
      <c r="B176" s="604" t="s">
        <v>16</v>
      </c>
      <c r="C176" s="544"/>
      <c r="D176" s="544"/>
      <c r="E176" s="544"/>
      <c r="F176" s="544"/>
      <c r="G176" s="544"/>
      <c r="H176" s="544"/>
      <c r="I176" s="560"/>
      <c r="J176" s="1534"/>
    </row>
    <row r="177" spans="1:10" ht="12" customHeight="1">
      <c r="A177" s="819"/>
      <c r="B177" s="590" t="s">
        <v>84</v>
      </c>
      <c r="C177" s="591">
        <v>2700</v>
      </c>
      <c r="D177" s="591">
        <f>2700+11</f>
        <v>2711</v>
      </c>
      <c r="E177" s="591">
        <f>2711</f>
        <v>2711</v>
      </c>
      <c r="F177" s="591">
        <f>2711</f>
        <v>2711</v>
      </c>
      <c r="G177" s="591">
        <f>2711</f>
        <v>2711</v>
      </c>
      <c r="H177" s="591">
        <v>2510</v>
      </c>
      <c r="I177" s="562">
        <f>H177/G177</f>
        <v>0.92585761711545556</v>
      </c>
      <c r="J177" s="1536"/>
    </row>
    <row r="178" spans="1:10" ht="12" customHeight="1">
      <c r="A178" s="819"/>
      <c r="B178" s="592" t="s">
        <v>231</v>
      </c>
      <c r="C178" s="591">
        <v>800</v>
      </c>
      <c r="D178" s="591">
        <f>800+511</f>
        <v>1311</v>
      </c>
      <c r="E178" s="591">
        <f>1311</f>
        <v>1311</v>
      </c>
      <c r="F178" s="591">
        <f>1311</f>
        <v>1311</v>
      </c>
      <c r="G178" s="591">
        <f>1311</f>
        <v>1311</v>
      </c>
      <c r="H178" s="591">
        <v>561</v>
      </c>
      <c r="I178" s="562">
        <f>H178/G178</f>
        <v>0.42791762013729978</v>
      </c>
      <c r="J178" s="1540" t="s">
        <v>942</v>
      </c>
    </row>
    <row r="179" spans="1:10" ht="12" customHeight="1">
      <c r="A179" s="819"/>
      <c r="B179" s="593" t="s">
        <v>222</v>
      </c>
      <c r="C179" s="598">
        <v>1500</v>
      </c>
      <c r="D179" s="598">
        <f>1500+422</f>
        <v>1922</v>
      </c>
      <c r="E179" s="598">
        <f>1922</f>
        <v>1922</v>
      </c>
      <c r="F179" s="598">
        <f>1922</f>
        <v>1922</v>
      </c>
      <c r="G179" s="598">
        <f>1922</f>
        <v>1922</v>
      </c>
      <c r="H179" s="598">
        <v>1106</v>
      </c>
      <c r="I179" s="562">
        <f>H179/G179</f>
        <v>0.5754422476586889</v>
      </c>
      <c r="J179" s="1529"/>
    </row>
    <row r="180" spans="1:10" ht="12" customHeight="1">
      <c r="A180" s="819"/>
      <c r="B180" s="594" t="s">
        <v>89</v>
      </c>
      <c r="C180" s="598"/>
      <c r="D180" s="598"/>
      <c r="E180" s="598"/>
      <c r="F180" s="598"/>
      <c r="G180" s="598"/>
      <c r="H180" s="598"/>
      <c r="I180" s="562"/>
      <c r="J180" s="1528"/>
    </row>
    <row r="181" spans="1:10" ht="12" customHeight="1">
      <c r="A181" s="819"/>
      <c r="B181" s="594" t="s">
        <v>228</v>
      </c>
      <c r="C181" s="598">
        <v>1000</v>
      </c>
      <c r="D181" s="598">
        <v>1000</v>
      </c>
      <c r="E181" s="598">
        <v>1000</v>
      </c>
      <c r="F181" s="598">
        <v>1000</v>
      </c>
      <c r="G181" s="598">
        <v>1000</v>
      </c>
      <c r="H181" s="598">
        <v>0</v>
      </c>
      <c r="I181" s="562">
        <f>H181/G181</f>
        <v>0</v>
      </c>
      <c r="J181" s="1537"/>
    </row>
    <row r="182" spans="1:10" ht="12" customHeight="1">
      <c r="A182" s="819"/>
      <c r="B182" s="594" t="s">
        <v>197</v>
      </c>
      <c r="C182" s="598"/>
      <c r="D182" s="598"/>
      <c r="E182" s="598"/>
      <c r="F182" s="598"/>
      <c r="G182" s="598"/>
      <c r="H182" s="598"/>
      <c r="I182" s="548"/>
      <c r="J182" s="1537"/>
    </row>
    <row r="183" spans="1:10" ht="12.75" thickBot="1">
      <c r="A183" s="819"/>
      <c r="B183" s="566" t="s">
        <v>213</v>
      </c>
      <c r="C183" s="605"/>
      <c r="D183" s="605"/>
      <c r="E183" s="605"/>
      <c r="F183" s="605"/>
      <c r="G183" s="605"/>
      <c r="H183" s="605"/>
      <c r="I183" s="578"/>
      <c r="J183" s="826"/>
    </row>
    <row r="184" spans="1:10" ht="12" customHeight="1" thickBot="1">
      <c r="A184" s="898"/>
      <c r="B184" s="576" t="s">
        <v>97</v>
      </c>
      <c r="C184" s="596">
        <f t="shared" ref="C184:D184" si="64">SUM(C177:C183)</f>
        <v>6000</v>
      </c>
      <c r="D184" s="596">
        <f t="shared" si="64"/>
        <v>6944</v>
      </c>
      <c r="E184" s="596">
        <f t="shared" ref="E184:F184" si="65">SUM(E177:E183)</f>
        <v>6944</v>
      </c>
      <c r="F184" s="596">
        <f t="shared" si="65"/>
        <v>6944</v>
      </c>
      <c r="G184" s="596">
        <f t="shared" ref="G184:H184" si="66">SUM(G177:G183)</f>
        <v>6944</v>
      </c>
      <c r="H184" s="596">
        <f t="shared" si="66"/>
        <v>4177</v>
      </c>
      <c r="I184" s="553">
        <f>H184/G184</f>
        <v>0.60152649769585254</v>
      </c>
      <c r="J184" s="475"/>
    </row>
    <row r="185" spans="1:10" ht="12" customHeight="1">
      <c r="A185" s="896">
        <v>3143</v>
      </c>
      <c r="B185" s="589" t="s">
        <v>758</v>
      </c>
      <c r="C185" s="544"/>
      <c r="D185" s="544"/>
      <c r="E185" s="544"/>
      <c r="F185" s="544"/>
      <c r="G185" s="544"/>
      <c r="H185" s="544"/>
      <c r="I185" s="560"/>
      <c r="J185" s="1542" t="s">
        <v>943</v>
      </c>
    </row>
    <row r="186" spans="1:10" ht="12" customHeight="1">
      <c r="A186" s="847"/>
      <c r="B186" s="590" t="s">
        <v>84</v>
      </c>
      <c r="C186" s="591"/>
      <c r="D186" s="591"/>
      <c r="E186" s="591">
        <v>710</v>
      </c>
      <c r="F186" s="591">
        <v>710</v>
      </c>
      <c r="G186" s="591">
        <v>710</v>
      </c>
      <c r="H186" s="591">
        <v>706</v>
      </c>
      <c r="I186" s="562">
        <f>H186/G186</f>
        <v>0.9943661971830986</v>
      </c>
      <c r="J186" s="1514"/>
    </row>
    <row r="187" spans="1:10" ht="12" customHeight="1">
      <c r="A187" s="847"/>
      <c r="B187" s="592" t="s">
        <v>231</v>
      </c>
      <c r="C187" s="591"/>
      <c r="D187" s="591"/>
      <c r="E187" s="591">
        <v>92</v>
      </c>
      <c r="F187" s="591">
        <v>92</v>
      </c>
      <c r="G187" s="591">
        <v>92</v>
      </c>
      <c r="H187" s="591">
        <v>91</v>
      </c>
      <c r="I187" s="562">
        <f>H187/G187</f>
        <v>0.98913043478260865</v>
      </c>
      <c r="J187" s="1536"/>
    </row>
    <row r="188" spans="1:10" ht="12" customHeight="1">
      <c r="A188" s="847"/>
      <c r="B188" s="593" t="s">
        <v>222</v>
      </c>
      <c r="C188" s="598"/>
      <c r="D188" s="598"/>
      <c r="E188" s="598"/>
      <c r="F188" s="598"/>
      <c r="G188" s="598"/>
      <c r="H188" s="598"/>
      <c r="I188" s="562"/>
      <c r="J188" s="1536"/>
    </row>
    <row r="189" spans="1:10" ht="12" customHeight="1">
      <c r="A189" s="847"/>
      <c r="B189" s="594" t="s">
        <v>89</v>
      </c>
      <c r="C189" s="598"/>
      <c r="D189" s="598"/>
      <c r="E189" s="598"/>
      <c r="F189" s="598"/>
      <c r="G189" s="598"/>
      <c r="H189" s="598"/>
      <c r="I189" s="562"/>
      <c r="J189" s="1529"/>
    </row>
    <row r="190" spans="1:10" ht="12" customHeight="1">
      <c r="A190" s="847"/>
      <c r="B190" s="594" t="s">
        <v>228</v>
      </c>
      <c r="C190" s="591">
        <v>5000</v>
      </c>
      <c r="D190" s="591">
        <v>5000</v>
      </c>
      <c r="E190" s="591">
        <f>5000-802</f>
        <v>4198</v>
      </c>
      <c r="F190" s="591">
        <f>5000-802</f>
        <v>4198</v>
      </c>
      <c r="G190" s="591">
        <f>5000-802</f>
        <v>4198</v>
      </c>
      <c r="H190" s="591">
        <v>400</v>
      </c>
      <c r="I190" s="562">
        <f>H190/G190</f>
        <v>9.5283468318246786E-2</v>
      </c>
      <c r="J190" s="1528"/>
    </row>
    <row r="191" spans="1:10" ht="12" customHeight="1" thickBot="1">
      <c r="A191" s="847"/>
      <c r="B191" s="566" t="s">
        <v>213</v>
      </c>
      <c r="C191" s="602"/>
      <c r="D191" s="602"/>
      <c r="E191" s="602"/>
      <c r="F191" s="602"/>
      <c r="G191" s="602"/>
      <c r="H191" s="602"/>
      <c r="I191" s="578"/>
      <c r="J191" s="1535"/>
    </row>
    <row r="192" spans="1:10" ht="12" customHeight="1" thickBot="1">
      <c r="A192" s="898"/>
      <c r="B192" s="576" t="s">
        <v>97</v>
      </c>
      <c r="C192" s="596">
        <f t="shared" ref="C192:D192" si="67">SUM(C186:C191)</f>
        <v>5000</v>
      </c>
      <c r="D192" s="596">
        <f t="shared" si="67"/>
        <v>5000</v>
      </c>
      <c r="E192" s="596">
        <f t="shared" ref="E192:F192" si="68">SUM(E186:E191)</f>
        <v>5000</v>
      </c>
      <c r="F192" s="596">
        <f t="shared" si="68"/>
        <v>5000</v>
      </c>
      <c r="G192" s="596">
        <f t="shared" ref="G192:H192" si="69">SUM(G186:G191)</f>
        <v>5000</v>
      </c>
      <c r="H192" s="596">
        <f t="shared" si="69"/>
        <v>1197</v>
      </c>
      <c r="I192" s="553">
        <f>H192/G192</f>
        <v>0.2394</v>
      </c>
      <c r="J192" s="475"/>
    </row>
    <row r="193" spans="1:11" ht="12" customHeight="1">
      <c r="A193" s="1518">
        <v>3145</v>
      </c>
      <c r="B193" s="582" t="s">
        <v>296</v>
      </c>
      <c r="C193" s="564"/>
      <c r="D193" s="564"/>
      <c r="E193" s="564"/>
      <c r="F193" s="564"/>
      <c r="G193" s="564"/>
      <c r="H193" s="564"/>
      <c r="I193" s="560"/>
      <c r="J193" s="1543"/>
    </row>
    <row r="194" spans="1:11" ht="12" customHeight="1">
      <c r="A194" s="842"/>
      <c r="B194" s="573" t="s">
        <v>84</v>
      </c>
      <c r="C194" s="559">
        <v>1000</v>
      </c>
      <c r="D194" s="559">
        <v>1000</v>
      </c>
      <c r="E194" s="559">
        <v>1000</v>
      </c>
      <c r="F194" s="559">
        <v>1000</v>
      </c>
      <c r="G194" s="401">
        <f>1000+1650</f>
        <v>2650</v>
      </c>
      <c r="H194" s="401">
        <v>2615</v>
      </c>
      <c r="I194" s="562">
        <f>H194/G194</f>
        <v>0.98679245283018868</v>
      </c>
      <c r="J194" s="1544"/>
      <c r="K194" s="751"/>
    </row>
    <row r="195" spans="1:11" ht="12" customHeight="1">
      <c r="A195" s="842"/>
      <c r="B195" s="558" t="s">
        <v>231</v>
      </c>
      <c r="C195" s="559">
        <v>300</v>
      </c>
      <c r="D195" s="559">
        <f>300+380</f>
        <v>680</v>
      </c>
      <c r="E195" s="559">
        <f>680</f>
        <v>680</v>
      </c>
      <c r="F195" s="559">
        <f>680</f>
        <v>680</v>
      </c>
      <c r="G195" s="401">
        <f>680+620</f>
        <v>1300</v>
      </c>
      <c r="H195" s="401">
        <v>1283</v>
      </c>
      <c r="I195" s="562">
        <f>H195/G195</f>
        <v>0.9869230769230769</v>
      </c>
      <c r="J195" s="1534" t="s">
        <v>943</v>
      </c>
      <c r="K195" s="751"/>
    </row>
    <row r="196" spans="1:11" ht="12" customHeight="1">
      <c r="A196" s="842"/>
      <c r="B196" s="561" t="s">
        <v>222</v>
      </c>
      <c r="C196" s="559">
        <v>6700</v>
      </c>
      <c r="D196" s="559">
        <f>6700-1000</f>
        <v>5700</v>
      </c>
      <c r="E196" s="559">
        <f>5700-200</f>
        <v>5500</v>
      </c>
      <c r="F196" s="559">
        <f>5700-200</f>
        <v>5500</v>
      </c>
      <c r="G196" s="401">
        <f>5700-200-4520</f>
        <v>980</v>
      </c>
      <c r="H196" s="401">
        <v>816</v>
      </c>
      <c r="I196" s="562">
        <f>H196/G196</f>
        <v>0.83265306122448979</v>
      </c>
      <c r="J196" s="1543"/>
      <c r="K196" s="751"/>
    </row>
    <row r="197" spans="1:11" ht="12" customHeight="1">
      <c r="A197" s="842"/>
      <c r="B197" s="563" t="s">
        <v>89</v>
      </c>
      <c r="C197" s="559"/>
      <c r="D197" s="559"/>
      <c r="E197" s="559"/>
      <c r="F197" s="559"/>
      <c r="G197" s="401"/>
      <c r="H197" s="401"/>
      <c r="I197" s="562"/>
      <c r="J197" s="1545"/>
      <c r="K197" s="751"/>
    </row>
    <row r="198" spans="1:11" ht="12" customHeight="1">
      <c r="A198" s="842"/>
      <c r="B198" s="563" t="s">
        <v>228</v>
      </c>
      <c r="C198" s="559">
        <v>1000</v>
      </c>
      <c r="D198" s="559">
        <f>1000+300+1000</f>
        <v>2300</v>
      </c>
      <c r="E198" s="559">
        <f>2300+200</f>
        <v>2500</v>
      </c>
      <c r="F198" s="559">
        <f>2300+200</f>
        <v>2500</v>
      </c>
      <c r="G198" s="401">
        <f>2300+200+2250</f>
        <v>4750</v>
      </c>
      <c r="H198" s="401">
        <v>1924</v>
      </c>
      <c r="I198" s="562">
        <f>H198/G198</f>
        <v>0.40505263157894739</v>
      </c>
      <c r="J198" s="1543"/>
      <c r="K198" s="751"/>
    </row>
    <row r="199" spans="1:11" ht="12" customHeight="1" thickBot="1">
      <c r="A199" s="842"/>
      <c r="B199" s="566" t="s">
        <v>59</v>
      </c>
      <c r="C199" s="569"/>
      <c r="D199" s="569"/>
      <c r="E199" s="569"/>
      <c r="F199" s="569"/>
      <c r="G199" s="569"/>
      <c r="H199" s="569"/>
      <c r="I199" s="578"/>
      <c r="J199" s="1546"/>
    </row>
    <row r="200" spans="1:11" ht="12" customHeight="1" thickBot="1">
      <c r="A200" s="1516"/>
      <c r="B200" s="576" t="s">
        <v>97</v>
      </c>
      <c r="C200" s="571">
        <f t="shared" ref="C200:H200" si="70">SUM(C194:C199)</f>
        <v>9000</v>
      </c>
      <c r="D200" s="571">
        <f t="shared" si="70"/>
        <v>9680</v>
      </c>
      <c r="E200" s="571">
        <f t="shared" si="70"/>
        <v>9680</v>
      </c>
      <c r="F200" s="571">
        <f t="shared" si="70"/>
        <v>9680</v>
      </c>
      <c r="G200" s="571">
        <f t="shared" si="70"/>
        <v>9680</v>
      </c>
      <c r="H200" s="571">
        <f t="shared" si="70"/>
        <v>6638</v>
      </c>
      <c r="I200" s="553">
        <f>H200/G200</f>
        <v>0.68574380165289262</v>
      </c>
      <c r="J200" s="1547"/>
      <c r="K200" s="12"/>
    </row>
    <row r="201" spans="1:11" ht="12" customHeight="1">
      <c r="A201" s="1518">
        <v>3146</v>
      </c>
      <c r="B201" s="582" t="s">
        <v>738</v>
      </c>
      <c r="C201" s="564"/>
      <c r="D201" s="564"/>
      <c r="E201" s="564"/>
      <c r="F201" s="564"/>
      <c r="G201" s="564"/>
      <c r="H201" s="564"/>
      <c r="I201" s="560"/>
      <c r="J201" s="1548" t="s">
        <v>944</v>
      </c>
    </row>
    <row r="202" spans="1:11" ht="12" customHeight="1">
      <c r="A202" s="842"/>
      <c r="B202" s="573" t="s">
        <v>84</v>
      </c>
      <c r="C202" s="559">
        <v>1400</v>
      </c>
      <c r="D202" s="559">
        <v>1400</v>
      </c>
      <c r="E202" s="559">
        <v>1400</v>
      </c>
      <c r="F202" s="559">
        <v>1400</v>
      </c>
      <c r="G202" s="559">
        <v>1400</v>
      </c>
      <c r="H202" s="559">
        <v>1400</v>
      </c>
      <c r="I202" s="562">
        <f>H202/G202</f>
        <v>1</v>
      </c>
      <c r="J202" s="1548"/>
    </row>
    <row r="203" spans="1:11" ht="12" customHeight="1">
      <c r="A203" s="842"/>
      <c r="B203" s="558" t="s">
        <v>231</v>
      </c>
      <c r="C203" s="559">
        <v>500</v>
      </c>
      <c r="D203" s="559">
        <v>608</v>
      </c>
      <c r="E203" s="559">
        <v>608</v>
      </c>
      <c r="F203" s="559">
        <v>608</v>
      </c>
      <c r="G203" s="559">
        <v>608</v>
      </c>
      <c r="H203" s="559">
        <v>208</v>
      </c>
      <c r="I203" s="562">
        <f>H203/G203</f>
        <v>0.34210526315789475</v>
      </c>
      <c r="J203" s="1543"/>
    </row>
    <row r="204" spans="1:11" ht="12" customHeight="1">
      <c r="A204" s="842"/>
      <c r="B204" s="561" t="s">
        <v>222</v>
      </c>
      <c r="C204" s="559">
        <v>1400</v>
      </c>
      <c r="D204" s="559">
        <f>1400+419</f>
        <v>1819</v>
      </c>
      <c r="E204" s="559">
        <f>1819</f>
        <v>1819</v>
      </c>
      <c r="F204" s="559">
        <f>1819</f>
        <v>1819</v>
      </c>
      <c r="G204" s="401">
        <f>1819-265</f>
        <v>1554</v>
      </c>
      <c r="H204" s="401">
        <v>419</v>
      </c>
      <c r="I204" s="562">
        <f>H204/G204</f>
        <v>0.26962676962676962</v>
      </c>
      <c r="J204" s="1536"/>
      <c r="K204" s="751"/>
    </row>
    <row r="205" spans="1:11" ht="12" customHeight="1">
      <c r="A205" s="842"/>
      <c r="B205" s="563" t="s">
        <v>89</v>
      </c>
      <c r="C205" s="559"/>
      <c r="D205" s="559"/>
      <c r="E205" s="559"/>
      <c r="F205" s="559"/>
      <c r="G205" s="401"/>
      <c r="H205" s="401"/>
      <c r="I205" s="562"/>
      <c r="J205" s="1543"/>
    </row>
    <row r="206" spans="1:11" ht="12" customHeight="1">
      <c r="A206" s="842"/>
      <c r="B206" s="563" t="s">
        <v>228</v>
      </c>
      <c r="C206" s="559">
        <v>1700</v>
      </c>
      <c r="D206" s="559">
        <v>1700</v>
      </c>
      <c r="E206" s="559">
        <v>1700</v>
      </c>
      <c r="F206" s="559">
        <v>1700</v>
      </c>
      <c r="G206" s="401">
        <v>1700</v>
      </c>
      <c r="H206" s="401">
        <v>700</v>
      </c>
      <c r="I206" s="562">
        <f>H206/G206</f>
        <v>0.41176470588235292</v>
      </c>
      <c r="J206" s="1543"/>
    </row>
    <row r="207" spans="1:11" ht="12" customHeight="1">
      <c r="A207" s="842"/>
      <c r="B207" s="566" t="s">
        <v>197</v>
      </c>
      <c r="C207" s="559"/>
      <c r="D207" s="559"/>
      <c r="E207" s="559"/>
      <c r="F207" s="559"/>
      <c r="G207" s="401">
        <v>265</v>
      </c>
      <c r="H207" s="401">
        <v>0</v>
      </c>
      <c r="I207" s="562">
        <f>H207/G207</f>
        <v>0</v>
      </c>
      <c r="J207" s="1549"/>
      <c r="K207" s="751"/>
    </row>
    <row r="208" spans="1:11" ht="12" customHeight="1" thickBot="1">
      <c r="A208" s="842"/>
      <c r="B208" s="566" t="s">
        <v>213</v>
      </c>
      <c r="C208" s="577"/>
      <c r="D208" s="577"/>
      <c r="E208" s="577"/>
      <c r="F208" s="577"/>
      <c r="G208" s="577"/>
      <c r="H208" s="577"/>
      <c r="I208" s="578"/>
      <c r="J208" s="1546"/>
    </row>
    <row r="209" spans="1:10" ht="12" customHeight="1" thickBot="1">
      <c r="A209" s="1516"/>
      <c r="B209" s="576" t="s">
        <v>97</v>
      </c>
      <c r="C209" s="571">
        <f t="shared" ref="C209:D209" si="71">SUM(C202:C208)</f>
        <v>5000</v>
      </c>
      <c r="D209" s="571">
        <f t="shared" si="71"/>
        <v>5527</v>
      </c>
      <c r="E209" s="571">
        <f t="shared" ref="E209:F209" si="72">SUM(E202:E208)</f>
        <v>5527</v>
      </c>
      <c r="F209" s="571">
        <f t="shared" si="72"/>
        <v>5527</v>
      </c>
      <c r="G209" s="571">
        <f t="shared" ref="G209:H209" si="73">SUM(G202:G208)</f>
        <v>5527</v>
      </c>
      <c r="H209" s="571">
        <f t="shared" si="73"/>
        <v>2727</v>
      </c>
      <c r="I209" s="553">
        <f>H209/G209</f>
        <v>0.49339605572643386</v>
      </c>
      <c r="J209" s="1547"/>
    </row>
    <row r="210" spans="1:10" ht="12" customHeight="1">
      <c r="A210" s="1518">
        <v>3147</v>
      </c>
      <c r="B210" s="582" t="s">
        <v>761</v>
      </c>
      <c r="C210" s="564"/>
      <c r="D210" s="564"/>
      <c r="E210" s="564"/>
      <c r="F210" s="564"/>
      <c r="G210" s="564"/>
      <c r="H210" s="564"/>
      <c r="I210" s="560"/>
      <c r="J210" s="1548"/>
    </row>
    <row r="211" spans="1:10" ht="12" customHeight="1">
      <c r="A211" s="842"/>
      <c r="B211" s="573" t="s">
        <v>84</v>
      </c>
      <c r="C211" s="559"/>
      <c r="D211" s="559"/>
      <c r="E211" s="559"/>
      <c r="F211" s="559"/>
      <c r="G211" s="559"/>
      <c r="H211" s="559"/>
      <c r="I211" s="545"/>
      <c r="J211" s="1543"/>
    </row>
    <row r="212" spans="1:10" ht="12" customHeight="1">
      <c r="A212" s="842"/>
      <c r="B212" s="558" t="s">
        <v>231</v>
      </c>
      <c r="C212" s="559"/>
      <c r="D212" s="559"/>
      <c r="E212" s="559"/>
      <c r="F212" s="559"/>
      <c r="G212" s="559"/>
      <c r="H212" s="559"/>
      <c r="I212" s="548"/>
      <c r="J212" s="1543"/>
    </row>
    <row r="213" spans="1:10" ht="12" customHeight="1">
      <c r="A213" s="842"/>
      <c r="B213" s="561" t="s">
        <v>222</v>
      </c>
      <c r="C213" s="559">
        <v>25000</v>
      </c>
      <c r="D213" s="559">
        <f>25000+38396</f>
        <v>63396</v>
      </c>
      <c r="E213" s="559">
        <f>63396</f>
        <v>63396</v>
      </c>
      <c r="F213" s="559">
        <f>63396</f>
        <v>63396</v>
      </c>
      <c r="G213" s="559">
        <f>63396</f>
        <v>63396</v>
      </c>
      <c r="H213" s="559">
        <v>32712</v>
      </c>
      <c r="I213" s="562">
        <f>H213/G213</f>
        <v>0.51599469998107139</v>
      </c>
      <c r="J213" s="1536"/>
    </row>
    <row r="214" spans="1:10" ht="12" customHeight="1">
      <c r="A214" s="842"/>
      <c r="B214" s="563" t="s">
        <v>89</v>
      </c>
      <c r="C214" s="559"/>
      <c r="D214" s="559"/>
      <c r="E214" s="559"/>
      <c r="F214" s="559"/>
      <c r="G214" s="559"/>
      <c r="H214" s="559"/>
      <c r="I214" s="548"/>
      <c r="J214" s="1548" t="s">
        <v>945</v>
      </c>
    </row>
    <row r="215" spans="1:10" ht="12" customHeight="1">
      <c r="A215" s="842"/>
      <c r="B215" s="563" t="s">
        <v>228</v>
      </c>
      <c r="C215" s="559"/>
      <c r="D215" s="559"/>
      <c r="E215" s="559"/>
      <c r="F215" s="559"/>
      <c r="G215" s="559"/>
      <c r="H215" s="559"/>
      <c r="I215" s="548"/>
      <c r="J215" s="1543"/>
    </row>
    <row r="216" spans="1:10" ht="12" customHeight="1">
      <c r="A216" s="842"/>
      <c r="B216" s="566" t="s">
        <v>197</v>
      </c>
      <c r="C216" s="559"/>
      <c r="D216" s="559"/>
      <c r="E216" s="559"/>
      <c r="F216" s="559"/>
      <c r="G216" s="559"/>
      <c r="H216" s="559"/>
      <c r="I216" s="548"/>
      <c r="J216" s="1544"/>
    </row>
    <row r="217" spans="1:10" ht="12" customHeight="1" thickBot="1">
      <c r="A217" s="842"/>
      <c r="B217" s="566" t="s">
        <v>213</v>
      </c>
      <c r="C217" s="577"/>
      <c r="D217" s="577"/>
      <c r="E217" s="577"/>
      <c r="F217" s="577"/>
      <c r="G217" s="577"/>
      <c r="H217" s="577"/>
      <c r="I217" s="578"/>
      <c r="J217" s="1550"/>
    </row>
    <row r="218" spans="1:10" ht="12" customHeight="1" thickBot="1">
      <c r="A218" s="1516"/>
      <c r="B218" s="576" t="s">
        <v>97</v>
      </c>
      <c r="C218" s="571">
        <f t="shared" ref="C218:D218" si="74">SUM(C211:C217)</f>
        <v>25000</v>
      </c>
      <c r="D218" s="571">
        <f t="shared" si="74"/>
        <v>63396</v>
      </c>
      <c r="E218" s="571">
        <f t="shared" ref="E218:F218" si="75">SUM(E211:E217)</f>
        <v>63396</v>
      </c>
      <c r="F218" s="571">
        <f t="shared" si="75"/>
        <v>63396</v>
      </c>
      <c r="G218" s="571">
        <f t="shared" ref="G218:H218" si="76">SUM(G211:G217)</f>
        <v>63396</v>
      </c>
      <c r="H218" s="571">
        <f t="shared" si="76"/>
        <v>32712</v>
      </c>
      <c r="I218" s="553">
        <f>H218/G218</f>
        <v>0.51599469998107139</v>
      </c>
      <c r="J218" s="1547"/>
    </row>
    <row r="219" spans="1:10" ht="12" customHeight="1">
      <c r="A219" s="1518">
        <v>3148</v>
      </c>
      <c r="B219" s="582" t="s">
        <v>855</v>
      </c>
      <c r="C219" s="564"/>
      <c r="D219" s="564"/>
      <c r="E219" s="564"/>
      <c r="F219" s="564"/>
      <c r="G219" s="564"/>
      <c r="H219" s="564"/>
      <c r="I219" s="560"/>
      <c r="J219" s="1548"/>
    </row>
    <row r="220" spans="1:10" ht="12" customHeight="1">
      <c r="A220" s="842"/>
      <c r="B220" s="573" t="s">
        <v>84</v>
      </c>
      <c r="C220" s="559"/>
      <c r="D220" s="559"/>
      <c r="E220" s="559"/>
      <c r="F220" s="559"/>
      <c r="G220" s="559"/>
      <c r="H220" s="559"/>
      <c r="I220" s="560"/>
      <c r="J220" s="1543"/>
    </row>
    <row r="221" spans="1:10" ht="12" customHeight="1">
      <c r="A221" s="842"/>
      <c r="B221" s="558" t="s">
        <v>231</v>
      </c>
      <c r="C221" s="559"/>
      <c r="D221" s="559"/>
      <c r="E221" s="559"/>
      <c r="F221" s="559"/>
      <c r="G221" s="559"/>
      <c r="H221" s="559"/>
      <c r="I221" s="545"/>
      <c r="J221" s="1543"/>
    </row>
    <row r="222" spans="1:10" ht="12" customHeight="1">
      <c r="A222" s="842"/>
      <c r="B222" s="561" t="s">
        <v>222</v>
      </c>
      <c r="C222" s="559">
        <v>1000</v>
      </c>
      <c r="D222" s="559">
        <f>1000+1000</f>
        <v>2000</v>
      </c>
      <c r="E222" s="559">
        <f>1000+1000</f>
        <v>2000</v>
      </c>
      <c r="F222" s="559">
        <f>1000+1000</f>
        <v>2000</v>
      </c>
      <c r="G222" s="559">
        <f>1000+1000</f>
        <v>2000</v>
      </c>
      <c r="H222" s="559">
        <v>16</v>
      </c>
      <c r="I222" s="562">
        <f>H222/G222</f>
        <v>8.0000000000000002E-3</v>
      </c>
      <c r="J222" s="1536"/>
    </row>
    <row r="223" spans="1:10" ht="12" customHeight="1">
      <c r="A223" s="842"/>
      <c r="B223" s="563" t="s">
        <v>89</v>
      </c>
      <c r="C223" s="559"/>
      <c r="D223" s="559"/>
      <c r="E223" s="559"/>
      <c r="F223" s="559"/>
      <c r="G223" s="559"/>
      <c r="H223" s="559"/>
      <c r="I223" s="548"/>
      <c r="J223" s="1548"/>
    </row>
    <row r="224" spans="1:10" ht="12" customHeight="1">
      <c r="A224" s="842"/>
      <c r="B224" s="563" t="s">
        <v>228</v>
      </c>
      <c r="C224" s="559"/>
      <c r="D224" s="559"/>
      <c r="E224" s="559"/>
      <c r="F224" s="559"/>
      <c r="G224" s="559"/>
      <c r="H224" s="559"/>
      <c r="I224" s="548"/>
      <c r="J224" s="1543"/>
    </row>
    <row r="225" spans="1:11" ht="12" customHeight="1">
      <c r="A225" s="842"/>
      <c r="B225" s="566" t="s">
        <v>197</v>
      </c>
      <c r="C225" s="559"/>
      <c r="D225" s="559"/>
      <c r="E225" s="559"/>
      <c r="F225" s="559"/>
      <c r="G225" s="559"/>
      <c r="H225" s="559"/>
      <c r="I225" s="548"/>
      <c r="J225" s="1544"/>
    </row>
    <row r="226" spans="1:11" ht="12" customHeight="1" thickBot="1">
      <c r="A226" s="842"/>
      <c r="B226" s="606" t="s">
        <v>213</v>
      </c>
      <c r="C226" s="577"/>
      <c r="D226" s="577"/>
      <c r="E226" s="577"/>
      <c r="F226" s="577"/>
      <c r="G226" s="577"/>
      <c r="H226" s="577"/>
      <c r="I226" s="578"/>
      <c r="J226" s="1550"/>
    </row>
    <row r="227" spans="1:11" ht="12" customHeight="1" thickBot="1">
      <c r="A227" s="1518"/>
      <c r="B227" s="607" t="s">
        <v>97</v>
      </c>
      <c r="C227" s="608">
        <f t="shared" ref="C227:H227" si="77">SUM(C220:C226)</f>
        <v>1000</v>
      </c>
      <c r="D227" s="609">
        <f t="shared" si="77"/>
        <v>2000</v>
      </c>
      <c r="E227" s="609">
        <f t="shared" si="77"/>
        <v>2000</v>
      </c>
      <c r="F227" s="609">
        <f t="shared" si="77"/>
        <v>2000</v>
      </c>
      <c r="G227" s="609">
        <f t="shared" si="77"/>
        <v>2000</v>
      </c>
      <c r="H227" s="609">
        <f t="shared" si="77"/>
        <v>16</v>
      </c>
      <c r="I227" s="553">
        <f>H227/G227</f>
        <v>8.0000000000000002E-3</v>
      </c>
      <c r="J227" s="474"/>
    </row>
    <row r="228" spans="1:11" ht="12.75" thickBot="1">
      <c r="A228" s="451"/>
      <c r="B228" s="610" t="s">
        <v>31</v>
      </c>
      <c r="C228" s="611">
        <f t="shared" ref="C228:H228" si="78">SUM(C255+C273+C283+C291+C328+C299+C308+C339+C247+C348+C236+C263+C356)+C317</f>
        <v>3930894</v>
      </c>
      <c r="D228" s="596">
        <f t="shared" si="78"/>
        <v>4299685</v>
      </c>
      <c r="E228" s="596">
        <f t="shared" si="78"/>
        <v>4349164</v>
      </c>
      <c r="F228" s="596">
        <f t="shared" si="78"/>
        <v>4506214</v>
      </c>
      <c r="G228" s="596">
        <f t="shared" si="78"/>
        <v>4515214</v>
      </c>
      <c r="H228" s="596">
        <f t="shared" si="78"/>
        <v>4023593</v>
      </c>
      <c r="I228" s="553">
        <f>H228/G228</f>
        <v>0.89111900344036854</v>
      </c>
      <c r="J228" s="475"/>
    </row>
    <row r="229" spans="1:11">
      <c r="A229" s="819">
        <v>3200</v>
      </c>
      <c r="B229" s="612" t="s">
        <v>315</v>
      </c>
      <c r="C229" s="544"/>
      <c r="D229" s="544"/>
      <c r="E229" s="544"/>
      <c r="F229" s="544"/>
      <c r="G229" s="544"/>
      <c r="H229" s="544"/>
      <c r="I229" s="560"/>
      <c r="J229" s="1534"/>
    </row>
    <row r="230" spans="1:11">
      <c r="A230" s="840"/>
      <c r="B230" s="590" t="s">
        <v>84</v>
      </c>
      <c r="C230" s="591">
        <v>272509</v>
      </c>
      <c r="D230" s="591">
        <f>272509+1619</f>
        <v>274128</v>
      </c>
      <c r="E230" s="591">
        <f>274128+15125</f>
        <v>289253</v>
      </c>
      <c r="F230" s="591">
        <f>274128+15125</f>
        <v>289253</v>
      </c>
      <c r="G230" s="127">
        <f>274128+15125-600</f>
        <v>288653</v>
      </c>
      <c r="H230" s="127">
        <v>288596</v>
      </c>
      <c r="I230" s="562">
        <f>H230/G230</f>
        <v>0.99980253106671335</v>
      </c>
      <c r="J230" s="870"/>
      <c r="K230" s="751"/>
    </row>
    <row r="231" spans="1:11">
      <c r="A231" s="840"/>
      <c r="B231" s="592" t="s">
        <v>231</v>
      </c>
      <c r="C231" s="591">
        <v>33067</v>
      </c>
      <c r="D231" s="591">
        <f>33067+318-40</f>
        <v>33345</v>
      </c>
      <c r="E231" s="591">
        <f>33345+1824</f>
        <v>35169</v>
      </c>
      <c r="F231" s="591">
        <f>33345+1824</f>
        <v>35169</v>
      </c>
      <c r="G231" s="127">
        <f>33345+1824+600</f>
        <v>35769</v>
      </c>
      <c r="H231" s="780">
        <v>35769</v>
      </c>
      <c r="I231" s="562">
        <f>H231/G231</f>
        <v>1</v>
      </c>
      <c r="J231" s="1536"/>
      <c r="K231" s="751"/>
    </row>
    <row r="232" spans="1:11">
      <c r="A232" s="847"/>
      <c r="B232" s="593" t="s">
        <v>222</v>
      </c>
      <c r="C232" s="591">
        <v>255</v>
      </c>
      <c r="D232" s="591">
        <f>255+54</f>
        <v>309</v>
      </c>
      <c r="E232" s="591">
        <f>309</f>
        <v>309</v>
      </c>
      <c r="F232" s="591">
        <f>309</f>
        <v>309</v>
      </c>
      <c r="G232" s="591">
        <f>309</f>
        <v>309</v>
      </c>
      <c r="H232" s="591">
        <v>304</v>
      </c>
      <c r="I232" s="562">
        <f>H232/G232</f>
        <v>0.98381877022653719</v>
      </c>
      <c r="J232" s="1536"/>
    </row>
    <row r="233" spans="1:11">
      <c r="A233" s="847"/>
      <c r="B233" s="594" t="s">
        <v>89</v>
      </c>
      <c r="C233" s="591"/>
      <c r="D233" s="591"/>
      <c r="E233" s="591"/>
      <c r="F233" s="591"/>
      <c r="G233" s="591"/>
      <c r="H233" s="591"/>
      <c r="I233" s="562"/>
      <c r="J233" s="1536"/>
    </row>
    <row r="234" spans="1:11">
      <c r="A234" s="840"/>
      <c r="B234" s="594" t="s">
        <v>228</v>
      </c>
      <c r="C234" s="591"/>
      <c r="D234" s="591">
        <v>40</v>
      </c>
      <c r="E234" s="591">
        <v>40</v>
      </c>
      <c r="F234" s="591">
        <v>40</v>
      </c>
      <c r="G234" s="591">
        <v>40</v>
      </c>
      <c r="H234" s="591">
        <v>37</v>
      </c>
      <c r="I234" s="562">
        <f>H234/G234</f>
        <v>0.92500000000000004</v>
      </c>
      <c r="J234" s="1551"/>
    </row>
    <row r="235" spans="1:11" ht="12.75" thickBot="1">
      <c r="A235" s="847"/>
      <c r="B235" s="566" t="s">
        <v>59</v>
      </c>
      <c r="C235" s="602"/>
      <c r="D235" s="602"/>
      <c r="E235" s="602"/>
      <c r="F235" s="602"/>
      <c r="G235" s="602"/>
      <c r="H235" s="602"/>
      <c r="I235" s="578"/>
      <c r="J235" s="1552"/>
    </row>
    <row r="236" spans="1:11" ht="12.75" thickBot="1">
      <c r="A236" s="819"/>
      <c r="B236" s="570" t="s">
        <v>97</v>
      </c>
      <c r="C236" s="596">
        <f t="shared" ref="C236:H236" si="79">SUM(C230:C235)</f>
        <v>305831</v>
      </c>
      <c r="D236" s="596">
        <f t="shared" si="79"/>
        <v>307822</v>
      </c>
      <c r="E236" s="596">
        <f t="shared" si="79"/>
        <v>324771</v>
      </c>
      <c r="F236" s="596">
        <f t="shared" si="79"/>
        <v>324771</v>
      </c>
      <c r="G236" s="596">
        <f t="shared" si="79"/>
        <v>324771</v>
      </c>
      <c r="H236" s="596">
        <f t="shared" si="79"/>
        <v>324706</v>
      </c>
      <c r="I236" s="553">
        <f>H236/G236</f>
        <v>0.99979985897755652</v>
      </c>
      <c r="J236" s="475"/>
    </row>
    <row r="237" spans="1:11">
      <c r="A237" s="838"/>
      <c r="B237" s="613" t="s">
        <v>785</v>
      </c>
      <c r="C237" s="614"/>
      <c r="D237" s="614"/>
      <c r="E237" s="614"/>
      <c r="F237" s="614"/>
      <c r="G237" s="614"/>
      <c r="H237" s="614"/>
      <c r="I237" s="615"/>
      <c r="J237" s="1534"/>
    </row>
    <row r="238" spans="1:11">
      <c r="A238" s="819"/>
      <c r="B238" s="616" t="s">
        <v>786</v>
      </c>
      <c r="C238" s="614"/>
      <c r="D238" s="614"/>
      <c r="E238" s="614"/>
      <c r="F238" s="614"/>
      <c r="G238" s="614"/>
      <c r="H238" s="614"/>
      <c r="I238" s="615"/>
      <c r="J238" s="1535"/>
    </row>
    <row r="239" spans="1:11" ht="12.75" thickBot="1">
      <c r="A239" s="1498"/>
      <c r="B239" s="617" t="s">
        <v>787</v>
      </c>
      <c r="C239" s="618"/>
      <c r="D239" s="618"/>
      <c r="E239" s="618"/>
      <c r="F239" s="618"/>
      <c r="G239" s="618"/>
      <c r="H239" s="618"/>
      <c r="I239" s="619"/>
      <c r="J239" s="1553"/>
    </row>
    <row r="240" spans="1:11">
      <c r="A240" s="819">
        <v>3201</v>
      </c>
      <c r="B240" s="587" t="s">
        <v>276</v>
      </c>
      <c r="C240" s="544"/>
      <c r="D240" s="544"/>
      <c r="E240" s="544"/>
      <c r="F240" s="544"/>
      <c r="G240" s="544"/>
      <c r="H240" s="544"/>
      <c r="I240" s="560"/>
      <c r="J240" s="1542"/>
    </row>
    <row r="241" spans="1:12">
      <c r="A241" s="819"/>
      <c r="B241" s="593" t="s">
        <v>84</v>
      </c>
      <c r="C241" s="598">
        <v>16500</v>
      </c>
      <c r="D241" s="598">
        <f>16500+3026</f>
        <v>19526</v>
      </c>
      <c r="E241" s="598">
        <f>19526</f>
        <v>19526</v>
      </c>
      <c r="F241" s="598">
        <f>19526-5500</f>
        <v>14026</v>
      </c>
      <c r="G241" s="598">
        <f>19526-5500</f>
        <v>14026</v>
      </c>
      <c r="H241" s="598">
        <v>13572</v>
      </c>
      <c r="I241" s="562">
        <f>H241/G241</f>
        <v>0.9676315414230714</v>
      </c>
      <c r="J241" s="1536"/>
    </row>
    <row r="242" spans="1:12">
      <c r="A242" s="819"/>
      <c r="B242" s="592" t="s">
        <v>231</v>
      </c>
      <c r="C242" s="598">
        <v>2145</v>
      </c>
      <c r="D242" s="598">
        <f>2145+1085+2000</f>
        <v>5230</v>
      </c>
      <c r="E242" s="598">
        <f>2145+1085+2000</f>
        <v>5230</v>
      </c>
      <c r="F242" s="598">
        <f>2145+1085+2000-1200</f>
        <v>4030</v>
      </c>
      <c r="G242" s="598">
        <f>2145+1085+2000-1200</f>
        <v>4030</v>
      </c>
      <c r="H242" s="598">
        <v>2504</v>
      </c>
      <c r="I242" s="562">
        <f>H242/G242</f>
        <v>0.62133995037220846</v>
      </c>
      <c r="J242" s="1536"/>
    </row>
    <row r="243" spans="1:12">
      <c r="A243" s="819"/>
      <c r="B243" s="593" t="s">
        <v>222</v>
      </c>
      <c r="C243" s="598">
        <v>76355</v>
      </c>
      <c r="D243" s="598">
        <f>76355+10988+97-7070+30000</f>
        <v>110370</v>
      </c>
      <c r="E243" s="598">
        <f>110370+20000-700</f>
        <v>129670</v>
      </c>
      <c r="F243" s="598">
        <f>110370+20000-700-13100+80000</f>
        <v>196570</v>
      </c>
      <c r="G243" s="780">
        <f>110370+20000-700-13100+80000-50</f>
        <v>196520</v>
      </c>
      <c r="H243" s="780">
        <v>162210</v>
      </c>
      <c r="I243" s="562">
        <f>H243/G243</f>
        <v>0.82541217178913084</v>
      </c>
      <c r="J243" s="1536"/>
      <c r="K243" s="751"/>
    </row>
    <row r="244" spans="1:12">
      <c r="A244" s="819"/>
      <c r="B244" s="620" t="s">
        <v>89</v>
      </c>
      <c r="C244" s="598"/>
      <c r="D244" s="598"/>
      <c r="E244" s="598"/>
      <c r="F244" s="598"/>
      <c r="G244" s="780"/>
      <c r="H244" s="780"/>
      <c r="I244" s="562"/>
      <c r="J244" s="1536"/>
    </row>
    <row r="245" spans="1:12">
      <c r="A245" s="819"/>
      <c r="B245" s="620" t="s">
        <v>228</v>
      </c>
      <c r="C245" s="598"/>
      <c r="D245" s="598">
        <v>5070</v>
      </c>
      <c r="E245" s="598">
        <v>5070</v>
      </c>
      <c r="F245" s="598">
        <v>5070</v>
      </c>
      <c r="G245" s="780">
        <v>5070</v>
      </c>
      <c r="H245" s="780">
        <v>5070</v>
      </c>
      <c r="I245" s="562">
        <f>H245/G245</f>
        <v>1</v>
      </c>
      <c r="J245" s="1536"/>
    </row>
    <row r="246" spans="1:12" ht="12.75" thickBot="1">
      <c r="A246" s="819"/>
      <c r="B246" s="566" t="s">
        <v>197</v>
      </c>
      <c r="C246" s="539"/>
      <c r="D246" s="539"/>
      <c r="E246" s="539">
        <v>700</v>
      </c>
      <c r="F246" s="539">
        <f>700+19800</f>
        <v>20500</v>
      </c>
      <c r="G246" s="412">
        <f>700+19800+50</f>
        <v>20550</v>
      </c>
      <c r="H246" s="412">
        <v>692</v>
      </c>
      <c r="I246" s="562">
        <f>H246/G246</f>
        <v>3.3673965936739658E-2</v>
      </c>
      <c r="J246" s="1535"/>
      <c r="K246" s="751"/>
    </row>
    <row r="247" spans="1:12" ht="12.75" thickBot="1">
      <c r="A247" s="1498"/>
      <c r="B247" s="576" t="s">
        <v>97</v>
      </c>
      <c r="C247" s="596">
        <f t="shared" ref="C247:H247" si="80">SUM(C241:C246)</f>
        <v>95000</v>
      </c>
      <c r="D247" s="596">
        <f t="shared" si="80"/>
        <v>140196</v>
      </c>
      <c r="E247" s="596">
        <f t="shared" si="80"/>
        <v>160196</v>
      </c>
      <c r="F247" s="596">
        <f t="shared" si="80"/>
        <v>240196</v>
      </c>
      <c r="G247" s="596">
        <f t="shared" si="80"/>
        <v>240196</v>
      </c>
      <c r="H247" s="596">
        <f t="shared" si="80"/>
        <v>184048</v>
      </c>
      <c r="I247" s="553">
        <f>H247/G247</f>
        <v>0.76624090326233574</v>
      </c>
      <c r="J247" s="475"/>
      <c r="K247" s="499"/>
      <c r="L247" s="501"/>
    </row>
    <row r="248" spans="1:12">
      <c r="A248" s="838">
        <v>3202</v>
      </c>
      <c r="B248" s="604" t="s">
        <v>739</v>
      </c>
      <c r="C248" s="544"/>
      <c r="D248" s="544"/>
      <c r="E248" s="544"/>
      <c r="F248" s="544"/>
      <c r="G248" s="544"/>
      <c r="H248" s="544"/>
      <c r="I248" s="560"/>
      <c r="J248" s="1548"/>
    </row>
    <row r="249" spans="1:12">
      <c r="A249" s="838"/>
      <c r="B249" s="590" t="s">
        <v>84</v>
      </c>
      <c r="C249" s="598">
        <v>1500</v>
      </c>
      <c r="D249" s="598">
        <f>1500-500</f>
        <v>1000</v>
      </c>
      <c r="E249" s="598">
        <f>1000</f>
        <v>1000</v>
      </c>
      <c r="F249" s="598">
        <f>1000-500</f>
        <v>500</v>
      </c>
      <c r="G249" s="780">
        <f>1000-500-25</f>
        <v>475</v>
      </c>
      <c r="H249" s="780">
        <v>129</v>
      </c>
      <c r="I249" s="562">
        <f>H249/G249</f>
        <v>0.27157894736842103</v>
      </c>
      <c r="J249" s="1535" t="s">
        <v>944</v>
      </c>
      <c r="K249" s="751"/>
    </row>
    <row r="250" spans="1:12">
      <c r="A250" s="838"/>
      <c r="B250" s="592" t="s">
        <v>231</v>
      </c>
      <c r="C250" s="598">
        <v>700</v>
      </c>
      <c r="D250" s="598">
        <v>700</v>
      </c>
      <c r="E250" s="598">
        <v>700</v>
      </c>
      <c r="F250" s="598">
        <f>700-600</f>
        <v>100</v>
      </c>
      <c r="G250" s="780">
        <f>700-600</f>
        <v>100</v>
      </c>
      <c r="H250" s="780">
        <v>7</v>
      </c>
      <c r="I250" s="562">
        <f>H250/G250</f>
        <v>7.0000000000000007E-2</v>
      </c>
      <c r="J250" s="1504"/>
    </row>
    <row r="251" spans="1:12">
      <c r="A251" s="838"/>
      <c r="B251" s="593" t="s">
        <v>222</v>
      </c>
      <c r="C251" s="598">
        <v>2800</v>
      </c>
      <c r="D251" s="598">
        <f>2800</f>
        <v>2800</v>
      </c>
      <c r="E251" s="598">
        <f>2800</f>
        <v>2800</v>
      </c>
      <c r="F251" s="598">
        <f>2800-1000</f>
        <v>1800</v>
      </c>
      <c r="G251" s="780">
        <f>2800-1000+25</f>
        <v>1825</v>
      </c>
      <c r="H251" s="780">
        <v>1568</v>
      </c>
      <c r="I251" s="562">
        <f>H251/G251</f>
        <v>0.85917808219178082</v>
      </c>
      <c r="J251" s="1554" t="s">
        <v>946</v>
      </c>
      <c r="K251" s="751"/>
    </row>
    <row r="252" spans="1:12">
      <c r="A252" s="838"/>
      <c r="B252" s="594" t="s">
        <v>89</v>
      </c>
      <c r="C252" s="598"/>
      <c r="D252" s="598"/>
      <c r="E252" s="598"/>
      <c r="F252" s="598"/>
      <c r="G252" s="598"/>
      <c r="H252" s="598"/>
      <c r="I252" s="562"/>
      <c r="J252" s="1504"/>
    </row>
    <row r="253" spans="1:12">
      <c r="A253" s="838"/>
      <c r="B253" s="594" t="s">
        <v>228</v>
      </c>
      <c r="C253" s="598">
        <v>1000</v>
      </c>
      <c r="D253" s="598">
        <f>1000+500</f>
        <v>1500</v>
      </c>
      <c r="E253" s="598">
        <f>1000+500</f>
        <v>1500</v>
      </c>
      <c r="F253" s="598">
        <f>1000+500+2100</f>
        <v>3600</v>
      </c>
      <c r="G253" s="598">
        <f>1000+500+2100</f>
        <v>3600</v>
      </c>
      <c r="H253" s="598">
        <v>3600</v>
      </c>
      <c r="I253" s="562">
        <f>H253/G253</f>
        <v>1</v>
      </c>
      <c r="J253" s="1537"/>
    </row>
    <row r="254" spans="1:12" ht="12.75" thickBot="1">
      <c r="A254" s="838"/>
      <c r="B254" s="566" t="s">
        <v>213</v>
      </c>
      <c r="C254" s="605"/>
      <c r="D254" s="605"/>
      <c r="E254" s="605"/>
      <c r="F254" s="605"/>
      <c r="G254" s="605"/>
      <c r="H254" s="605"/>
      <c r="I254" s="578"/>
      <c r="J254" s="1552"/>
    </row>
    <row r="255" spans="1:12" ht="12.75" thickBot="1">
      <c r="A255" s="1498"/>
      <c r="B255" s="576" t="s">
        <v>97</v>
      </c>
      <c r="C255" s="596">
        <f t="shared" ref="C255:D255" si="81">SUM(C249:C254)</f>
        <v>6000</v>
      </c>
      <c r="D255" s="596">
        <f t="shared" si="81"/>
        <v>6000</v>
      </c>
      <c r="E255" s="596">
        <f t="shared" ref="E255:F255" si="82">SUM(E249:E254)</f>
        <v>6000</v>
      </c>
      <c r="F255" s="596">
        <f t="shared" si="82"/>
        <v>6000</v>
      </c>
      <c r="G255" s="596">
        <f t="shared" ref="G255:H255" si="83">SUM(G249:G254)</f>
        <v>6000</v>
      </c>
      <c r="H255" s="596">
        <f t="shared" si="83"/>
        <v>5304</v>
      </c>
      <c r="I255" s="553">
        <f>H255/G255</f>
        <v>0.88400000000000001</v>
      </c>
      <c r="J255" s="475"/>
    </row>
    <row r="256" spans="1:12" ht="12" customHeight="1">
      <c r="A256" s="838">
        <v>3204</v>
      </c>
      <c r="B256" s="589" t="s">
        <v>299</v>
      </c>
      <c r="C256" s="544"/>
      <c r="D256" s="544"/>
      <c r="E256" s="544"/>
      <c r="F256" s="544"/>
      <c r="G256" s="544"/>
      <c r="H256" s="544"/>
      <c r="I256" s="560"/>
      <c r="J256" s="1534"/>
    </row>
    <row r="257" spans="1:11" ht="12" customHeight="1">
      <c r="A257" s="840"/>
      <c r="B257" s="590" t="s">
        <v>84</v>
      </c>
      <c r="C257" s="591"/>
      <c r="D257" s="591"/>
      <c r="E257" s="591"/>
      <c r="F257" s="591"/>
      <c r="G257" s="591"/>
      <c r="H257" s="591"/>
      <c r="I257" s="560"/>
      <c r="J257" s="1535"/>
    </row>
    <row r="258" spans="1:11" ht="12" customHeight="1">
      <c r="A258" s="840"/>
      <c r="B258" s="592" t="s">
        <v>231</v>
      </c>
      <c r="C258" s="591"/>
      <c r="D258" s="591"/>
      <c r="E258" s="591"/>
      <c r="F258" s="591"/>
      <c r="G258" s="591"/>
      <c r="H258" s="591"/>
      <c r="I258" s="545"/>
      <c r="J258" s="1505" t="s">
        <v>947</v>
      </c>
    </row>
    <row r="259" spans="1:11" ht="12" customHeight="1">
      <c r="A259" s="840"/>
      <c r="B259" s="593" t="s">
        <v>222</v>
      </c>
      <c r="C259" s="591">
        <v>25000</v>
      </c>
      <c r="D259" s="591">
        <f>25000+3681</f>
        <v>28681</v>
      </c>
      <c r="E259" s="591">
        <f>28681+12530</f>
        <v>41211</v>
      </c>
      <c r="F259" s="591">
        <f>28681+12530</f>
        <v>41211</v>
      </c>
      <c r="G259" s="591">
        <f>28681+12530</f>
        <v>41211</v>
      </c>
      <c r="H259" s="591">
        <v>32824</v>
      </c>
      <c r="I259" s="562">
        <f>H259/G259</f>
        <v>0.79648637499696684</v>
      </c>
      <c r="J259" s="1504" t="s">
        <v>399</v>
      </c>
    </row>
    <row r="260" spans="1:11" ht="12" customHeight="1">
      <c r="A260" s="840"/>
      <c r="B260" s="594" t="s">
        <v>228</v>
      </c>
      <c r="C260" s="591"/>
      <c r="D260" s="591"/>
      <c r="E260" s="591"/>
      <c r="F260" s="591"/>
      <c r="G260" s="591"/>
      <c r="H260" s="591"/>
      <c r="I260" s="548"/>
      <c r="J260" s="1555"/>
    </row>
    <row r="261" spans="1:11" ht="12" customHeight="1">
      <c r="A261" s="840"/>
      <c r="B261" s="594" t="s">
        <v>89</v>
      </c>
      <c r="C261" s="591"/>
      <c r="D261" s="591"/>
      <c r="E261" s="591"/>
      <c r="F261" s="591"/>
      <c r="G261" s="591"/>
      <c r="H261" s="591"/>
      <c r="I261" s="548"/>
      <c r="J261" s="1536"/>
    </row>
    <row r="262" spans="1:11" ht="12" customHeight="1" thickBot="1">
      <c r="A262" s="840"/>
      <c r="B262" s="566" t="s">
        <v>197</v>
      </c>
      <c r="C262" s="602"/>
      <c r="D262" s="602"/>
      <c r="E262" s="602"/>
      <c r="F262" s="602">
        <v>2050</v>
      </c>
      <c r="G262" s="602">
        <v>2050</v>
      </c>
      <c r="H262" s="602">
        <v>0</v>
      </c>
      <c r="I262" s="562">
        <f>H262/G262</f>
        <v>0</v>
      </c>
      <c r="J262" s="1556"/>
    </row>
    <row r="263" spans="1:11" ht="12" customHeight="1" thickBot="1">
      <c r="A263" s="1498"/>
      <c r="B263" s="576" t="s">
        <v>97</v>
      </c>
      <c r="C263" s="596">
        <f t="shared" ref="C263:D263" si="84">SUM(C257:C262)</f>
        <v>25000</v>
      </c>
      <c r="D263" s="596">
        <f t="shared" si="84"/>
        <v>28681</v>
      </c>
      <c r="E263" s="596">
        <f t="shared" ref="E263:F263" si="85">SUM(E257:E262)</f>
        <v>41211</v>
      </c>
      <c r="F263" s="596">
        <f t="shared" si="85"/>
        <v>43261</v>
      </c>
      <c r="G263" s="596">
        <f t="shared" ref="G263:H263" si="86">SUM(G257:G262)</f>
        <v>43261</v>
      </c>
      <c r="H263" s="596">
        <f t="shared" si="86"/>
        <v>32824</v>
      </c>
      <c r="I263" s="553">
        <f>H263/G263</f>
        <v>0.75874344097454982</v>
      </c>
      <c r="J263" s="475"/>
      <c r="K263" s="12"/>
    </row>
    <row r="264" spans="1:11" ht="12" customHeight="1">
      <c r="A264" s="838">
        <v>3205</v>
      </c>
      <c r="B264" s="589" t="s">
        <v>277</v>
      </c>
      <c r="C264" s="544"/>
      <c r="D264" s="544"/>
      <c r="E264" s="544"/>
      <c r="F264" s="544"/>
      <c r="G264" s="544"/>
      <c r="H264" s="544"/>
      <c r="I264" s="560"/>
      <c r="J264" s="1534"/>
    </row>
    <row r="265" spans="1:11" ht="12" customHeight="1">
      <c r="A265" s="840"/>
      <c r="B265" s="621" t="s">
        <v>84</v>
      </c>
      <c r="C265" s="598">
        <v>6000</v>
      </c>
      <c r="D265" s="598">
        <f>6000+1811</f>
        <v>7811</v>
      </c>
      <c r="E265" s="598">
        <f>6000+1811</f>
        <v>7811</v>
      </c>
      <c r="F265" s="598">
        <f>6000+1811-3500</f>
        <v>4311</v>
      </c>
      <c r="G265" s="598">
        <f>6000+1811-3500</f>
        <v>4311</v>
      </c>
      <c r="H265" s="598">
        <v>3091</v>
      </c>
      <c r="I265" s="562">
        <f>H265/G265</f>
        <v>0.7170030155416377</v>
      </c>
      <c r="J265" s="1505" t="s">
        <v>947</v>
      </c>
    </row>
    <row r="266" spans="1:11" ht="12" customHeight="1">
      <c r="A266" s="840"/>
      <c r="B266" s="622" t="s">
        <v>231</v>
      </c>
      <c r="C266" s="598">
        <v>1000</v>
      </c>
      <c r="D266" s="598">
        <f>1000+380</f>
        <v>1380</v>
      </c>
      <c r="E266" s="598">
        <f>1380+60</f>
        <v>1440</v>
      </c>
      <c r="F266" s="598">
        <f>1380+60-700</f>
        <v>740</v>
      </c>
      <c r="G266" s="598">
        <f>1380+60-700</f>
        <v>740</v>
      </c>
      <c r="H266" s="598">
        <v>304</v>
      </c>
      <c r="I266" s="562">
        <f>H266/G266</f>
        <v>0.41081081081081083</v>
      </c>
      <c r="J266" s="1504"/>
    </row>
    <row r="267" spans="1:11" ht="12" customHeight="1">
      <c r="A267" s="847"/>
      <c r="B267" s="597" t="s">
        <v>222</v>
      </c>
      <c r="C267" s="598">
        <v>20000</v>
      </c>
      <c r="D267" s="598">
        <f>20000+21060</f>
        <v>41060</v>
      </c>
      <c r="E267" s="598">
        <f>41060+1000</f>
        <v>42060</v>
      </c>
      <c r="F267" s="598">
        <f>41060+1000+1000</f>
        <v>43060</v>
      </c>
      <c r="G267" s="598">
        <f>41060+1000+1000</f>
        <v>43060</v>
      </c>
      <c r="H267" s="598">
        <v>23770</v>
      </c>
      <c r="I267" s="562">
        <f>H267/G267</f>
        <v>0.55202043660009292</v>
      </c>
      <c r="J267" s="1529"/>
    </row>
    <row r="268" spans="1:11" ht="12" customHeight="1">
      <c r="A268" s="847"/>
      <c r="B268" s="623" t="s">
        <v>89</v>
      </c>
      <c r="C268" s="598"/>
      <c r="D268" s="598"/>
      <c r="E268" s="598"/>
      <c r="F268" s="598"/>
      <c r="G268" s="598"/>
      <c r="H268" s="598"/>
      <c r="I268" s="562"/>
      <c r="J268" s="1529"/>
    </row>
    <row r="269" spans="1:11" ht="12" customHeight="1">
      <c r="A269" s="847"/>
      <c r="B269" s="623" t="s">
        <v>228</v>
      </c>
      <c r="C269" s="598">
        <v>26000</v>
      </c>
      <c r="D269" s="598">
        <f>26000+10228</f>
        <v>36228</v>
      </c>
      <c r="E269" s="598">
        <f>36228-1060</f>
        <v>35168</v>
      </c>
      <c r="F269" s="598">
        <f>36228-1060+4000</f>
        <v>39168</v>
      </c>
      <c r="G269" s="598">
        <f>36228-1060+4000</f>
        <v>39168</v>
      </c>
      <c r="H269" s="598">
        <v>38983</v>
      </c>
      <c r="I269" s="562">
        <f>H269/G269</f>
        <v>0.99527675653594772</v>
      </c>
      <c r="J269" s="1532"/>
    </row>
    <row r="270" spans="1:11" ht="12" customHeight="1">
      <c r="A270" s="847"/>
      <c r="B270" s="594" t="s">
        <v>89</v>
      </c>
      <c r="C270" s="591"/>
      <c r="D270" s="591"/>
      <c r="E270" s="591"/>
      <c r="F270" s="591"/>
      <c r="G270" s="591"/>
      <c r="H270" s="591"/>
      <c r="I270" s="562"/>
      <c r="J270" s="1532"/>
    </row>
    <row r="271" spans="1:11" ht="12" customHeight="1">
      <c r="A271" s="847"/>
      <c r="B271" s="594" t="s">
        <v>11</v>
      </c>
      <c r="C271" s="591"/>
      <c r="D271" s="591"/>
      <c r="E271" s="591"/>
      <c r="F271" s="591"/>
      <c r="G271" s="591"/>
      <c r="H271" s="591"/>
      <c r="I271" s="562"/>
      <c r="J271" s="1532"/>
    </row>
    <row r="272" spans="1:11" ht="12" customHeight="1" thickBot="1">
      <c r="A272" s="847"/>
      <c r="B272" s="566" t="s">
        <v>213</v>
      </c>
      <c r="C272" s="602">
        <v>35000</v>
      </c>
      <c r="D272" s="602">
        <v>35000</v>
      </c>
      <c r="E272" s="531">
        <v>35000</v>
      </c>
      <c r="F272" s="531">
        <f>35000-800</f>
        <v>34200</v>
      </c>
      <c r="G272" s="531">
        <f>35000-800</f>
        <v>34200</v>
      </c>
      <c r="H272" s="531">
        <v>8041</v>
      </c>
      <c r="I272" s="562">
        <f>H272/G272</f>
        <v>0.23511695906432747</v>
      </c>
      <c r="J272" s="1557"/>
    </row>
    <row r="273" spans="1:11" ht="12" customHeight="1" thickBot="1">
      <c r="A273" s="1498"/>
      <c r="B273" s="576" t="s">
        <v>97</v>
      </c>
      <c r="C273" s="596">
        <f t="shared" ref="C273:H273" si="87">SUM(C265:C272)</f>
        <v>88000</v>
      </c>
      <c r="D273" s="596">
        <f t="shared" si="87"/>
        <v>121479</v>
      </c>
      <c r="E273" s="596">
        <f t="shared" si="87"/>
        <v>121479</v>
      </c>
      <c r="F273" s="596">
        <f t="shared" si="87"/>
        <v>121479</v>
      </c>
      <c r="G273" s="596">
        <f t="shared" si="87"/>
        <v>121479</v>
      </c>
      <c r="H273" s="596">
        <f t="shared" si="87"/>
        <v>74189</v>
      </c>
      <c r="I273" s="553">
        <f>H273/G273</f>
        <v>0.61071460910939335</v>
      </c>
      <c r="J273" s="1558"/>
    </row>
    <row r="274" spans="1:11" ht="12" customHeight="1">
      <c r="A274" s="838">
        <v>3206</v>
      </c>
      <c r="B274" s="589" t="s">
        <v>762</v>
      </c>
      <c r="C274" s="544"/>
      <c r="D274" s="544"/>
      <c r="E274" s="544"/>
      <c r="F274" s="544"/>
      <c r="G274" s="544"/>
      <c r="H274" s="544"/>
      <c r="I274" s="560"/>
      <c r="J274" s="1534"/>
    </row>
    <row r="275" spans="1:11" ht="12" customHeight="1">
      <c r="A275" s="840"/>
      <c r="B275" s="590" t="s">
        <v>84</v>
      </c>
      <c r="C275" s="591"/>
      <c r="D275" s="591"/>
      <c r="E275" s="591">
        <v>72</v>
      </c>
      <c r="F275" s="591">
        <f>72+200</f>
        <v>272</v>
      </c>
      <c r="G275" s="127">
        <f>72+200+250</f>
        <v>522</v>
      </c>
      <c r="H275" s="127">
        <v>396</v>
      </c>
      <c r="I275" s="562">
        <f>H275/G275</f>
        <v>0.75862068965517238</v>
      </c>
      <c r="J275" s="1535"/>
      <c r="K275" s="751"/>
    </row>
    <row r="276" spans="1:11" ht="12" customHeight="1">
      <c r="A276" s="840"/>
      <c r="B276" s="592" t="s">
        <v>231</v>
      </c>
      <c r="C276" s="591"/>
      <c r="D276" s="591"/>
      <c r="E276" s="591">
        <f>19+20</f>
        <v>39</v>
      </c>
      <c r="F276" s="591">
        <f>19+20+80</f>
        <v>119</v>
      </c>
      <c r="G276" s="127">
        <f>19+20+80</f>
        <v>119</v>
      </c>
      <c r="H276" s="127">
        <v>78</v>
      </c>
      <c r="I276" s="562">
        <f>H276/G276</f>
        <v>0.65546218487394958</v>
      </c>
      <c r="J276" s="1528"/>
    </row>
    <row r="277" spans="1:11" ht="12" customHeight="1">
      <c r="A277" s="847"/>
      <c r="B277" s="593" t="s">
        <v>222</v>
      </c>
      <c r="C277" s="591"/>
      <c r="D277" s="591"/>
      <c r="E277" s="591">
        <v>13</v>
      </c>
      <c r="F277" s="591">
        <f>13+400</f>
        <v>413</v>
      </c>
      <c r="G277" s="127">
        <f>13+400+1250</f>
        <v>1663</v>
      </c>
      <c r="H277" s="127">
        <v>190</v>
      </c>
      <c r="I277" s="562">
        <f>H277/G277</f>
        <v>0.11425135297654841</v>
      </c>
      <c r="J277" s="1529"/>
      <c r="K277" s="751"/>
    </row>
    <row r="278" spans="1:11" ht="12" customHeight="1">
      <c r="A278" s="847"/>
      <c r="B278" s="594" t="s">
        <v>89</v>
      </c>
      <c r="C278" s="591"/>
      <c r="D278" s="591"/>
      <c r="E278" s="591"/>
      <c r="F278" s="591"/>
      <c r="G278" s="127"/>
      <c r="H278" s="127"/>
      <c r="I278" s="560"/>
      <c r="J278" s="1529"/>
    </row>
    <row r="279" spans="1:11" ht="12" customHeight="1">
      <c r="A279" s="847"/>
      <c r="B279" s="594" t="s">
        <v>228</v>
      </c>
      <c r="C279" s="591">
        <v>6000</v>
      </c>
      <c r="D279" s="591">
        <v>6000</v>
      </c>
      <c r="E279" s="591">
        <f>6000-104-20</f>
        <v>5876</v>
      </c>
      <c r="F279" s="591">
        <f>6000-104-20-680</f>
        <v>5196</v>
      </c>
      <c r="G279" s="127">
        <f>6000-104-20-680</f>
        <v>5196</v>
      </c>
      <c r="H279" s="127">
        <v>0</v>
      </c>
      <c r="I279" s="562">
        <f>H279/G279</f>
        <v>0</v>
      </c>
      <c r="J279" s="1532"/>
    </row>
    <row r="280" spans="1:11" ht="12" customHeight="1">
      <c r="A280" s="847"/>
      <c r="B280" s="594" t="s">
        <v>89</v>
      </c>
      <c r="C280" s="591"/>
      <c r="D280" s="591"/>
      <c r="E280" s="591"/>
      <c r="F280" s="591"/>
      <c r="G280" s="127"/>
      <c r="H280" s="127"/>
      <c r="I280" s="545"/>
      <c r="J280" s="1532"/>
    </row>
    <row r="281" spans="1:11" ht="12" customHeight="1">
      <c r="A281" s="847"/>
      <c r="B281" s="594" t="s">
        <v>11</v>
      </c>
      <c r="C281" s="591">
        <v>10000</v>
      </c>
      <c r="D281" s="591">
        <v>10000</v>
      </c>
      <c r="E281" s="591">
        <v>10000</v>
      </c>
      <c r="F281" s="591">
        <v>10000</v>
      </c>
      <c r="G281" s="127">
        <f>10000-1500</f>
        <v>8500</v>
      </c>
      <c r="H281" s="127">
        <v>1226</v>
      </c>
      <c r="I281" s="562">
        <f>H281/G281</f>
        <v>0.14423529411764707</v>
      </c>
      <c r="J281" s="1532"/>
      <c r="K281" s="751"/>
    </row>
    <row r="282" spans="1:11" ht="12" customHeight="1" thickBot="1">
      <c r="A282" s="847"/>
      <c r="B282" s="566" t="s">
        <v>213</v>
      </c>
      <c r="C282" s="531">
        <v>4000</v>
      </c>
      <c r="D282" s="531">
        <v>4000</v>
      </c>
      <c r="E282" s="531">
        <v>4000</v>
      </c>
      <c r="F282" s="531">
        <v>4000</v>
      </c>
      <c r="G282" s="781">
        <v>4000</v>
      </c>
      <c r="H282" s="781">
        <v>450</v>
      </c>
      <c r="I282" s="562">
        <f>H282/G282</f>
        <v>0.1125</v>
      </c>
      <c r="J282" s="1557"/>
    </row>
    <row r="283" spans="1:11" ht="12" customHeight="1" thickBot="1">
      <c r="A283" s="1498"/>
      <c r="B283" s="576" t="s">
        <v>97</v>
      </c>
      <c r="C283" s="596">
        <f t="shared" ref="C283:D283" si="88">SUM(C275:C282)</f>
        <v>20000</v>
      </c>
      <c r="D283" s="596">
        <f t="shared" si="88"/>
        <v>20000</v>
      </c>
      <c r="E283" s="596">
        <f t="shared" ref="E283:F283" si="89">SUM(E275:E282)</f>
        <v>20000</v>
      </c>
      <c r="F283" s="596">
        <f t="shared" si="89"/>
        <v>20000</v>
      </c>
      <c r="G283" s="596">
        <f t="shared" ref="G283:H283" si="90">SUM(G275:G282)</f>
        <v>20000</v>
      </c>
      <c r="H283" s="596">
        <f t="shared" si="90"/>
        <v>2340</v>
      </c>
      <c r="I283" s="553">
        <f>H283/G283</f>
        <v>0.11700000000000001</v>
      </c>
      <c r="J283" s="1558"/>
    </row>
    <row r="284" spans="1:11" ht="12" customHeight="1">
      <c r="A284" s="819">
        <v>3207</v>
      </c>
      <c r="B284" s="589" t="s">
        <v>225</v>
      </c>
      <c r="C284" s="544"/>
      <c r="D284" s="544"/>
      <c r="E284" s="544"/>
      <c r="F284" s="544"/>
      <c r="G284" s="544"/>
      <c r="H284" s="544"/>
      <c r="I284" s="560"/>
      <c r="J284" s="1528"/>
    </row>
    <row r="285" spans="1:11" ht="12" customHeight="1">
      <c r="A285" s="847"/>
      <c r="B285" s="590" t="s">
        <v>84</v>
      </c>
      <c r="C285" s="591"/>
      <c r="D285" s="591"/>
      <c r="E285" s="591"/>
      <c r="F285" s="591"/>
      <c r="G285" s="591"/>
      <c r="H285" s="591"/>
      <c r="I285" s="560"/>
      <c r="J285" s="1528"/>
    </row>
    <row r="286" spans="1:11" ht="12" customHeight="1">
      <c r="A286" s="847"/>
      <c r="B286" s="592" t="s">
        <v>231</v>
      </c>
      <c r="C286" s="591"/>
      <c r="D286" s="591"/>
      <c r="E286" s="591"/>
      <c r="F286" s="591"/>
      <c r="G286" s="591"/>
      <c r="H286" s="591"/>
      <c r="I286" s="545"/>
      <c r="J286" s="1513"/>
    </row>
    <row r="287" spans="1:11" ht="12" customHeight="1">
      <c r="A287" s="847"/>
      <c r="B287" s="593" t="s">
        <v>222</v>
      </c>
      <c r="C287" s="591">
        <v>41500</v>
      </c>
      <c r="D287" s="591">
        <v>41500</v>
      </c>
      <c r="E287" s="591">
        <v>41500</v>
      </c>
      <c r="F287" s="591">
        <v>41500</v>
      </c>
      <c r="G287" s="591">
        <v>41500</v>
      </c>
      <c r="H287" s="591">
        <v>41260</v>
      </c>
      <c r="I287" s="562">
        <f>H287/G287</f>
        <v>0.99421686746987947</v>
      </c>
      <c r="J287" s="1529"/>
    </row>
    <row r="288" spans="1:11" ht="12" customHeight="1">
      <c r="A288" s="847"/>
      <c r="B288" s="594" t="s">
        <v>89</v>
      </c>
      <c r="C288" s="591"/>
      <c r="D288" s="591"/>
      <c r="E288" s="591"/>
      <c r="F288" s="591"/>
      <c r="G288" s="591"/>
      <c r="H288" s="591"/>
      <c r="I288" s="548"/>
      <c r="J288" s="1529"/>
    </row>
    <row r="289" spans="1:10" ht="12" customHeight="1">
      <c r="A289" s="847"/>
      <c r="B289" s="594" t="s">
        <v>228</v>
      </c>
      <c r="C289" s="591"/>
      <c r="D289" s="591"/>
      <c r="E289" s="591"/>
      <c r="F289" s="591"/>
      <c r="G289" s="591"/>
      <c r="H289" s="591"/>
      <c r="I289" s="548"/>
      <c r="J289" s="1528"/>
    </row>
    <row r="290" spans="1:10" ht="12" customHeight="1" thickBot="1">
      <c r="A290" s="847"/>
      <c r="B290" s="566" t="s">
        <v>59</v>
      </c>
      <c r="C290" s="602"/>
      <c r="D290" s="602"/>
      <c r="E290" s="602"/>
      <c r="F290" s="602"/>
      <c r="G290" s="602"/>
      <c r="H290" s="602"/>
      <c r="I290" s="578"/>
      <c r="J290" s="1538"/>
    </row>
    <row r="291" spans="1:10" ht="12.75" thickBot="1">
      <c r="A291" s="898"/>
      <c r="B291" s="576" t="s">
        <v>97</v>
      </c>
      <c r="C291" s="596">
        <f t="shared" ref="C291:D291" si="91">SUM(C285:C290)</f>
        <v>41500</v>
      </c>
      <c r="D291" s="596">
        <f t="shared" si="91"/>
        <v>41500</v>
      </c>
      <c r="E291" s="596">
        <f t="shared" ref="E291:F291" si="92">SUM(E285:E290)</f>
        <v>41500</v>
      </c>
      <c r="F291" s="596">
        <f t="shared" si="92"/>
        <v>41500</v>
      </c>
      <c r="G291" s="596">
        <f t="shared" ref="G291:H291" si="93">SUM(G285:G290)</f>
        <v>41500</v>
      </c>
      <c r="H291" s="596">
        <f t="shared" si="93"/>
        <v>41260</v>
      </c>
      <c r="I291" s="553">
        <f>H291/G291</f>
        <v>0.99421686746987947</v>
      </c>
      <c r="J291" s="475"/>
    </row>
    <row r="292" spans="1:10">
      <c r="A292" s="819">
        <v>3208</v>
      </c>
      <c r="B292" s="589" t="s">
        <v>139</v>
      </c>
      <c r="C292" s="544"/>
      <c r="D292" s="544"/>
      <c r="E292" s="544"/>
      <c r="F292" s="544"/>
      <c r="G292" s="544"/>
      <c r="H292" s="544"/>
      <c r="I292" s="560"/>
      <c r="J292" s="1528"/>
    </row>
    <row r="293" spans="1:10">
      <c r="A293" s="847"/>
      <c r="B293" s="590" t="s">
        <v>84</v>
      </c>
      <c r="C293" s="591"/>
      <c r="D293" s="591"/>
      <c r="E293" s="591"/>
      <c r="F293" s="591"/>
      <c r="G293" s="591"/>
      <c r="H293" s="591"/>
      <c r="I293" s="560"/>
      <c r="J293" s="1528"/>
    </row>
    <row r="294" spans="1:10">
      <c r="A294" s="847"/>
      <c r="B294" s="592" t="s">
        <v>231</v>
      </c>
      <c r="C294" s="591"/>
      <c r="D294" s="591"/>
      <c r="E294" s="591"/>
      <c r="F294" s="591"/>
      <c r="G294" s="591"/>
      <c r="H294" s="591"/>
      <c r="I294" s="545"/>
      <c r="J294" s="1529"/>
    </row>
    <row r="295" spans="1:10">
      <c r="A295" s="847"/>
      <c r="B295" s="593" t="s">
        <v>222</v>
      </c>
      <c r="C295" s="591">
        <v>18000</v>
      </c>
      <c r="D295" s="591">
        <f>18000+4278</f>
        <v>22278</v>
      </c>
      <c r="E295" s="591">
        <f>18000+4278</f>
        <v>22278</v>
      </c>
      <c r="F295" s="591">
        <f>18000+4278</f>
        <v>22278</v>
      </c>
      <c r="G295" s="591">
        <f>18000+4278</f>
        <v>22278</v>
      </c>
      <c r="H295" s="591">
        <v>12897</v>
      </c>
      <c r="I295" s="562">
        <f>H295/G295</f>
        <v>0.57891193105305683</v>
      </c>
      <c r="J295" s="1529"/>
    </row>
    <row r="296" spans="1:10">
      <c r="A296" s="847"/>
      <c r="B296" s="594" t="s">
        <v>89</v>
      </c>
      <c r="C296" s="591"/>
      <c r="D296" s="591"/>
      <c r="E296" s="591"/>
      <c r="F296" s="591"/>
      <c r="G296" s="591"/>
      <c r="H296" s="591"/>
      <c r="I296" s="548"/>
      <c r="J296" s="1528"/>
    </row>
    <row r="297" spans="1:10">
      <c r="A297" s="847"/>
      <c r="B297" s="594" t="s">
        <v>228</v>
      </c>
      <c r="C297" s="591"/>
      <c r="D297" s="591"/>
      <c r="E297" s="591"/>
      <c r="F297" s="591"/>
      <c r="G297" s="591"/>
      <c r="H297" s="591"/>
      <c r="I297" s="548"/>
      <c r="J297" s="1528"/>
    </row>
    <row r="298" spans="1:10" ht="12.6" customHeight="1" thickBot="1">
      <c r="A298" s="847"/>
      <c r="B298" s="566" t="s">
        <v>59</v>
      </c>
      <c r="C298" s="602"/>
      <c r="D298" s="602"/>
      <c r="E298" s="602"/>
      <c r="F298" s="602"/>
      <c r="G298" s="602"/>
      <c r="H298" s="602"/>
      <c r="I298" s="578"/>
      <c r="J298" s="1538"/>
    </row>
    <row r="299" spans="1:10" ht="12.6" customHeight="1" thickBot="1">
      <c r="A299" s="898"/>
      <c r="B299" s="576" t="s">
        <v>97</v>
      </c>
      <c r="C299" s="596">
        <f t="shared" ref="C299:D299" si="94">SUM(C293:C298)</f>
        <v>18000</v>
      </c>
      <c r="D299" s="596">
        <f t="shared" si="94"/>
        <v>22278</v>
      </c>
      <c r="E299" s="596">
        <f t="shared" ref="E299:F299" si="95">SUM(E293:E298)</f>
        <v>22278</v>
      </c>
      <c r="F299" s="596">
        <f t="shared" si="95"/>
        <v>22278</v>
      </c>
      <c r="G299" s="596">
        <f t="shared" ref="G299:H299" si="96">SUM(G293:G298)</f>
        <v>22278</v>
      </c>
      <c r="H299" s="596">
        <f t="shared" si="96"/>
        <v>12897</v>
      </c>
      <c r="I299" s="553">
        <f>H299/G299</f>
        <v>0.57891193105305683</v>
      </c>
      <c r="J299" s="475"/>
    </row>
    <row r="300" spans="1:10" ht="12.6" customHeight="1">
      <c r="A300" s="838">
        <v>3209</v>
      </c>
      <c r="B300" s="624" t="s">
        <v>50</v>
      </c>
      <c r="C300" s="544"/>
      <c r="D300" s="544"/>
      <c r="E300" s="544"/>
      <c r="F300" s="544"/>
      <c r="G300" s="544"/>
      <c r="H300" s="544"/>
      <c r="I300" s="560"/>
      <c r="J300" s="1534"/>
    </row>
    <row r="301" spans="1:10" ht="12.6" customHeight="1">
      <c r="A301" s="838"/>
      <c r="B301" s="593" t="s">
        <v>84</v>
      </c>
      <c r="C301" s="598"/>
      <c r="D301" s="598"/>
      <c r="E301" s="598"/>
      <c r="F301" s="598"/>
      <c r="G301" s="598"/>
      <c r="H301" s="598"/>
      <c r="I301" s="560"/>
      <c r="J301" s="1535"/>
    </row>
    <row r="302" spans="1:10" ht="12.6" customHeight="1">
      <c r="A302" s="838"/>
      <c r="B302" s="592" t="s">
        <v>231</v>
      </c>
      <c r="C302" s="598"/>
      <c r="D302" s="598"/>
      <c r="E302" s="598"/>
      <c r="F302" s="598"/>
      <c r="G302" s="598"/>
      <c r="H302" s="598"/>
      <c r="I302" s="545"/>
      <c r="J302" s="1529"/>
    </row>
    <row r="303" spans="1:10" ht="12.6" customHeight="1">
      <c r="A303" s="838"/>
      <c r="B303" s="593" t="s">
        <v>222</v>
      </c>
      <c r="C303" s="598">
        <v>5000</v>
      </c>
      <c r="D303" s="598">
        <f>5000-2000</f>
        <v>3000</v>
      </c>
      <c r="E303" s="598">
        <f>3000-229</f>
        <v>2771</v>
      </c>
      <c r="F303" s="598">
        <f>3000-229</f>
        <v>2771</v>
      </c>
      <c r="G303" s="598">
        <f>3000-229</f>
        <v>2771</v>
      </c>
      <c r="H303" s="598">
        <v>0</v>
      </c>
      <c r="I303" s="562">
        <f>H303/G303</f>
        <v>0</v>
      </c>
      <c r="J303" s="1529"/>
    </row>
    <row r="304" spans="1:10">
      <c r="A304" s="838"/>
      <c r="B304" s="620" t="s">
        <v>89</v>
      </c>
      <c r="C304" s="598"/>
      <c r="D304" s="598"/>
      <c r="E304" s="598"/>
      <c r="F304" s="598"/>
      <c r="G304" s="598"/>
      <c r="H304" s="598"/>
      <c r="I304" s="548"/>
      <c r="J304" s="1537"/>
    </row>
    <row r="305" spans="1:11">
      <c r="A305" s="838"/>
      <c r="B305" s="625" t="s">
        <v>228</v>
      </c>
      <c r="C305" s="598"/>
      <c r="D305" s="598">
        <v>500</v>
      </c>
      <c r="E305" s="598">
        <f>500+229</f>
        <v>729</v>
      </c>
      <c r="F305" s="598">
        <f>500+229+5000</f>
        <v>5729</v>
      </c>
      <c r="G305" s="598">
        <f>500+229+5000</f>
        <v>5729</v>
      </c>
      <c r="H305" s="598">
        <v>728</v>
      </c>
      <c r="I305" s="562">
        <f>H305/G305</f>
        <v>0.1270727875720021</v>
      </c>
      <c r="J305" s="1535"/>
      <c r="K305" s="12"/>
    </row>
    <row r="306" spans="1:11">
      <c r="A306" s="838"/>
      <c r="B306" s="566" t="s">
        <v>197</v>
      </c>
      <c r="C306" s="598"/>
      <c r="D306" s="598"/>
      <c r="E306" s="598"/>
      <c r="F306" s="598"/>
      <c r="G306" s="598"/>
      <c r="H306" s="598"/>
      <c r="I306" s="548"/>
      <c r="J306" s="1535"/>
    </row>
    <row r="307" spans="1:11" ht="12.75" thickBot="1">
      <c r="A307" s="838"/>
      <c r="B307" s="568" t="s">
        <v>213</v>
      </c>
      <c r="C307" s="605"/>
      <c r="D307" s="605">
        <v>1500</v>
      </c>
      <c r="E307" s="605">
        <v>1500</v>
      </c>
      <c r="F307" s="605">
        <v>1500</v>
      </c>
      <c r="G307" s="605">
        <v>1500</v>
      </c>
      <c r="H307" s="605">
        <v>1500</v>
      </c>
      <c r="I307" s="562">
        <f>H307/G307</f>
        <v>1</v>
      </c>
      <c r="J307" s="826"/>
    </row>
    <row r="308" spans="1:11" ht="12.6" customHeight="1" thickBot="1">
      <c r="A308" s="1498"/>
      <c r="B308" s="576" t="s">
        <v>97</v>
      </c>
      <c r="C308" s="596">
        <f t="shared" ref="C308:D308" si="97">SUM(C301:C307)</f>
        <v>5000</v>
      </c>
      <c r="D308" s="596">
        <f t="shared" si="97"/>
        <v>5000</v>
      </c>
      <c r="E308" s="596">
        <f t="shared" ref="E308:F308" si="98">SUM(E301:E307)</f>
        <v>5000</v>
      </c>
      <c r="F308" s="596">
        <f t="shared" si="98"/>
        <v>10000</v>
      </c>
      <c r="G308" s="596">
        <f t="shared" ref="G308:H308" si="99">SUM(G301:G307)</f>
        <v>10000</v>
      </c>
      <c r="H308" s="596">
        <f t="shared" si="99"/>
        <v>2228</v>
      </c>
      <c r="I308" s="553">
        <f>H308/G308</f>
        <v>0.2228</v>
      </c>
      <c r="J308" s="475"/>
    </row>
    <row r="309" spans="1:11" ht="12.6" customHeight="1">
      <c r="A309" s="838">
        <v>3210</v>
      </c>
      <c r="B309" s="624" t="s">
        <v>920</v>
      </c>
      <c r="C309" s="544"/>
      <c r="D309" s="544"/>
      <c r="E309" s="544"/>
      <c r="F309" s="544"/>
      <c r="G309" s="544"/>
      <c r="H309" s="544"/>
      <c r="I309" s="560"/>
      <c r="J309" s="1542"/>
    </row>
    <row r="310" spans="1:11" ht="12.6" customHeight="1">
      <c r="A310" s="838"/>
      <c r="B310" s="593" t="s">
        <v>84</v>
      </c>
      <c r="C310" s="598"/>
      <c r="D310" s="598"/>
      <c r="E310" s="598"/>
      <c r="F310" s="598"/>
      <c r="G310" s="598"/>
      <c r="H310" s="598"/>
      <c r="I310" s="560"/>
      <c r="J310" s="1535"/>
    </row>
    <row r="311" spans="1:11" ht="12.6" customHeight="1">
      <c r="A311" s="838"/>
      <c r="B311" s="592" t="s">
        <v>231</v>
      </c>
      <c r="C311" s="598"/>
      <c r="D311" s="598"/>
      <c r="E311" s="598"/>
      <c r="F311" s="598"/>
      <c r="G311" s="598"/>
      <c r="H311" s="598"/>
      <c r="I311" s="560"/>
      <c r="J311" s="1535"/>
    </row>
    <row r="312" spans="1:11" ht="12.6" customHeight="1">
      <c r="A312" s="838"/>
      <c r="B312" s="593" t="s">
        <v>222</v>
      </c>
      <c r="C312" s="598"/>
      <c r="D312" s="598"/>
      <c r="E312" s="598"/>
      <c r="F312" s="598"/>
      <c r="G312" s="598"/>
      <c r="H312" s="598"/>
      <c r="I312" s="548"/>
      <c r="J312" s="1535"/>
    </row>
    <row r="313" spans="1:11" ht="12.6" customHeight="1">
      <c r="A313" s="838"/>
      <c r="B313" s="620" t="s">
        <v>89</v>
      </c>
      <c r="C313" s="598"/>
      <c r="D313" s="598"/>
      <c r="E313" s="598"/>
      <c r="F313" s="598"/>
      <c r="G313" s="598"/>
      <c r="H313" s="598"/>
      <c r="I313" s="560"/>
      <c r="J313" s="1535"/>
    </row>
    <row r="314" spans="1:11" ht="12.6" customHeight="1">
      <c r="A314" s="838"/>
      <c r="B314" s="620" t="s">
        <v>228</v>
      </c>
      <c r="C314" s="598"/>
      <c r="D314" s="598"/>
      <c r="E314" s="598"/>
      <c r="F314" s="598"/>
      <c r="G314" s="598"/>
      <c r="H314" s="598"/>
      <c r="I314" s="560"/>
      <c r="J314" s="1535"/>
    </row>
    <row r="315" spans="1:11" ht="12.6" customHeight="1">
      <c r="A315" s="838"/>
      <c r="B315" s="566" t="s">
        <v>197</v>
      </c>
      <c r="C315" s="598"/>
      <c r="D315" s="598"/>
      <c r="E315" s="598"/>
      <c r="F315" s="598"/>
      <c r="G315" s="598"/>
      <c r="H315" s="598"/>
      <c r="I315" s="560"/>
      <c r="J315" s="1535"/>
    </row>
    <row r="316" spans="1:11" ht="12.6" customHeight="1" thickBot="1">
      <c r="A316" s="838"/>
      <c r="B316" s="568" t="s">
        <v>213</v>
      </c>
      <c r="C316" s="605"/>
      <c r="D316" s="605"/>
      <c r="E316" s="605"/>
      <c r="F316" s="605"/>
      <c r="G316" s="605"/>
      <c r="H316" s="605"/>
      <c r="I316" s="575"/>
      <c r="J316" s="1552"/>
    </row>
    <row r="317" spans="1:11" ht="12.6" customHeight="1" thickBot="1">
      <c r="A317" s="1498"/>
      <c r="B317" s="576" t="s">
        <v>97</v>
      </c>
      <c r="C317" s="596"/>
      <c r="D317" s="596"/>
      <c r="E317" s="596"/>
      <c r="F317" s="596"/>
      <c r="G317" s="596"/>
      <c r="H317" s="596"/>
      <c r="I317" s="626"/>
      <c r="J317" s="818"/>
    </row>
    <row r="318" spans="1:11">
      <c r="A318" s="819"/>
      <c r="B318" s="604" t="s">
        <v>63</v>
      </c>
      <c r="C318" s="544">
        <f t="shared" ref="C318:H318" si="100">SUM(C328+C339+C348+C356+C366)</f>
        <v>3531563</v>
      </c>
      <c r="D318" s="544">
        <f t="shared" si="100"/>
        <v>3825775</v>
      </c>
      <c r="E318" s="544">
        <f t="shared" si="100"/>
        <v>3825775</v>
      </c>
      <c r="F318" s="544">
        <f t="shared" si="100"/>
        <v>3895775</v>
      </c>
      <c r="G318" s="544">
        <f t="shared" si="100"/>
        <v>3904775</v>
      </c>
      <c r="H318" s="544">
        <f t="shared" si="100"/>
        <v>3547316</v>
      </c>
      <c r="I318" s="627">
        <f>H318/G318</f>
        <v>0.90845592895877481</v>
      </c>
      <c r="J318" s="1542"/>
    </row>
    <row r="319" spans="1:11">
      <c r="A319" s="819">
        <v>3211</v>
      </c>
      <c r="B319" s="542" t="s">
        <v>417</v>
      </c>
      <c r="C319" s="544"/>
      <c r="D319" s="544"/>
      <c r="E319" s="544"/>
      <c r="F319" s="544"/>
      <c r="G319" s="544"/>
      <c r="H319" s="544"/>
      <c r="I319" s="628"/>
      <c r="J319" s="1534"/>
    </row>
    <row r="320" spans="1:11">
      <c r="A320" s="819"/>
      <c r="B320" s="593" t="s">
        <v>84</v>
      </c>
      <c r="C320" s="544"/>
      <c r="D320" s="544"/>
      <c r="E320" s="544"/>
      <c r="F320" s="544"/>
      <c r="G320" s="544"/>
      <c r="H320" s="544"/>
      <c r="I320" s="560"/>
      <c r="J320" s="1535"/>
    </row>
    <row r="321" spans="1:11">
      <c r="A321" s="819"/>
      <c r="B321" s="592" t="s">
        <v>231</v>
      </c>
      <c r="C321" s="544"/>
      <c r="D321" s="544"/>
      <c r="E321" s="544"/>
      <c r="F321" s="544"/>
      <c r="G321" s="544"/>
      <c r="H321" s="544"/>
      <c r="I321" s="560"/>
      <c r="J321" s="1540"/>
    </row>
    <row r="322" spans="1:11">
      <c r="A322" s="819"/>
      <c r="B322" s="593" t="s">
        <v>222</v>
      </c>
      <c r="C322" s="598">
        <v>988000</v>
      </c>
      <c r="D322" s="598">
        <f>988000+84190</f>
        <v>1072190</v>
      </c>
      <c r="E322" s="598">
        <f>988000+84190</f>
        <v>1072190</v>
      </c>
      <c r="F322" s="598">
        <f>988000+84190</f>
        <v>1072190</v>
      </c>
      <c r="G322" s="598">
        <f>988000+84190</f>
        <v>1072190</v>
      </c>
      <c r="H322" s="598">
        <v>986726</v>
      </c>
      <c r="I322" s="562">
        <f>H322/G322</f>
        <v>0.92029024706441953</v>
      </c>
      <c r="J322" s="1540" t="s">
        <v>418</v>
      </c>
    </row>
    <row r="323" spans="1:11">
      <c r="A323" s="819"/>
      <c r="B323" s="629" t="s">
        <v>833</v>
      </c>
      <c r="C323" s="598"/>
      <c r="D323" s="598"/>
      <c r="E323" s="598"/>
      <c r="F323" s="598"/>
      <c r="G323" s="598"/>
      <c r="H323" s="598"/>
      <c r="I323" s="560"/>
      <c r="J323" s="1559"/>
    </row>
    <row r="324" spans="1:11">
      <c r="A324" s="819"/>
      <c r="B324" s="629" t="s">
        <v>834</v>
      </c>
      <c r="C324" s="598"/>
      <c r="D324" s="598"/>
      <c r="E324" s="598"/>
      <c r="F324" s="598"/>
      <c r="G324" s="598"/>
      <c r="H324" s="598"/>
      <c r="I324" s="560"/>
      <c r="J324" s="1559"/>
    </row>
    <row r="325" spans="1:11">
      <c r="A325" s="819"/>
      <c r="B325" s="620" t="s">
        <v>89</v>
      </c>
      <c r="C325" s="598"/>
      <c r="D325" s="598"/>
      <c r="E325" s="598"/>
      <c r="F325" s="598"/>
      <c r="G325" s="598"/>
      <c r="H325" s="598"/>
      <c r="I325" s="560"/>
      <c r="J325" s="1531"/>
    </row>
    <row r="326" spans="1:11">
      <c r="A326" s="819"/>
      <c r="B326" s="620" t="s">
        <v>228</v>
      </c>
      <c r="C326" s="544"/>
      <c r="D326" s="544"/>
      <c r="E326" s="544"/>
      <c r="F326" s="544"/>
      <c r="G326" s="544"/>
      <c r="H326" s="544"/>
      <c r="I326" s="560"/>
      <c r="J326" s="1536"/>
    </row>
    <row r="327" spans="1:11" ht="12.75" thickBot="1">
      <c r="A327" s="838"/>
      <c r="B327" s="566" t="s">
        <v>59</v>
      </c>
      <c r="C327" s="601"/>
      <c r="D327" s="601"/>
      <c r="E327" s="601"/>
      <c r="F327" s="601"/>
      <c r="G327" s="601"/>
      <c r="H327" s="601"/>
      <c r="I327" s="575"/>
      <c r="J327" s="1536"/>
    </row>
    <row r="328" spans="1:11" ht="12.75" thickBot="1">
      <c r="A328" s="838"/>
      <c r="B328" s="576" t="s">
        <v>97</v>
      </c>
      <c r="C328" s="596">
        <f t="shared" ref="C328:D328" si="101">SUM(C322:C327)</f>
        <v>988000</v>
      </c>
      <c r="D328" s="596">
        <f t="shared" si="101"/>
        <v>1072190</v>
      </c>
      <c r="E328" s="596">
        <f t="shared" ref="E328:F328" si="102">SUM(E322:E327)</f>
        <v>1072190</v>
      </c>
      <c r="F328" s="596">
        <f t="shared" si="102"/>
        <v>1072190</v>
      </c>
      <c r="G328" s="596">
        <f t="shared" ref="G328:H328" si="103">SUM(G322:G327)</f>
        <v>1072190</v>
      </c>
      <c r="H328" s="596">
        <f t="shared" si="103"/>
        <v>986726</v>
      </c>
      <c r="I328" s="553">
        <f>H328/G328</f>
        <v>0.92029024706441953</v>
      </c>
      <c r="J328" s="475"/>
    </row>
    <row r="329" spans="1:11">
      <c r="A329" s="838"/>
      <c r="B329" s="630" t="s">
        <v>782</v>
      </c>
      <c r="C329" s="614">
        <v>916975</v>
      </c>
      <c r="D329" s="614">
        <v>1027740</v>
      </c>
      <c r="E329" s="614">
        <v>1027740</v>
      </c>
      <c r="F329" s="614">
        <v>1027740</v>
      </c>
      <c r="G329" s="614">
        <v>1027740</v>
      </c>
      <c r="H329" s="614">
        <v>942911</v>
      </c>
      <c r="I329" s="562">
        <f>H329/G329</f>
        <v>0.91746064179656328</v>
      </c>
      <c r="J329" s="1542"/>
    </row>
    <row r="330" spans="1:11" ht="12.75" thickBot="1">
      <c r="A330" s="838"/>
      <c r="B330" s="631" t="s">
        <v>783</v>
      </c>
      <c r="C330" s="538">
        <v>44450</v>
      </c>
      <c r="D330" s="538">
        <v>44450</v>
      </c>
      <c r="E330" s="538">
        <v>44450</v>
      </c>
      <c r="F330" s="538">
        <v>44450</v>
      </c>
      <c r="G330" s="538">
        <v>44450</v>
      </c>
      <c r="H330" s="538">
        <v>43815</v>
      </c>
      <c r="I330" s="562">
        <f>H330/G330</f>
        <v>0.98571428571428577</v>
      </c>
      <c r="J330" s="826"/>
    </row>
    <row r="331" spans="1:11" ht="12.75" thickBot="1">
      <c r="A331" s="1498"/>
      <c r="B331" s="576" t="s">
        <v>720</v>
      </c>
      <c r="C331" s="596">
        <f t="shared" ref="C331:H331" si="104">SUM(C328)</f>
        <v>988000</v>
      </c>
      <c r="D331" s="596">
        <f t="shared" si="104"/>
        <v>1072190</v>
      </c>
      <c r="E331" s="596">
        <f t="shared" si="104"/>
        <v>1072190</v>
      </c>
      <c r="F331" s="596">
        <f t="shared" si="104"/>
        <v>1072190</v>
      </c>
      <c r="G331" s="596">
        <f t="shared" si="104"/>
        <v>1072190</v>
      </c>
      <c r="H331" s="596">
        <f t="shared" si="104"/>
        <v>986726</v>
      </c>
      <c r="I331" s="553">
        <f>H331/G331</f>
        <v>0.92029024706441953</v>
      </c>
      <c r="J331" s="475"/>
    </row>
    <row r="332" spans="1:11">
      <c r="A332" s="819">
        <v>3212</v>
      </c>
      <c r="B332" s="542" t="s">
        <v>316</v>
      </c>
      <c r="C332" s="544"/>
      <c r="D332" s="544"/>
      <c r="E332" s="544"/>
      <c r="F332" s="544"/>
      <c r="G332" s="544"/>
      <c r="H332" s="544"/>
      <c r="I332" s="560"/>
      <c r="J332" s="1534"/>
    </row>
    <row r="333" spans="1:11">
      <c r="A333" s="819"/>
      <c r="B333" s="593" t="s">
        <v>84</v>
      </c>
      <c r="C333" s="598"/>
      <c r="D333" s="598"/>
      <c r="E333" s="598"/>
      <c r="F333" s="598"/>
      <c r="G333" s="598"/>
      <c r="H333" s="598"/>
      <c r="I333" s="560"/>
      <c r="J333" s="1535"/>
    </row>
    <row r="334" spans="1:11">
      <c r="A334" s="819"/>
      <c r="B334" s="592" t="s">
        <v>231</v>
      </c>
      <c r="C334" s="598"/>
      <c r="D334" s="598"/>
      <c r="E334" s="598"/>
      <c r="F334" s="598"/>
      <c r="G334" s="598"/>
      <c r="H334" s="598"/>
      <c r="I334" s="560"/>
      <c r="J334" s="1540" t="s">
        <v>937</v>
      </c>
    </row>
    <row r="335" spans="1:11">
      <c r="A335" s="819"/>
      <c r="B335" s="593" t="s">
        <v>222</v>
      </c>
      <c r="C335" s="598">
        <v>1382563</v>
      </c>
      <c r="D335" s="598">
        <f>1382563+122871</f>
        <v>1505434</v>
      </c>
      <c r="E335" s="598">
        <f>1382563+122871</f>
        <v>1505434</v>
      </c>
      <c r="F335" s="598">
        <f>1382563+122871</f>
        <v>1505434</v>
      </c>
      <c r="G335" s="598">
        <f>1382563+122871+9000</f>
        <v>1514434</v>
      </c>
      <c r="H335" s="598">
        <v>1381088</v>
      </c>
      <c r="I335" s="562">
        <f>H335/G335</f>
        <v>0.9119499430150142</v>
      </c>
      <c r="J335" s="1536"/>
      <c r="K335" s="751"/>
    </row>
    <row r="336" spans="1:11">
      <c r="A336" s="819"/>
      <c r="B336" s="620" t="s">
        <v>89</v>
      </c>
      <c r="C336" s="598"/>
      <c r="D336" s="598"/>
      <c r="E336" s="598"/>
      <c r="F336" s="598"/>
      <c r="G336" s="598"/>
      <c r="H336" s="598"/>
      <c r="I336" s="548"/>
      <c r="J336" s="1531" t="s">
        <v>940</v>
      </c>
    </row>
    <row r="337" spans="1:11">
      <c r="A337" s="819"/>
      <c r="B337" s="620" t="s">
        <v>228</v>
      </c>
      <c r="C337" s="544"/>
      <c r="D337" s="544"/>
      <c r="E337" s="544"/>
      <c r="F337" s="544"/>
      <c r="G337" s="544"/>
      <c r="H337" s="544"/>
      <c r="I337" s="545"/>
      <c r="J337" s="1537"/>
    </row>
    <row r="338" spans="1:11" ht="12.75" thickBot="1">
      <c r="A338" s="819"/>
      <c r="B338" s="566" t="s">
        <v>59</v>
      </c>
      <c r="C338" s="601"/>
      <c r="D338" s="601"/>
      <c r="E338" s="601"/>
      <c r="F338" s="601"/>
      <c r="G338" s="601"/>
      <c r="H338" s="601"/>
      <c r="I338" s="632"/>
      <c r="J338" s="1552"/>
    </row>
    <row r="339" spans="1:11" ht="12.75" thickBot="1">
      <c r="A339" s="838"/>
      <c r="B339" s="576" t="s">
        <v>97</v>
      </c>
      <c r="C339" s="596">
        <f t="shared" ref="C339:D339" si="105">SUM(C333:C338)</f>
        <v>1382563</v>
      </c>
      <c r="D339" s="596">
        <f t="shared" si="105"/>
        <v>1505434</v>
      </c>
      <c r="E339" s="596">
        <f t="shared" ref="E339:F339" si="106">SUM(E333:E338)</f>
        <v>1505434</v>
      </c>
      <c r="F339" s="596">
        <f t="shared" si="106"/>
        <v>1505434</v>
      </c>
      <c r="G339" s="596">
        <f t="shared" ref="G339:H339" si="107">SUM(G333:G338)</f>
        <v>1514434</v>
      </c>
      <c r="H339" s="596">
        <f t="shared" si="107"/>
        <v>1381088</v>
      </c>
      <c r="I339" s="553">
        <f>H339/G339</f>
        <v>0.9119499430150142</v>
      </c>
      <c r="J339" s="475"/>
      <c r="K339" s="751"/>
    </row>
    <row r="340" spans="1:11" ht="12.75" thickBot="1">
      <c r="A340" s="898"/>
      <c r="B340" s="633" t="s">
        <v>784</v>
      </c>
      <c r="C340" s="634">
        <v>969000</v>
      </c>
      <c r="D340" s="634">
        <v>969000</v>
      </c>
      <c r="E340" s="634">
        <v>969000</v>
      </c>
      <c r="F340" s="634">
        <v>969000</v>
      </c>
      <c r="G340" s="634">
        <v>969000</v>
      </c>
      <c r="H340" s="634">
        <v>945487</v>
      </c>
      <c r="I340" s="635">
        <f>H340/G340</f>
        <v>0.975734778121775</v>
      </c>
      <c r="J340" s="475"/>
    </row>
    <row r="341" spans="1:11">
      <c r="A341" s="819">
        <v>3213</v>
      </c>
      <c r="B341" s="636" t="s">
        <v>648</v>
      </c>
      <c r="C341" s="544"/>
      <c r="D341" s="544"/>
      <c r="E341" s="544"/>
      <c r="F341" s="544"/>
      <c r="G341" s="544"/>
      <c r="H341" s="544"/>
      <c r="I341" s="560"/>
      <c r="J341" s="1534"/>
    </row>
    <row r="342" spans="1:11">
      <c r="A342" s="819"/>
      <c r="B342" s="593" t="s">
        <v>84</v>
      </c>
      <c r="C342" s="544"/>
      <c r="D342" s="544"/>
      <c r="E342" s="544"/>
      <c r="F342" s="544"/>
      <c r="G342" s="544"/>
      <c r="H342" s="544"/>
      <c r="I342" s="560"/>
      <c r="J342" s="1535"/>
    </row>
    <row r="343" spans="1:11">
      <c r="A343" s="819"/>
      <c r="B343" s="592" t="s">
        <v>231</v>
      </c>
      <c r="C343" s="544"/>
      <c r="D343" s="544"/>
      <c r="E343" s="544"/>
      <c r="F343" s="544"/>
      <c r="G343" s="544"/>
      <c r="H343" s="544"/>
      <c r="I343" s="560"/>
      <c r="J343" s="1536"/>
    </row>
    <row r="344" spans="1:11">
      <c r="A344" s="819"/>
      <c r="B344" s="593" t="s">
        <v>222</v>
      </c>
      <c r="C344" s="598">
        <v>640000</v>
      </c>
      <c r="D344" s="598">
        <f>640000+19995+18000</f>
        <v>677995</v>
      </c>
      <c r="E344" s="598">
        <f>640000+19995+18000</f>
        <v>677995</v>
      </c>
      <c r="F344" s="598">
        <f>640000+19995+18000+70000</f>
        <v>747995</v>
      </c>
      <c r="G344" s="598">
        <f>640000+19995+18000+70000</f>
        <v>747995</v>
      </c>
      <c r="H344" s="598">
        <v>669532</v>
      </c>
      <c r="I344" s="562">
        <f>H344/G344</f>
        <v>0.89510223998823524</v>
      </c>
      <c r="J344" s="1537"/>
      <c r="K344" s="12"/>
    </row>
    <row r="345" spans="1:11">
      <c r="A345" s="819"/>
      <c r="B345" s="620" t="s">
        <v>89</v>
      </c>
      <c r="C345" s="598"/>
      <c r="D345" s="598"/>
      <c r="E345" s="598"/>
      <c r="F345" s="598"/>
      <c r="G345" s="598"/>
      <c r="H345" s="598"/>
      <c r="I345" s="548"/>
      <c r="J345" s="1537"/>
    </row>
    <row r="346" spans="1:11">
      <c r="A346" s="819"/>
      <c r="B346" s="620" t="s">
        <v>228</v>
      </c>
      <c r="C346" s="544"/>
      <c r="D346" s="544"/>
      <c r="E346" s="544"/>
      <c r="F346" s="544"/>
      <c r="G346" s="544"/>
      <c r="H346" s="544"/>
      <c r="I346" s="548"/>
      <c r="J346" s="1535"/>
    </row>
    <row r="347" spans="1:11" ht="12.75" thickBot="1">
      <c r="A347" s="819"/>
      <c r="B347" s="566" t="s">
        <v>59</v>
      </c>
      <c r="C347" s="601"/>
      <c r="D347" s="601"/>
      <c r="E347" s="601"/>
      <c r="F347" s="601"/>
      <c r="G347" s="601"/>
      <c r="H347" s="601"/>
      <c r="I347" s="578"/>
      <c r="J347" s="1552"/>
    </row>
    <row r="348" spans="1:11" ht="12.75" thickBot="1">
      <c r="A348" s="1498"/>
      <c r="B348" s="576" t="s">
        <v>97</v>
      </c>
      <c r="C348" s="596">
        <f t="shared" ref="C348:D348" si="108">SUM(C344:C347)</f>
        <v>640000</v>
      </c>
      <c r="D348" s="596">
        <f t="shared" si="108"/>
        <v>677995</v>
      </c>
      <c r="E348" s="596">
        <f t="shared" ref="E348:F348" si="109">SUM(E344:E347)</f>
        <v>677995</v>
      </c>
      <c r="F348" s="596">
        <f t="shared" si="109"/>
        <v>747995</v>
      </c>
      <c r="G348" s="596">
        <f t="shared" ref="G348:H348" si="110">SUM(G344:G347)</f>
        <v>747995</v>
      </c>
      <c r="H348" s="596">
        <f t="shared" si="110"/>
        <v>669532</v>
      </c>
      <c r="I348" s="553">
        <f>H348/G348</f>
        <v>0.89510223998823524</v>
      </c>
      <c r="J348" s="826"/>
    </row>
    <row r="349" spans="1:11">
      <c r="A349" s="1502">
        <v>3216</v>
      </c>
      <c r="B349" s="587" t="s">
        <v>23</v>
      </c>
      <c r="C349" s="564"/>
      <c r="D349" s="564"/>
      <c r="E349" s="564"/>
      <c r="F349" s="564"/>
      <c r="G349" s="564"/>
      <c r="H349" s="564"/>
      <c r="I349" s="560"/>
      <c r="J349" s="477"/>
    </row>
    <row r="350" spans="1:11">
      <c r="A350" s="1502"/>
      <c r="B350" s="561" t="s">
        <v>84</v>
      </c>
      <c r="C350" s="564"/>
      <c r="D350" s="564"/>
      <c r="E350" s="564"/>
      <c r="F350" s="564"/>
      <c r="G350" s="564"/>
      <c r="H350" s="564"/>
      <c r="I350" s="560"/>
      <c r="J350" s="1549"/>
    </row>
    <row r="351" spans="1:11">
      <c r="A351" s="1502"/>
      <c r="B351" s="558" t="s">
        <v>231</v>
      </c>
      <c r="C351" s="564"/>
      <c r="D351" s="564"/>
      <c r="E351" s="564"/>
      <c r="F351" s="564"/>
      <c r="G351" s="564"/>
      <c r="H351" s="564"/>
      <c r="I351" s="560"/>
      <c r="J351" s="1540" t="s">
        <v>937</v>
      </c>
    </row>
    <row r="352" spans="1:11">
      <c r="A352" s="1502"/>
      <c r="B352" s="561" t="s">
        <v>222</v>
      </c>
      <c r="C352" s="559">
        <v>316000</v>
      </c>
      <c r="D352" s="559">
        <f>316000+35110</f>
        <v>351110</v>
      </c>
      <c r="E352" s="559">
        <f>316000+35110</f>
        <v>351110</v>
      </c>
      <c r="F352" s="559">
        <f>316000+35110</f>
        <v>351110</v>
      </c>
      <c r="G352" s="559">
        <f>316000+35110</f>
        <v>351110</v>
      </c>
      <c r="H352" s="559">
        <v>306451</v>
      </c>
      <c r="I352" s="562">
        <f>H352/G352</f>
        <v>0.87280624305773125</v>
      </c>
      <c r="J352" s="1504"/>
    </row>
    <row r="353" spans="1:10">
      <c r="A353" s="1502"/>
      <c r="B353" s="637" t="s">
        <v>89</v>
      </c>
      <c r="C353" s="559"/>
      <c r="D353" s="559"/>
      <c r="E353" s="559"/>
      <c r="F353" s="559"/>
      <c r="G353" s="559"/>
      <c r="H353" s="559"/>
      <c r="I353" s="548"/>
      <c r="J353" s="1544"/>
    </row>
    <row r="354" spans="1:10">
      <c r="A354" s="1502"/>
      <c r="B354" s="620" t="s">
        <v>228</v>
      </c>
      <c r="C354" s="559"/>
      <c r="D354" s="559"/>
      <c r="E354" s="559"/>
      <c r="F354" s="559"/>
      <c r="G354" s="559"/>
      <c r="H354" s="559"/>
      <c r="I354" s="548"/>
      <c r="J354" s="1531" t="s">
        <v>940</v>
      </c>
    </row>
    <row r="355" spans="1:10" ht="12.75" thickBot="1">
      <c r="A355" s="1502"/>
      <c r="B355" s="566" t="s">
        <v>197</v>
      </c>
      <c r="C355" s="577"/>
      <c r="D355" s="577"/>
      <c r="E355" s="577"/>
      <c r="F355" s="577"/>
      <c r="G355" s="577"/>
      <c r="H355" s="577"/>
      <c r="I355" s="578"/>
      <c r="J355" s="478"/>
    </row>
    <row r="356" spans="1:10" ht="12.75" thickBot="1">
      <c r="A356" s="1518"/>
      <c r="B356" s="576" t="s">
        <v>97</v>
      </c>
      <c r="C356" s="638">
        <f t="shared" ref="C356:H356" si="111">SUM(C352:C355)</f>
        <v>316000</v>
      </c>
      <c r="D356" s="638">
        <f t="shared" si="111"/>
        <v>351110</v>
      </c>
      <c r="E356" s="638">
        <f t="shared" si="111"/>
        <v>351110</v>
      </c>
      <c r="F356" s="638">
        <f t="shared" si="111"/>
        <v>351110</v>
      </c>
      <c r="G356" s="638">
        <f t="shared" si="111"/>
        <v>351110</v>
      </c>
      <c r="H356" s="638">
        <f t="shared" si="111"/>
        <v>306451</v>
      </c>
      <c r="I356" s="553">
        <f>H356/G356</f>
        <v>0.87280624305773125</v>
      </c>
      <c r="J356" s="1547"/>
    </row>
    <row r="357" spans="1:10">
      <c r="A357" s="1502"/>
      <c r="B357" s="639" t="s">
        <v>794</v>
      </c>
      <c r="C357" s="640">
        <v>296000</v>
      </c>
      <c r="D357" s="640">
        <v>331110</v>
      </c>
      <c r="E357" s="640">
        <v>331110</v>
      </c>
      <c r="F357" s="640">
        <v>331110</v>
      </c>
      <c r="G357" s="640">
        <v>331110</v>
      </c>
      <c r="H357" s="640">
        <v>294750</v>
      </c>
      <c r="I357" s="641">
        <f>H357/G357</f>
        <v>0.89018755096493607</v>
      </c>
      <c r="J357" s="477"/>
    </row>
    <row r="358" spans="1:10" ht="12.75" thickBot="1">
      <c r="A358" s="1522"/>
      <c r="B358" s="642" t="s">
        <v>795</v>
      </c>
      <c r="C358" s="643">
        <v>20000</v>
      </c>
      <c r="D358" s="644">
        <v>20000</v>
      </c>
      <c r="E358" s="644">
        <v>20000</v>
      </c>
      <c r="F358" s="644">
        <v>20000</v>
      </c>
      <c r="G358" s="644">
        <v>20000</v>
      </c>
      <c r="H358" s="644">
        <f>10921+114+30.8+102.6+380+152.4</f>
        <v>11700.8</v>
      </c>
      <c r="I358" s="645">
        <f>H358/G358</f>
        <v>0.58504</v>
      </c>
      <c r="J358" s="478"/>
    </row>
    <row r="359" spans="1:10">
      <c r="A359" s="1502">
        <v>3217</v>
      </c>
      <c r="B359" s="583" t="s">
        <v>842</v>
      </c>
      <c r="C359" s="564"/>
      <c r="D359" s="564"/>
      <c r="E359" s="564"/>
      <c r="F359" s="564"/>
      <c r="G359" s="564"/>
      <c r="H359" s="564"/>
      <c r="I359" s="560"/>
      <c r="J359" s="1560"/>
    </row>
    <row r="360" spans="1:10">
      <c r="A360" s="1502"/>
      <c r="B360" s="561" t="s">
        <v>84</v>
      </c>
      <c r="C360" s="564"/>
      <c r="D360" s="564"/>
      <c r="E360" s="564"/>
      <c r="F360" s="564"/>
      <c r="G360" s="564"/>
      <c r="H360" s="564"/>
      <c r="I360" s="560"/>
      <c r="J360" s="1549"/>
    </row>
    <row r="361" spans="1:10">
      <c r="A361" s="1502"/>
      <c r="B361" s="558" t="s">
        <v>231</v>
      </c>
      <c r="C361" s="564"/>
      <c r="D361" s="564"/>
      <c r="E361" s="564"/>
      <c r="F361" s="564"/>
      <c r="G361" s="564"/>
      <c r="H361" s="564"/>
      <c r="I361" s="560"/>
      <c r="J361" s="1540" t="s">
        <v>937</v>
      </c>
    </row>
    <row r="362" spans="1:10">
      <c r="A362" s="1502"/>
      <c r="B362" s="561" t="s">
        <v>222</v>
      </c>
      <c r="C362" s="559">
        <v>205000</v>
      </c>
      <c r="D362" s="559">
        <f>205000+14046</f>
        <v>219046</v>
      </c>
      <c r="E362" s="559">
        <f>205000+14046</f>
        <v>219046</v>
      </c>
      <c r="F362" s="559">
        <f>205000+14046</f>
        <v>219046</v>
      </c>
      <c r="G362" s="559">
        <f>205000+14046</f>
        <v>219046</v>
      </c>
      <c r="H362" s="559">
        <v>203519</v>
      </c>
      <c r="I362" s="562">
        <f>H362/G362</f>
        <v>0.9291153456351634</v>
      </c>
      <c r="J362" s="1504"/>
    </row>
    <row r="363" spans="1:10">
      <c r="A363" s="1502"/>
      <c r="B363" s="637" t="s">
        <v>89</v>
      </c>
      <c r="C363" s="559"/>
      <c r="D363" s="559"/>
      <c r="E363" s="559"/>
      <c r="F363" s="559"/>
      <c r="G363" s="559"/>
      <c r="H363" s="559"/>
      <c r="I363" s="548"/>
      <c r="J363" s="1544"/>
    </row>
    <row r="364" spans="1:10">
      <c r="A364" s="1502"/>
      <c r="B364" s="620" t="s">
        <v>228</v>
      </c>
      <c r="C364" s="559"/>
      <c r="D364" s="559"/>
      <c r="E364" s="559"/>
      <c r="F364" s="559"/>
      <c r="G364" s="559"/>
      <c r="H364" s="559"/>
      <c r="I364" s="548"/>
      <c r="J364" s="1531" t="s">
        <v>940</v>
      </c>
    </row>
    <row r="365" spans="1:10" ht="12.75" thickBot="1">
      <c r="A365" s="1502"/>
      <c r="B365" s="566" t="s">
        <v>197</v>
      </c>
      <c r="C365" s="577"/>
      <c r="D365" s="577"/>
      <c r="E365" s="577"/>
      <c r="F365" s="577"/>
      <c r="G365" s="577"/>
      <c r="H365" s="577"/>
      <c r="I365" s="578"/>
      <c r="J365" s="478"/>
    </row>
    <row r="366" spans="1:10" ht="12.75" thickBot="1">
      <c r="A366" s="1518"/>
      <c r="B366" s="576" t="s">
        <v>97</v>
      </c>
      <c r="C366" s="638">
        <f t="shared" ref="C366:D366" si="112">SUM(C362:C365)</f>
        <v>205000</v>
      </c>
      <c r="D366" s="638">
        <f t="shared" si="112"/>
        <v>219046</v>
      </c>
      <c r="E366" s="638">
        <f t="shared" ref="E366:F366" si="113">SUM(E362:E365)</f>
        <v>219046</v>
      </c>
      <c r="F366" s="638">
        <f t="shared" si="113"/>
        <v>219046</v>
      </c>
      <c r="G366" s="638">
        <f t="shared" ref="G366:H366" si="114">SUM(G362:G365)</f>
        <v>219046</v>
      </c>
      <c r="H366" s="638">
        <f t="shared" si="114"/>
        <v>203519</v>
      </c>
      <c r="I366" s="553">
        <f>H366/G366</f>
        <v>0.9291153456351634</v>
      </c>
      <c r="J366" s="1547"/>
    </row>
    <row r="367" spans="1:10">
      <c r="A367" s="1518"/>
      <c r="B367" s="646" t="s">
        <v>788</v>
      </c>
      <c r="C367" s="647"/>
      <c r="D367" s="647"/>
      <c r="E367" s="647"/>
      <c r="F367" s="647"/>
      <c r="G367" s="647"/>
      <c r="H367" s="647"/>
      <c r="I367" s="548"/>
      <c r="J367" s="1560"/>
    </row>
    <row r="368" spans="1:10">
      <c r="A368" s="1502"/>
      <c r="B368" s="616" t="s">
        <v>789</v>
      </c>
      <c r="C368" s="647"/>
      <c r="D368" s="647"/>
      <c r="E368" s="647"/>
      <c r="F368" s="647"/>
      <c r="G368" s="647"/>
      <c r="H368" s="647"/>
      <c r="I368" s="548"/>
      <c r="J368" s="1549"/>
    </row>
    <row r="369" spans="1:11">
      <c r="A369" s="1502"/>
      <c r="B369" s="616" t="s">
        <v>790</v>
      </c>
      <c r="C369" s="647"/>
      <c r="D369" s="647"/>
      <c r="E369" s="647"/>
      <c r="F369" s="647"/>
      <c r="G369" s="647"/>
      <c r="H369" s="647"/>
      <c r="I369" s="548"/>
      <c r="J369" s="1549"/>
    </row>
    <row r="370" spans="1:11">
      <c r="A370" s="1502"/>
      <c r="B370" s="616" t="s">
        <v>791</v>
      </c>
      <c r="C370" s="647"/>
      <c r="D370" s="647"/>
      <c r="E370" s="647"/>
      <c r="F370" s="647"/>
      <c r="G370" s="647"/>
      <c r="H370" s="647"/>
      <c r="I370" s="548"/>
      <c r="J370" s="1549"/>
    </row>
    <row r="371" spans="1:11">
      <c r="A371" s="1502"/>
      <c r="B371" s="616" t="s">
        <v>792</v>
      </c>
      <c r="C371" s="647"/>
      <c r="D371" s="648"/>
      <c r="E371" s="647"/>
      <c r="F371" s="647"/>
      <c r="G371" s="647"/>
      <c r="H371" s="647"/>
      <c r="I371" s="548"/>
      <c r="J371" s="1549"/>
    </row>
    <row r="372" spans="1:11">
      <c r="A372" s="1502"/>
      <c r="B372" s="616" t="s">
        <v>955</v>
      </c>
      <c r="C372" s="647"/>
      <c r="D372" s="647"/>
      <c r="E372" s="647"/>
      <c r="F372" s="647"/>
      <c r="G372" s="647"/>
      <c r="H372" s="647"/>
      <c r="I372" s="548"/>
      <c r="J372" s="1549"/>
    </row>
    <row r="373" spans="1:11" ht="12.75" thickBot="1">
      <c r="A373" s="1516"/>
      <c r="B373" s="616" t="s">
        <v>832</v>
      </c>
      <c r="C373" s="647"/>
      <c r="D373" s="649"/>
      <c r="E373" s="649"/>
      <c r="F373" s="649"/>
      <c r="G373" s="649"/>
      <c r="H373" s="649"/>
      <c r="I373" s="548"/>
      <c r="J373" s="1549"/>
    </row>
    <row r="374" spans="1:11" ht="15" customHeight="1" thickBot="1">
      <c r="A374" s="451">
        <v>3220</v>
      </c>
      <c r="B374" s="610" t="s">
        <v>284</v>
      </c>
      <c r="C374" s="596">
        <f>C392+C401+C410+C419+C428+C464</f>
        <v>30000</v>
      </c>
      <c r="D374" s="596">
        <f>D392+D401+D410+D419+D428+D464</f>
        <v>41746</v>
      </c>
      <c r="E374" s="596">
        <f>E392+E401+E410+E419+E428+E464</f>
        <v>93221</v>
      </c>
      <c r="F374" s="596">
        <f>F392+F401+F410+F419+F428+F464</f>
        <v>93221</v>
      </c>
      <c r="G374" s="596">
        <f>G392+G401+G410+G419+G428+G464+G383+G437</f>
        <v>75708</v>
      </c>
      <c r="H374" s="596">
        <f>H392+H401+H410+H419+H428+H464+H383+H437</f>
        <v>5150</v>
      </c>
      <c r="I374" s="553">
        <f>H374/G374</f>
        <v>6.8024515242774877E-2</v>
      </c>
      <c r="J374" s="475"/>
    </row>
    <row r="375" spans="1:11" ht="15" customHeight="1">
      <c r="A375" s="819">
        <v>3221</v>
      </c>
      <c r="B375" s="624" t="s">
        <v>1069</v>
      </c>
      <c r="C375" s="544"/>
      <c r="D375" s="544"/>
      <c r="E375" s="544"/>
      <c r="F375" s="544"/>
      <c r="G375" s="544"/>
      <c r="H375" s="544"/>
      <c r="I375" s="560"/>
      <c r="J375" s="1542"/>
    </row>
    <row r="376" spans="1:11">
      <c r="A376" s="819"/>
      <c r="B376" s="590" t="s">
        <v>84</v>
      </c>
      <c r="C376" s="598"/>
      <c r="D376" s="598"/>
      <c r="E376" s="598">
        <v>2366</v>
      </c>
      <c r="F376" s="598">
        <v>2366</v>
      </c>
      <c r="G376" s="780">
        <f>2366-2366</f>
        <v>0</v>
      </c>
      <c r="H376" s="780">
        <v>0</v>
      </c>
      <c r="I376" s="562"/>
      <c r="J376" s="1534"/>
      <c r="K376" s="751"/>
    </row>
    <row r="377" spans="1:11">
      <c r="A377" s="819"/>
      <c r="B377" s="592" t="s">
        <v>231</v>
      </c>
      <c r="C377" s="598"/>
      <c r="D377" s="598"/>
      <c r="E377" s="598">
        <v>307</v>
      </c>
      <c r="F377" s="598">
        <v>307</v>
      </c>
      <c r="G377" s="780">
        <f>307-307</f>
        <v>0</v>
      </c>
      <c r="H377" s="780">
        <v>0</v>
      </c>
      <c r="I377" s="562"/>
      <c r="J377" s="1529"/>
      <c r="K377" s="751"/>
    </row>
    <row r="378" spans="1:11">
      <c r="A378" s="819"/>
      <c r="B378" s="593" t="s">
        <v>222</v>
      </c>
      <c r="C378" s="598"/>
      <c r="D378" s="598"/>
      <c r="E378" s="598"/>
      <c r="F378" s="598"/>
      <c r="G378" s="780">
        <v>103</v>
      </c>
      <c r="H378" s="780">
        <v>0</v>
      </c>
      <c r="I378" s="562">
        <f>H378/G378</f>
        <v>0</v>
      </c>
      <c r="J378" s="1537"/>
      <c r="K378" s="751"/>
    </row>
    <row r="379" spans="1:11">
      <c r="A379" s="819"/>
      <c r="B379" s="594" t="s">
        <v>89</v>
      </c>
      <c r="C379" s="598"/>
      <c r="D379" s="598"/>
      <c r="E379" s="598"/>
      <c r="F379" s="598"/>
      <c r="G379" s="598"/>
      <c r="H379" s="560"/>
      <c r="I379" s="560"/>
      <c r="J379" s="1537"/>
    </row>
    <row r="380" spans="1:11">
      <c r="A380" s="819"/>
      <c r="B380" s="594" t="s">
        <v>228</v>
      </c>
      <c r="C380" s="544"/>
      <c r="D380" s="544"/>
      <c r="E380" s="544"/>
      <c r="F380" s="544"/>
      <c r="G380" s="544"/>
      <c r="H380" s="544"/>
      <c r="I380" s="560"/>
      <c r="J380" s="1535"/>
    </row>
    <row r="381" spans="1:11">
      <c r="A381" s="819"/>
      <c r="B381" s="594" t="s">
        <v>425</v>
      </c>
      <c r="C381" s="598"/>
      <c r="D381" s="598"/>
      <c r="E381" s="598"/>
      <c r="F381" s="598"/>
      <c r="G381" s="598"/>
      <c r="H381" s="598"/>
      <c r="I381" s="560"/>
      <c r="J381" s="1553"/>
    </row>
    <row r="382" spans="1:11" ht="12.75" thickBot="1">
      <c r="A382" s="819"/>
      <c r="B382" s="566" t="s">
        <v>213</v>
      </c>
      <c r="C382" s="539"/>
      <c r="D382" s="539"/>
      <c r="E382" s="539"/>
      <c r="F382" s="539"/>
      <c r="G382" s="539"/>
      <c r="H382" s="539"/>
      <c r="I382" s="585"/>
      <c r="J382" s="1552"/>
    </row>
    <row r="383" spans="1:11" ht="12.75" thickBot="1">
      <c r="A383" s="1498"/>
      <c r="B383" s="576" t="s">
        <v>97</v>
      </c>
      <c r="C383" s="596"/>
      <c r="D383" s="596"/>
      <c r="E383" s="596">
        <f>SUM(E376:E382)</f>
        <v>2673</v>
      </c>
      <c r="F383" s="596">
        <f>SUM(F376:F382)</f>
        <v>2673</v>
      </c>
      <c r="G383" s="596">
        <f>SUM(G376:G382)</f>
        <v>103</v>
      </c>
      <c r="H383" s="596">
        <f>SUM(H376:H382)</f>
        <v>0</v>
      </c>
      <c r="I383" s="553">
        <f>H383/G383</f>
        <v>0</v>
      </c>
      <c r="J383" s="1523"/>
      <c r="K383" s="751"/>
    </row>
    <row r="384" spans="1:11">
      <c r="A384" s="819">
        <v>3223</v>
      </c>
      <c r="B384" s="624" t="s">
        <v>53</v>
      </c>
      <c r="C384" s="544"/>
      <c r="D384" s="544"/>
      <c r="E384" s="544"/>
      <c r="F384" s="544"/>
      <c r="G384" s="544"/>
      <c r="H384" s="544"/>
      <c r="I384" s="560"/>
      <c r="J384" s="1542"/>
    </row>
    <row r="385" spans="1:10">
      <c r="A385" s="819"/>
      <c r="B385" s="590" t="s">
        <v>84</v>
      </c>
      <c r="C385" s="598"/>
      <c r="D385" s="598">
        <v>100</v>
      </c>
      <c r="E385" s="598">
        <v>100</v>
      </c>
      <c r="F385" s="598">
        <v>100</v>
      </c>
      <c r="G385" s="598">
        <v>100</v>
      </c>
      <c r="H385" s="598">
        <v>45</v>
      </c>
      <c r="I385" s="562">
        <f>H385/G385</f>
        <v>0.45</v>
      </c>
      <c r="J385" s="1534"/>
    </row>
    <row r="386" spans="1:10">
      <c r="A386" s="819"/>
      <c r="B386" s="592" t="s">
        <v>231</v>
      </c>
      <c r="C386" s="598"/>
      <c r="D386" s="598">
        <v>8</v>
      </c>
      <c r="E386" s="598">
        <v>8</v>
      </c>
      <c r="F386" s="598">
        <v>8</v>
      </c>
      <c r="G386" s="598">
        <v>8</v>
      </c>
      <c r="H386" s="598">
        <v>0</v>
      </c>
      <c r="I386" s="562">
        <f>H386/G386</f>
        <v>0</v>
      </c>
      <c r="J386" s="1529"/>
    </row>
    <row r="387" spans="1:10">
      <c r="A387" s="819"/>
      <c r="B387" s="597" t="s">
        <v>222</v>
      </c>
      <c r="C387" s="598">
        <v>30000</v>
      </c>
      <c r="D387" s="598">
        <f>30000-100</f>
        <v>29900</v>
      </c>
      <c r="E387" s="598">
        <f>30000-100</f>
        <v>29900</v>
      </c>
      <c r="F387" s="598">
        <f>30000-100-22</f>
        <v>29878</v>
      </c>
      <c r="G387" s="598">
        <f>30000-100-22</f>
        <v>29878</v>
      </c>
      <c r="H387" s="598">
        <v>1898</v>
      </c>
      <c r="I387" s="562">
        <f>H387/G387</f>
        <v>6.3525001673472123E-2</v>
      </c>
      <c r="J387" s="1537"/>
    </row>
    <row r="388" spans="1:10">
      <c r="A388" s="819"/>
      <c r="B388" s="594" t="s">
        <v>89</v>
      </c>
      <c r="C388" s="598"/>
      <c r="D388" s="598"/>
      <c r="E388" s="598"/>
      <c r="F388" s="598"/>
      <c r="G388" s="598"/>
      <c r="H388" s="598"/>
      <c r="I388" s="548"/>
      <c r="J388" s="1537"/>
    </row>
    <row r="389" spans="1:10">
      <c r="A389" s="819"/>
      <c r="B389" s="594" t="s">
        <v>228</v>
      </c>
      <c r="C389" s="598"/>
      <c r="D389" s="598"/>
      <c r="E389" s="598"/>
      <c r="F389" s="598"/>
      <c r="G389" s="598"/>
      <c r="H389" s="598"/>
      <c r="I389" s="548"/>
      <c r="J389" s="1535"/>
    </row>
    <row r="390" spans="1:10">
      <c r="A390" s="819"/>
      <c r="B390" s="623" t="s">
        <v>425</v>
      </c>
      <c r="C390" s="598"/>
      <c r="D390" s="598"/>
      <c r="E390" s="598"/>
      <c r="F390" s="598">
        <v>22</v>
      </c>
      <c r="G390" s="598">
        <v>22</v>
      </c>
      <c r="H390" s="598">
        <v>22</v>
      </c>
      <c r="I390" s="562">
        <f>H390/G390</f>
        <v>1</v>
      </c>
      <c r="J390" s="1553"/>
    </row>
    <row r="391" spans="1:10" ht="12.75" thickBot="1">
      <c r="A391" s="819"/>
      <c r="B391" s="566" t="s">
        <v>213</v>
      </c>
      <c r="C391" s="605"/>
      <c r="D391" s="605"/>
      <c r="E391" s="605"/>
      <c r="F391" s="605"/>
      <c r="G391" s="605"/>
      <c r="H391" s="605"/>
      <c r="I391" s="650"/>
      <c r="J391" s="1561"/>
    </row>
    <row r="392" spans="1:10" ht="12.75" thickBot="1">
      <c r="A392" s="1498"/>
      <c r="B392" s="576" t="s">
        <v>97</v>
      </c>
      <c r="C392" s="596">
        <f t="shared" ref="C392:D392" si="115">SUM(C385:C391)</f>
        <v>30000</v>
      </c>
      <c r="D392" s="596">
        <f t="shared" si="115"/>
        <v>30008</v>
      </c>
      <c r="E392" s="596">
        <f t="shared" ref="E392:F392" si="116">SUM(E385:E391)</f>
        <v>30008</v>
      </c>
      <c r="F392" s="596">
        <f t="shared" si="116"/>
        <v>30008</v>
      </c>
      <c r="G392" s="596">
        <f t="shared" ref="G392:H392" si="117">SUM(G385:G391)</f>
        <v>30008</v>
      </c>
      <c r="H392" s="596">
        <f t="shared" si="117"/>
        <v>1965</v>
      </c>
      <c r="I392" s="553">
        <f>H392/G392</f>
        <v>6.5482537989869374E-2</v>
      </c>
      <c r="J392" s="475"/>
    </row>
    <row r="393" spans="1:10">
      <c r="A393" s="819">
        <v>3222</v>
      </c>
      <c r="B393" s="624" t="s">
        <v>744</v>
      </c>
      <c r="C393" s="544"/>
      <c r="D393" s="544"/>
      <c r="E393" s="544"/>
      <c r="F393" s="544"/>
      <c r="G393" s="544"/>
      <c r="H393" s="544"/>
      <c r="I393" s="560"/>
      <c r="J393" s="1542"/>
    </row>
    <row r="394" spans="1:10">
      <c r="A394" s="819"/>
      <c r="B394" s="590" t="s">
        <v>84</v>
      </c>
      <c r="C394" s="598"/>
      <c r="D394" s="598"/>
      <c r="E394" s="598"/>
      <c r="F394" s="598"/>
      <c r="G394" s="598"/>
      <c r="H394" s="598"/>
      <c r="I394" s="548"/>
      <c r="J394" s="1534"/>
    </row>
    <row r="395" spans="1:10">
      <c r="A395" s="819"/>
      <c r="B395" s="592" t="s">
        <v>231</v>
      </c>
      <c r="C395" s="598"/>
      <c r="D395" s="598"/>
      <c r="E395" s="598"/>
      <c r="F395" s="598"/>
      <c r="G395" s="598"/>
      <c r="H395" s="598"/>
      <c r="I395" s="548"/>
      <c r="J395" s="1529"/>
    </row>
    <row r="396" spans="1:10">
      <c r="A396" s="819"/>
      <c r="B396" s="593" t="s">
        <v>222</v>
      </c>
      <c r="C396" s="598"/>
      <c r="D396" s="598">
        <v>100</v>
      </c>
      <c r="E396" s="598">
        <v>100</v>
      </c>
      <c r="F396" s="598">
        <v>100</v>
      </c>
      <c r="G396" s="598">
        <v>100</v>
      </c>
      <c r="H396" s="598">
        <v>0</v>
      </c>
      <c r="I396" s="562">
        <f>H396/G396</f>
        <v>0</v>
      </c>
      <c r="J396" s="1537"/>
    </row>
    <row r="397" spans="1:10">
      <c r="A397" s="819"/>
      <c r="B397" s="594" t="s">
        <v>89</v>
      </c>
      <c r="C397" s="598"/>
      <c r="D397" s="598"/>
      <c r="E397" s="598"/>
      <c r="F397" s="598"/>
      <c r="G397" s="598"/>
      <c r="H397" s="598"/>
      <c r="I397" s="560"/>
      <c r="J397" s="1537"/>
    </row>
    <row r="398" spans="1:10">
      <c r="A398" s="819"/>
      <c r="B398" s="594" t="s">
        <v>228</v>
      </c>
      <c r="C398" s="544"/>
      <c r="D398" s="544"/>
      <c r="E398" s="544"/>
      <c r="F398" s="544"/>
      <c r="G398" s="544"/>
      <c r="H398" s="544"/>
      <c r="I398" s="560"/>
      <c r="J398" s="1535"/>
    </row>
    <row r="399" spans="1:10">
      <c r="A399" s="819"/>
      <c r="B399" s="594" t="s">
        <v>425</v>
      </c>
      <c r="C399" s="598"/>
      <c r="D399" s="598"/>
      <c r="E399" s="598"/>
      <c r="F399" s="598"/>
      <c r="G399" s="598"/>
      <c r="H399" s="598"/>
      <c r="I399" s="560"/>
      <c r="J399" s="1553"/>
    </row>
    <row r="400" spans="1:10" ht="12.75" thickBot="1">
      <c r="A400" s="819"/>
      <c r="B400" s="566" t="s">
        <v>213</v>
      </c>
      <c r="C400" s="605"/>
      <c r="D400" s="605"/>
      <c r="E400" s="605"/>
      <c r="F400" s="605"/>
      <c r="G400" s="605"/>
      <c r="H400" s="605"/>
      <c r="I400" s="575"/>
      <c r="J400" s="1561"/>
    </row>
    <row r="401" spans="1:10" ht="12.75" thickBot="1">
      <c r="A401" s="1498"/>
      <c r="B401" s="576" t="s">
        <v>97</v>
      </c>
      <c r="C401" s="596"/>
      <c r="D401" s="596">
        <f>SUM(D394:D400)</f>
        <v>100</v>
      </c>
      <c r="E401" s="596">
        <f>SUM(E394:E400)</f>
        <v>100</v>
      </c>
      <c r="F401" s="596">
        <f>SUM(F394:F400)</f>
        <v>100</v>
      </c>
      <c r="G401" s="596">
        <f>SUM(G394:G400)</f>
        <v>100</v>
      </c>
      <c r="H401" s="596">
        <f>SUM(H394:H400)</f>
        <v>0</v>
      </c>
      <c r="I401" s="553">
        <f>H401/G401</f>
        <v>0</v>
      </c>
      <c r="J401" s="475"/>
    </row>
    <row r="402" spans="1:10">
      <c r="A402" s="819">
        <v>3224</v>
      </c>
      <c r="B402" s="624" t="s">
        <v>822</v>
      </c>
      <c r="C402" s="544"/>
      <c r="D402" s="544"/>
      <c r="E402" s="544"/>
      <c r="F402" s="544"/>
      <c r="G402" s="544"/>
      <c r="H402" s="544"/>
      <c r="I402" s="560"/>
      <c r="J402" s="1542"/>
    </row>
    <row r="403" spans="1:10">
      <c r="A403" s="819"/>
      <c r="B403" s="590" t="s">
        <v>84</v>
      </c>
      <c r="C403" s="598"/>
      <c r="D403" s="598"/>
      <c r="E403" s="598"/>
      <c r="F403" s="598"/>
      <c r="G403" s="598"/>
      <c r="H403" s="598"/>
      <c r="I403" s="560"/>
      <c r="J403" s="1534"/>
    </row>
    <row r="404" spans="1:10">
      <c r="A404" s="819"/>
      <c r="B404" s="592" t="s">
        <v>231</v>
      </c>
      <c r="C404" s="598"/>
      <c r="D404" s="598"/>
      <c r="E404" s="598"/>
      <c r="F404" s="598"/>
      <c r="G404" s="598"/>
      <c r="H404" s="598"/>
      <c r="I404" s="560"/>
      <c r="J404" s="1529"/>
    </row>
    <row r="405" spans="1:10">
      <c r="A405" s="819"/>
      <c r="B405" s="593" t="s">
        <v>222</v>
      </c>
      <c r="C405" s="598"/>
      <c r="D405" s="598"/>
      <c r="E405" s="598"/>
      <c r="F405" s="598"/>
      <c r="G405" s="598"/>
      <c r="H405" s="598"/>
      <c r="I405" s="560"/>
      <c r="J405" s="1537"/>
    </row>
    <row r="406" spans="1:10">
      <c r="A406" s="819"/>
      <c r="B406" s="594" t="s">
        <v>89</v>
      </c>
      <c r="C406" s="598"/>
      <c r="D406" s="598"/>
      <c r="E406" s="598"/>
      <c r="F406" s="598"/>
      <c r="G406" s="598"/>
      <c r="H406" s="598"/>
      <c r="I406" s="560"/>
      <c r="J406" s="1537"/>
    </row>
    <row r="407" spans="1:10">
      <c r="A407" s="819"/>
      <c r="B407" s="594" t="s">
        <v>228</v>
      </c>
      <c r="C407" s="598"/>
      <c r="D407" s="598"/>
      <c r="E407" s="598"/>
      <c r="F407" s="598"/>
      <c r="G407" s="598"/>
      <c r="H407" s="598"/>
      <c r="I407" s="560"/>
      <c r="J407" s="1535"/>
    </row>
    <row r="408" spans="1:10">
      <c r="A408" s="819"/>
      <c r="B408" s="594" t="s">
        <v>425</v>
      </c>
      <c r="C408" s="598"/>
      <c r="D408" s="598"/>
      <c r="E408" s="598"/>
      <c r="F408" s="598"/>
      <c r="G408" s="598"/>
      <c r="H408" s="598"/>
      <c r="I408" s="560"/>
      <c r="J408" s="1553"/>
    </row>
    <row r="409" spans="1:10" ht="12.75" thickBot="1">
      <c r="A409" s="819"/>
      <c r="B409" s="566" t="s">
        <v>213</v>
      </c>
      <c r="C409" s="605"/>
      <c r="D409" s="539"/>
      <c r="E409" s="539"/>
      <c r="F409" s="539"/>
      <c r="G409" s="539"/>
      <c r="H409" s="539"/>
      <c r="I409" s="560"/>
      <c r="J409" s="1561"/>
    </row>
    <row r="410" spans="1:10" ht="12.75" thickBot="1">
      <c r="A410" s="1498"/>
      <c r="B410" s="576" t="s">
        <v>97</v>
      </c>
      <c r="C410" s="596"/>
      <c r="D410" s="596"/>
      <c r="E410" s="596"/>
      <c r="F410" s="596"/>
      <c r="G410" s="596"/>
      <c r="H410" s="596"/>
      <c r="I410" s="596"/>
      <c r="J410" s="475"/>
    </row>
    <row r="411" spans="1:10">
      <c r="A411" s="819">
        <v>3226</v>
      </c>
      <c r="B411" s="624" t="s">
        <v>828</v>
      </c>
      <c r="C411" s="544"/>
      <c r="D411" s="544"/>
      <c r="E411" s="544"/>
      <c r="F411" s="544"/>
      <c r="G411" s="544"/>
      <c r="H411" s="544"/>
      <c r="I411" s="560"/>
      <c r="J411" s="1542"/>
    </row>
    <row r="412" spans="1:10">
      <c r="A412" s="819"/>
      <c r="B412" s="590" t="s">
        <v>84</v>
      </c>
      <c r="C412" s="598"/>
      <c r="D412" s="598"/>
      <c r="E412" s="598"/>
      <c r="F412" s="598"/>
      <c r="G412" s="598"/>
      <c r="H412" s="598"/>
      <c r="I412" s="560"/>
      <c r="J412" s="1534"/>
    </row>
    <row r="413" spans="1:10">
      <c r="A413" s="819"/>
      <c r="B413" s="592" t="s">
        <v>231</v>
      </c>
      <c r="C413" s="598"/>
      <c r="D413" s="598"/>
      <c r="E413" s="598"/>
      <c r="F413" s="598"/>
      <c r="G413" s="598"/>
      <c r="H413" s="598"/>
      <c r="I413" s="560"/>
      <c r="J413" s="1529"/>
    </row>
    <row r="414" spans="1:10">
      <c r="A414" s="819"/>
      <c r="B414" s="593" t="s">
        <v>222</v>
      </c>
      <c r="C414" s="598"/>
      <c r="D414" s="598"/>
      <c r="E414" s="598"/>
      <c r="F414" s="598"/>
      <c r="G414" s="598"/>
      <c r="H414" s="598"/>
      <c r="I414" s="548"/>
      <c r="J414" s="1537"/>
    </row>
    <row r="415" spans="1:10">
      <c r="A415" s="819"/>
      <c r="B415" s="594" t="s">
        <v>89</v>
      </c>
      <c r="C415" s="598"/>
      <c r="D415" s="598"/>
      <c r="E415" s="598"/>
      <c r="F415" s="598"/>
      <c r="G415" s="598"/>
      <c r="H415" s="598"/>
      <c r="I415" s="560"/>
      <c r="J415" s="1537"/>
    </row>
    <row r="416" spans="1:10">
      <c r="A416" s="819"/>
      <c r="B416" s="594" t="s">
        <v>228</v>
      </c>
      <c r="C416" s="598"/>
      <c r="D416" s="598"/>
      <c r="E416" s="598"/>
      <c r="F416" s="598"/>
      <c r="G416" s="598"/>
      <c r="H416" s="598"/>
      <c r="I416" s="560"/>
      <c r="J416" s="1535"/>
    </row>
    <row r="417" spans="1:11">
      <c r="A417" s="819"/>
      <c r="B417" s="594" t="s">
        <v>425</v>
      </c>
      <c r="C417" s="598"/>
      <c r="D417" s="598"/>
      <c r="E417" s="598"/>
      <c r="F417" s="598"/>
      <c r="G417" s="598"/>
      <c r="H417" s="598"/>
      <c r="I417" s="560"/>
      <c r="J417" s="1553"/>
    </row>
    <row r="418" spans="1:11" ht="12.75" thickBot="1">
      <c r="A418" s="819"/>
      <c r="B418" s="566" t="s">
        <v>213</v>
      </c>
      <c r="C418" s="605"/>
      <c r="D418" s="539"/>
      <c r="E418" s="539"/>
      <c r="F418" s="539"/>
      <c r="G418" s="539"/>
      <c r="H418" s="539"/>
      <c r="I418" s="560"/>
      <c r="J418" s="1561"/>
    </row>
    <row r="419" spans="1:11" ht="12.75" thickBot="1">
      <c r="A419" s="1498"/>
      <c r="B419" s="576" t="s">
        <v>97</v>
      </c>
      <c r="C419" s="596"/>
      <c r="D419" s="596"/>
      <c r="E419" s="596"/>
      <c r="F419" s="596"/>
      <c r="G419" s="596"/>
      <c r="H419" s="596"/>
      <c r="I419" s="626"/>
      <c r="J419" s="475"/>
    </row>
    <row r="420" spans="1:11">
      <c r="A420" s="819">
        <v>3227</v>
      </c>
      <c r="B420" s="624" t="s">
        <v>896</v>
      </c>
      <c r="C420" s="544"/>
      <c r="D420" s="544"/>
      <c r="E420" s="544"/>
      <c r="F420" s="544"/>
      <c r="G420" s="544"/>
      <c r="H420" s="544"/>
      <c r="I420" s="560"/>
      <c r="J420" s="1542"/>
    </row>
    <row r="421" spans="1:11">
      <c r="A421" s="819"/>
      <c r="B421" s="590" t="s">
        <v>84</v>
      </c>
      <c r="C421" s="598"/>
      <c r="D421" s="598"/>
      <c r="E421" s="598">
        <v>32237</v>
      </c>
      <c r="F421" s="598">
        <v>32237</v>
      </c>
      <c r="G421" s="780">
        <f>32237-17874</f>
        <v>14363</v>
      </c>
      <c r="H421" s="780">
        <v>1086</v>
      </c>
      <c r="I421" s="562">
        <f>H421/G421</f>
        <v>7.5610944788693166E-2</v>
      </c>
      <c r="J421" s="1534"/>
      <c r="K421" s="751"/>
    </row>
    <row r="422" spans="1:11">
      <c r="A422" s="819"/>
      <c r="B422" s="592" t="s">
        <v>231</v>
      </c>
      <c r="C422" s="598"/>
      <c r="D422" s="598"/>
      <c r="E422" s="598">
        <v>4191</v>
      </c>
      <c r="F422" s="598">
        <v>4191</v>
      </c>
      <c r="G422" s="780">
        <f>4191-2324</f>
        <v>1867</v>
      </c>
      <c r="H422" s="780">
        <v>127</v>
      </c>
      <c r="I422" s="562">
        <f>H422/G422</f>
        <v>6.8023567220139261E-2</v>
      </c>
      <c r="J422" s="1529"/>
      <c r="K422" s="751"/>
    </row>
    <row r="423" spans="1:11">
      <c r="A423" s="819"/>
      <c r="B423" s="593" t="s">
        <v>222</v>
      </c>
      <c r="C423" s="598"/>
      <c r="D423" s="598">
        <v>1638</v>
      </c>
      <c r="E423" s="598">
        <f>1638+5148</f>
        <v>6786</v>
      </c>
      <c r="F423" s="598">
        <f>1638+5148</f>
        <v>6786</v>
      </c>
      <c r="G423" s="598">
        <f>1638+5148</f>
        <v>6786</v>
      </c>
      <c r="H423" s="598">
        <v>1972</v>
      </c>
      <c r="I423" s="562">
        <f>H423/G423</f>
        <v>0.29059829059829062</v>
      </c>
      <c r="J423" s="1537"/>
    </row>
    <row r="424" spans="1:11">
      <c r="A424" s="819"/>
      <c r="B424" s="594" t="s">
        <v>89</v>
      </c>
      <c r="C424" s="598"/>
      <c r="D424" s="598"/>
      <c r="E424" s="598"/>
      <c r="F424" s="598"/>
      <c r="G424" s="598"/>
      <c r="H424" s="598"/>
      <c r="I424" s="560"/>
      <c r="J424" s="1537"/>
    </row>
    <row r="425" spans="1:11">
      <c r="A425" s="819"/>
      <c r="B425" s="594" t="s">
        <v>228</v>
      </c>
      <c r="C425" s="598"/>
      <c r="D425" s="598"/>
      <c r="E425" s="598"/>
      <c r="F425" s="598"/>
      <c r="G425" s="598"/>
      <c r="H425" s="598"/>
      <c r="I425" s="560"/>
      <c r="J425" s="1535"/>
    </row>
    <row r="426" spans="1:11">
      <c r="A426" s="819"/>
      <c r="B426" s="594" t="s">
        <v>425</v>
      </c>
      <c r="C426" s="598"/>
      <c r="D426" s="598"/>
      <c r="E426" s="598">
        <v>9899</v>
      </c>
      <c r="F426" s="598">
        <v>9899</v>
      </c>
      <c r="G426" s="598">
        <v>9899</v>
      </c>
      <c r="H426" s="598">
        <v>0</v>
      </c>
      <c r="I426" s="562">
        <f>H426/G426</f>
        <v>0</v>
      </c>
      <c r="J426" s="1553"/>
    </row>
    <row r="427" spans="1:11" ht="12.75" thickBot="1">
      <c r="A427" s="819"/>
      <c r="B427" s="566" t="s">
        <v>213</v>
      </c>
      <c r="C427" s="605"/>
      <c r="D427" s="539"/>
      <c r="E427" s="539"/>
      <c r="F427" s="539"/>
      <c r="G427" s="539"/>
      <c r="H427" s="539"/>
      <c r="I427" s="560"/>
      <c r="J427" s="1561"/>
    </row>
    <row r="428" spans="1:11" ht="12.75" thickBot="1">
      <c r="A428" s="1498"/>
      <c r="B428" s="576" t="s">
        <v>97</v>
      </c>
      <c r="C428" s="596"/>
      <c r="D428" s="596">
        <f>SUM(D421:D427)</f>
        <v>1638</v>
      </c>
      <c r="E428" s="596">
        <f>SUM(E421:E427)</f>
        <v>53113</v>
      </c>
      <c r="F428" s="596">
        <f>SUM(F421:F427)</f>
        <v>53113</v>
      </c>
      <c r="G428" s="408">
        <f>SUM(G421:G427)</f>
        <v>32915</v>
      </c>
      <c r="H428" s="408">
        <f>SUM(H421:H427)</f>
        <v>3185</v>
      </c>
      <c r="I428" s="553">
        <f>H428/G428</f>
        <v>9.6764393133829563E-2</v>
      </c>
      <c r="J428" s="475"/>
      <c r="K428" s="751"/>
    </row>
    <row r="429" spans="1:11">
      <c r="A429" s="819">
        <v>3230</v>
      </c>
      <c r="B429" s="783" t="s">
        <v>1097</v>
      </c>
      <c r="C429" s="544"/>
      <c r="D429" s="544"/>
      <c r="E429" s="544"/>
      <c r="F429" s="544"/>
      <c r="G429" s="544"/>
      <c r="H429" s="544"/>
      <c r="I429" s="560"/>
      <c r="J429" s="1542"/>
    </row>
    <row r="430" spans="1:11">
      <c r="A430" s="819"/>
      <c r="B430" s="26" t="s">
        <v>84</v>
      </c>
      <c r="C430" s="598"/>
      <c r="D430" s="598"/>
      <c r="E430" s="598"/>
      <c r="F430" s="598"/>
      <c r="G430" s="598"/>
      <c r="H430" s="598"/>
      <c r="I430" s="562"/>
      <c r="J430" s="1534"/>
    </row>
    <row r="431" spans="1:11">
      <c r="A431" s="819"/>
      <c r="B431" s="3" t="s">
        <v>231</v>
      </c>
      <c r="C431" s="598"/>
      <c r="D431" s="598"/>
      <c r="E431" s="598"/>
      <c r="F431" s="598"/>
      <c r="G431" s="598"/>
      <c r="H431" s="598"/>
      <c r="I431" s="562"/>
      <c r="J431" s="1529"/>
    </row>
    <row r="432" spans="1:11">
      <c r="A432" s="819"/>
      <c r="B432" s="132" t="s">
        <v>222</v>
      </c>
      <c r="C432" s="598"/>
      <c r="D432" s="598"/>
      <c r="E432" s="598"/>
      <c r="F432" s="598"/>
      <c r="G432" s="780">
        <v>2582</v>
      </c>
      <c r="H432" s="780">
        <v>0</v>
      </c>
      <c r="I432" s="562">
        <f>H432/G432</f>
        <v>0</v>
      </c>
      <c r="J432" s="1537"/>
      <c r="K432" s="751"/>
    </row>
    <row r="433" spans="1:11">
      <c r="A433" s="819"/>
      <c r="B433" s="4" t="s">
        <v>89</v>
      </c>
      <c r="C433" s="598"/>
      <c r="D433" s="598"/>
      <c r="E433" s="598"/>
      <c r="F433" s="598"/>
      <c r="G433" s="598"/>
      <c r="H433" s="598"/>
      <c r="I433" s="560"/>
      <c r="J433" s="1537"/>
    </row>
    <row r="434" spans="1:11">
      <c r="A434" s="819"/>
      <c r="B434" s="4" t="s">
        <v>228</v>
      </c>
      <c r="C434" s="598"/>
      <c r="D434" s="598"/>
      <c r="E434" s="598"/>
      <c r="F434" s="598"/>
      <c r="G434" s="598"/>
      <c r="H434" s="598"/>
      <c r="I434" s="560"/>
      <c r="J434" s="1535"/>
    </row>
    <row r="435" spans="1:11">
      <c r="A435" s="819"/>
      <c r="B435" s="4" t="s">
        <v>425</v>
      </c>
      <c r="C435" s="598"/>
      <c r="D435" s="598"/>
      <c r="E435" s="598"/>
      <c r="F435" s="598"/>
      <c r="G435" s="598"/>
      <c r="H435" s="598"/>
      <c r="I435" s="560"/>
      <c r="J435" s="1553"/>
    </row>
    <row r="436" spans="1:11" ht="12.75" thickBot="1">
      <c r="A436" s="819"/>
      <c r="B436" s="415" t="s">
        <v>213</v>
      </c>
      <c r="C436" s="605"/>
      <c r="D436" s="539"/>
      <c r="E436" s="539"/>
      <c r="F436" s="539"/>
      <c r="G436" s="539"/>
      <c r="H436" s="539"/>
      <c r="I436" s="560"/>
      <c r="J436" s="1561"/>
    </row>
    <row r="437" spans="1:11" ht="12.75" thickBot="1">
      <c r="A437" s="1498"/>
      <c r="B437" s="784" t="s">
        <v>97</v>
      </c>
      <c r="C437" s="596"/>
      <c r="D437" s="596">
        <f>SUM(D430:D436)</f>
        <v>0</v>
      </c>
      <c r="E437" s="596">
        <f>SUM(E430:E436)</f>
        <v>0</v>
      </c>
      <c r="F437" s="596">
        <f>SUM(F430:F436)</f>
        <v>0</v>
      </c>
      <c r="G437" s="408">
        <f>SUM(G430:G436)</f>
        <v>2582</v>
      </c>
      <c r="H437" s="408">
        <f>SUM(H430:H436)</f>
        <v>0</v>
      </c>
      <c r="I437" s="553">
        <f>H437/G437</f>
        <v>0</v>
      </c>
      <c r="J437" s="475"/>
    </row>
    <row r="438" spans="1:11">
      <c r="A438" s="819">
        <v>3231</v>
      </c>
      <c r="B438" s="783" t="s">
        <v>1098</v>
      </c>
      <c r="C438" s="544"/>
      <c r="D438" s="544"/>
      <c r="E438" s="544"/>
      <c r="F438" s="544"/>
      <c r="G438" s="544"/>
      <c r="H438" s="544"/>
      <c r="I438" s="560"/>
      <c r="J438" s="1562"/>
    </row>
    <row r="439" spans="1:11">
      <c r="A439" s="819"/>
      <c r="B439" s="26" t="s">
        <v>84</v>
      </c>
      <c r="C439" s="598"/>
      <c r="D439" s="598"/>
      <c r="E439" s="598"/>
      <c r="F439" s="598"/>
      <c r="G439" s="598"/>
      <c r="H439" s="598"/>
      <c r="I439" s="562"/>
      <c r="J439" s="1563"/>
    </row>
    <row r="440" spans="1:11">
      <c r="A440" s="819"/>
      <c r="B440" s="592" t="s">
        <v>231</v>
      </c>
      <c r="C440" s="598"/>
      <c r="D440" s="598"/>
      <c r="E440" s="598"/>
      <c r="F440" s="598"/>
      <c r="G440" s="598"/>
      <c r="H440" s="598"/>
      <c r="I440" s="562"/>
      <c r="J440" s="1537"/>
    </row>
    <row r="441" spans="1:11">
      <c r="A441" s="819"/>
      <c r="B441" s="593" t="s">
        <v>222</v>
      </c>
      <c r="C441" s="598"/>
      <c r="D441" s="598"/>
      <c r="E441" s="598"/>
      <c r="F441" s="598"/>
      <c r="G441" s="780">
        <v>1400</v>
      </c>
      <c r="H441" s="780">
        <v>0</v>
      </c>
      <c r="I441" s="562">
        <f>H441/G441</f>
        <v>0</v>
      </c>
      <c r="J441" s="1564"/>
      <c r="K441" s="751"/>
    </row>
    <row r="442" spans="1:11">
      <c r="A442" s="819"/>
      <c r="B442" s="594" t="s">
        <v>89</v>
      </c>
      <c r="C442" s="598"/>
      <c r="D442" s="598"/>
      <c r="E442" s="598"/>
      <c r="F442" s="598"/>
      <c r="G442" s="598"/>
      <c r="H442" s="598"/>
      <c r="I442" s="560"/>
      <c r="J442" s="1537"/>
    </row>
    <row r="443" spans="1:11">
      <c r="A443" s="819"/>
      <c r="B443" s="594" t="s">
        <v>228</v>
      </c>
      <c r="C443" s="598"/>
      <c r="D443" s="598"/>
      <c r="E443" s="598"/>
      <c r="F443" s="598"/>
      <c r="G443" s="598"/>
      <c r="H443" s="598"/>
      <c r="I443" s="560"/>
      <c r="J443" s="1565"/>
    </row>
    <row r="444" spans="1:11">
      <c r="A444" s="819"/>
      <c r="B444" s="594" t="s">
        <v>425</v>
      </c>
      <c r="C444" s="598"/>
      <c r="D444" s="598"/>
      <c r="E444" s="598"/>
      <c r="F444" s="598"/>
      <c r="G444" s="598"/>
      <c r="H444" s="598"/>
      <c r="I444" s="560"/>
      <c r="J444" s="1537"/>
    </row>
    <row r="445" spans="1:11" ht="12.75" thickBot="1">
      <c r="A445" s="819"/>
      <c r="B445" s="566" t="s">
        <v>213</v>
      </c>
      <c r="C445" s="605"/>
      <c r="D445" s="539"/>
      <c r="E445" s="539"/>
      <c r="F445" s="539"/>
      <c r="G445" s="539"/>
      <c r="H445" s="539"/>
      <c r="I445" s="560"/>
      <c r="J445" s="1538"/>
    </row>
    <row r="446" spans="1:11" ht="12.75" thickBot="1">
      <c r="A446" s="1498"/>
      <c r="B446" s="576" t="s">
        <v>97</v>
      </c>
      <c r="C446" s="596"/>
      <c r="D446" s="596">
        <f>SUM(D439:D445)</f>
        <v>0</v>
      </c>
      <c r="E446" s="596">
        <f>SUM(E439:E445)</f>
        <v>0</v>
      </c>
      <c r="F446" s="596">
        <f>SUM(F439:F445)</f>
        <v>0</v>
      </c>
      <c r="G446" s="408">
        <f>SUM(G439:G445)</f>
        <v>1400</v>
      </c>
      <c r="H446" s="408">
        <f>SUM(H439:H445)</f>
        <v>0</v>
      </c>
      <c r="I446" s="553">
        <f>H446/G446</f>
        <v>0</v>
      </c>
      <c r="J446" s="818"/>
    </row>
    <row r="447" spans="1:11">
      <c r="A447" s="819">
        <v>3228</v>
      </c>
      <c r="B447" s="624" t="s">
        <v>933</v>
      </c>
      <c r="C447" s="544"/>
      <c r="D447" s="651"/>
      <c r="E447" s="544"/>
      <c r="F447" s="544"/>
      <c r="G447" s="544"/>
      <c r="H447" s="544"/>
      <c r="I447" s="560"/>
      <c r="J447" s="1542"/>
    </row>
    <row r="448" spans="1:11">
      <c r="A448" s="819"/>
      <c r="B448" s="590" t="s">
        <v>84</v>
      </c>
      <c r="C448" s="598"/>
      <c r="D448" s="598"/>
      <c r="E448" s="598"/>
      <c r="F448" s="598"/>
      <c r="G448" s="598"/>
      <c r="H448" s="598"/>
      <c r="I448" s="560"/>
      <c r="J448" s="1534"/>
    </row>
    <row r="449" spans="1:10">
      <c r="A449" s="819"/>
      <c r="B449" s="592" t="s">
        <v>231</v>
      </c>
      <c r="C449" s="598"/>
      <c r="D449" s="598"/>
      <c r="E449" s="598"/>
      <c r="F449" s="598"/>
      <c r="G449" s="598"/>
      <c r="H449" s="598"/>
      <c r="I449" s="548"/>
      <c r="J449" s="1529"/>
    </row>
    <row r="450" spans="1:10">
      <c r="A450" s="819"/>
      <c r="B450" s="593" t="s">
        <v>222</v>
      </c>
      <c r="C450" s="598"/>
      <c r="D450" s="598"/>
      <c r="E450" s="598"/>
      <c r="F450" s="598"/>
      <c r="G450" s="598"/>
      <c r="H450" s="598"/>
      <c r="I450" s="548"/>
      <c r="J450" s="1537"/>
    </row>
    <row r="451" spans="1:10">
      <c r="A451" s="819"/>
      <c r="B451" s="594" t="s">
        <v>89</v>
      </c>
      <c r="C451" s="598"/>
      <c r="D451" s="598"/>
      <c r="E451" s="598"/>
      <c r="F451" s="598"/>
      <c r="G451" s="598"/>
      <c r="H451" s="598"/>
      <c r="I451" s="560"/>
      <c r="J451" s="1537"/>
    </row>
    <row r="452" spans="1:10">
      <c r="A452" s="819"/>
      <c r="B452" s="594" t="s">
        <v>228</v>
      </c>
      <c r="C452" s="598"/>
      <c r="D452" s="598"/>
      <c r="E452" s="598"/>
      <c r="F452" s="598"/>
      <c r="G452" s="598"/>
      <c r="H452" s="598"/>
      <c r="I452" s="560"/>
      <c r="J452" s="1535"/>
    </row>
    <row r="453" spans="1:10">
      <c r="A453" s="819"/>
      <c r="B453" s="594" t="s">
        <v>425</v>
      </c>
      <c r="C453" s="598"/>
      <c r="D453" s="598">
        <f>6638</f>
        <v>6638</v>
      </c>
      <c r="E453" s="598">
        <f>6638+1000</f>
        <v>7638</v>
      </c>
      <c r="F453" s="598">
        <f>6638+1000</f>
        <v>7638</v>
      </c>
      <c r="G453" s="598">
        <f>6638+1000</f>
        <v>7638</v>
      </c>
      <c r="H453" s="598">
        <v>6638</v>
      </c>
      <c r="I453" s="562">
        <f>H453/G453</f>
        <v>0.86907567426027754</v>
      </c>
      <c r="J453" s="1553"/>
    </row>
    <row r="454" spans="1:10" ht="12.75" thickBot="1">
      <c r="A454" s="819"/>
      <c r="B454" s="566" t="s">
        <v>213</v>
      </c>
      <c r="C454" s="605"/>
      <c r="D454" s="539"/>
      <c r="E454" s="539"/>
      <c r="F454" s="539"/>
      <c r="G454" s="539"/>
      <c r="H454" s="539"/>
      <c r="I454" s="585"/>
      <c r="J454" s="1561"/>
    </row>
    <row r="455" spans="1:10" ht="12.75" thickBot="1">
      <c r="A455" s="819"/>
      <c r="B455" s="576" t="s">
        <v>97</v>
      </c>
      <c r="C455" s="596"/>
      <c r="D455" s="596">
        <f>SUM(D448:D454)</f>
        <v>6638</v>
      </c>
      <c r="E455" s="596">
        <f>SUM(E448:E454)</f>
        <v>7638</v>
      </c>
      <c r="F455" s="596">
        <f>SUM(F448:F454)</f>
        <v>7638</v>
      </c>
      <c r="G455" s="596">
        <f>SUM(G448:G454)</f>
        <v>7638</v>
      </c>
      <c r="H455" s="596">
        <f>SUM(H448:H454)</f>
        <v>6638</v>
      </c>
      <c r="I455" s="553">
        <f>H455/G455</f>
        <v>0.86907567426027754</v>
      </c>
      <c r="J455" s="475"/>
    </row>
    <row r="456" spans="1:10">
      <c r="A456" s="819">
        <v>3229</v>
      </c>
      <c r="B456" s="624" t="s">
        <v>1040</v>
      </c>
      <c r="C456" s="544"/>
      <c r="D456" s="651"/>
      <c r="E456" s="651"/>
      <c r="F456" s="651"/>
      <c r="G456" s="651"/>
      <c r="H456" s="651"/>
      <c r="I456" s="652"/>
      <c r="J456" s="1542"/>
    </row>
    <row r="457" spans="1:10">
      <c r="A457" s="819"/>
      <c r="B457" s="590" t="s">
        <v>84</v>
      </c>
      <c r="C457" s="598"/>
      <c r="D457" s="598"/>
      <c r="E457" s="598"/>
      <c r="F457" s="598"/>
      <c r="G457" s="598"/>
      <c r="H457" s="598"/>
      <c r="I457" s="560"/>
      <c r="J457" s="1534"/>
    </row>
    <row r="458" spans="1:10">
      <c r="A458" s="819"/>
      <c r="B458" s="592" t="s">
        <v>231</v>
      </c>
      <c r="C458" s="598"/>
      <c r="D458" s="598"/>
      <c r="E458" s="598"/>
      <c r="F458" s="598"/>
      <c r="G458" s="598"/>
      <c r="H458" s="598"/>
      <c r="I458" s="548"/>
      <c r="J458" s="1529"/>
    </row>
    <row r="459" spans="1:10">
      <c r="A459" s="819"/>
      <c r="B459" s="593" t="s">
        <v>222</v>
      </c>
      <c r="C459" s="598"/>
      <c r="D459" s="598">
        <v>10000</v>
      </c>
      <c r="E459" s="598">
        <v>10000</v>
      </c>
      <c r="F459" s="598">
        <v>10000</v>
      </c>
      <c r="G459" s="598">
        <v>10000</v>
      </c>
      <c r="H459" s="598">
        <v>0</v>
      </c>
      <c r="I459" s="562">
        <f>H459/G459</f>
        <v>0</v>
      </c>
      <c r="J459" s="1537"/>
    </row>
    <row r="460" spans="1:10">
      <c r="A460" s="819"/>
      <c r="B460" s="594" t="s">
        <v>89</v>
      </c>
      <c r="C460" s="598"/>
      <c r="D460" s="598"/>
      <c r="E460" s="598"/>
      <c r="F460" s="598"/>
      <c r="G460" s="598"/>
      <c r="H460" s="598"/>
      <c r="I460" s="560"/>
      <c r="J460" s="1537"/>
    </row>
    <row r="461" spans="1:10">
      <c r="A461" s="819"/>
      <c r="B461" s="594" t="s">
        <v>228</v>
      </c>
      <c r="C461" s="598"/>
      <c r="D461" s="598"/>
      <c r="E461" s="598"/>
      <c r="F461" s="598"/>
      <c r="G461" s="598"/>
      <c r="H461" s="598"/>
      <c r="I461" s="560"/>
      <c r="J461" s="1535"/>
    </row>
    <row r="462" spans="1:10">
      <c r="A462" s="819"/>
      <c r="B462" s="594" t="s">
        <v>425</v>
      </c>
      <c r="C462" s="598"/>
      <c r="D462" s="598"/>
      <c r="E462" s="598"/>
      <c r="F462" s="598"/>
      <c r="G462" s="598"/>
      <c r="H462" s="598"/>
      <c r="I462" s="560"/>
      <c r="J462" s="1553"/>
    </row>
    <row r="463" spans="1:10" ht="12.75" thickBot="1">
      <c r="A463" s="819"/>
      <c r="B463" s="566" t="s">
        <v>213</v>
      </c>
      <c r="C463" s="605"/>
      <c r="D463" s="539"/>
      <c r="E463" s="539"/>
      <c r="F463" s="539"/>
      <c r="G463" s="539"/>
      <c r="H463" s="539"/>
      <c r="I463" s="560"/>
      <c r="J463" s="1561"/>
    </row>
    <row r="464" spans="1:10" ht="12.75" thickBot="1">
      <c r="A464" s="1498"/>
      <c r="B464" s="576" t="s">
        <v>97</v>
      </c>
      <c r="C464" s="596"/>
      <c r="D464" s="596">
        <f>SUM(D457:D463)</f>
        <v>10000</v>
      </c>
      <c r="E464" s="596">
        <f>SUM(E457:E463)</f>
        <v>10000</v>
      </c>
      <c r="F464" s="596">
        <f>SUM(F457:F463)</f>
        <v>10000</v>
      </c>
      <c r="G464" s="596">
        <f>SUM(G457:G463)</f>
        <v>10000</v>
      </c>
      <c r="H464" s="596">
        <f>SUM(H457:H463)</f>
        <v>0</v>
      </c>
      <c r="I464" s="553">
        <f>H464/G464</f>
        <v>0</v>
      </c>
      <c r="J464" s="475"/>
    </row>
    <row r="465" spans="1:10" ht="12" customHeight="1" thickBot="1">
      <c r="A465" s="819">
        <v>3300</v>
      </c>
      <c r="B465" s="552" t="s">
        <v>32</v>
      </c>
      <c r="C465" s="596">
        <f t="shared" ref="C465:H465" si="118">SUM(C473+C481+C501+C510+C535+C543+C575+C599+C607+C616+C633+C641+C649+C657+C665+C673+C690+C707+C715+C723+C551+C559+C567+C583+C681)+C527+C625+C699+C591</f>
        <v>309269</v>
      </c>
      <c r="D465" s="596">
        <f t="shared" si="118"/>
        <v>407938</v>
      </c>
      <c r="E465" s="596">
        <f t="shared" si="118"/>
        <v>409438</v>
      </c>
      <c r="F465" s="596">
        <f t="shared" si="118"/>
        <v>409438</v>
      </c>
      <c r="G465" s="596">
        <f t="shared" si="118"/>
        <v>409438</v>
      </c>
      <c r="H465" s="596">
        <f t="shared" si="118"/>
        <v>293491</v>
      </c>
      <c r="I465" s="553">
        <f>H465/G465</f>
        <v>0.71681426736160303</v>
      </c>
      <c r="J465" s="1566"/>
    </row>
    <row r="466" spans="1:10" ht="12" customHeight="1">
      <c r="A466" s="819">
        <v>3301</v>
      </c>
      <c r="B466" s="636" t="s">
        <v>109</v>
      </c>
      <c r="C466" s="544"/>
      <c r="D466" s="544"/>
      <c r="E466" s="544"/>
      <c r="F466" s="544"/>
      <c r="G466" s="544"/>
      <c r="H466" s="544"/>
      <c r="I466" s="560"/>
      <c r="J466" s="1542"/>
    </row>
    <row r="467" spans="1:10" ht="12" customHeight="1">
      <c r="A467" s="838"/>
      <c r="B467" s="590" t="s">
        <v>84</v>
      </c>
      <c r="C467" s="598">
        <v>1000</v>
      </c>
      <c r="D467" s="598">
        <v>1000</v>
      </c>
      <c r="E467" s="598">
        <v>1000</v>
      </c>
      <c r="F467" s="598">
        <v>1000</v>
      </c>
      <c r="G467" s="598">
        <v>1000</v>
      </c>
      <c r="H467" s="598">
        <v>0</v>
      </c>
      <c r="I467" s="562">
        <f>H467/G467</f>
        <v>0</v>
      </c>
      <c r="J467" s="1514"/>
    </row>
    <row r="468" spans="1:10" ht="12" customHeight="1">
      <c r="A468" s="838"/>
      <c r="B468" s="592" t="s">
        <v>231</v>
      </c>
      <c r="C468" s="598">
        <v>300</v>
      </c>
      <c r="D468" s="598">
        <v>300</v>
      </c>
      <c r="E468" s="598">
        <v>300</v>
      </c>
      <c r="F468" s="598">
        <v>300</v>
      </c>
      <c r="G468" s="598">
        <v>300</v>
      </c>
      <c r="H468" s="598">
        <v>0</v>
      </c>
      <c r="I468" s="562">
        <f>H468/G468</f>
        <v>0</v>
      </c>
      <c r="J468" s="1537"/>
    </row>
    <row r="469" spans="1:10" ht="12" customHeight="1">
      <c r="A469" s="819"/>
      <c r="B469" s="593" t="s">
        <v>222</v>
      </c>
      <c r="C469" s="591">
        <v>12200</v>
      </c>
      <c r="D469" s="591">
        <f>12200+1184</f>
        <v>13384</v>
      </c>
      <c r="E469" s="591">
        <f>13384-3440-7000</f>
        <v>2944</v>
      </c>
      <c r="F469" s="591">
        <f>13384-3440-7000</f>
        <v>2944</v>
      </c>
      <c r="G469" s="591">
        <f>13384-3440-7000</f>
        <v>2944</v>
      </c>
      <c r="H469" s="591">
        <v>1599</v>
      </c>
      <c r="I469" s="562">
        <f>H469/G469</f>
        <v>0.54313858695652173</v>
      </c>
      <c r="J469" s="1554" t="s">
        <v>946</v>
      </c>
    </row>
    <row r="470" spans="1:10" ht="12" customHeight="1">
      <c r="A470" s="819"/>
      <c r="B470" s="594" t="s">
        <v>89</v>
      </c>
      <c r="C470" s="591"/>
      <c r="D470" s="591"/>
      <c r="E470" s="591"/>
      <c r="F470" s="591"/>
      <c r="G470" s="591"/>
      <c r="H470" s="591"/>
      <c r="I470" s="562"/>
      <c r="J470" s="1537"/>
    </row>
    <row r="471" spans="1:10" ht="12" customHeight="1">
      <c r="A471" s="838"/>
      <c r="B471" s="594" t="s">
        <v>228</v>
      </c>
      <c r="C471" s="598">
        <v>2500</v>
      </c>
      <c r="D471" s="598">
        <v>2500</v>
      </c>
      <c r="E471" s="598">
        <f>2500+3440-3440</f>
        <v>2500</v>
      </c>
      <c r="F471" s="598">
        <f>2500+3440-3440</f>
        <v>2500</v>
      </c>
      <c r="G471" s="598">
        <f>2500+3440-3440</f>
        <v>2500</v>
      </c>
      <c r="H471" s="598">
        <v>1568</v>
      </c>
      <c r="I471" s="562">
        <f>H471/G471</f>
        <v>0.62719999999999998</v>
      </c>
      <c r="J471" s="1532"/>
    </row>
    <row r="472" spans="1:10" ht="12" customHeight="1" thickBot="1">
      <c r="A472" s="838"/>
      <c r="B472" s="566" t="s">
        <v>213</v>
      </c>
      <c r="C472" s="539"/>
      <c r="D472" s="539"/>
      <c r="E472" s="539">
        <v>10440</v>
      </c>
      <c r="F472" s="539">
        <v>10440</v>
      </c>
      <c r="G472" s="539">
        <v>10440</v>
      </c>
      <c r="H472" s="539">
        <v>10432</v>
      </c>
      <c r="I472" s="562">
        <f>H472/G472</f>
        <v>0.99923371647509573</v>
      </c>
      <c r="J472" s="1521"/>
    </row>
    <row r="473" spans="1:10" ht="13.5" customHeight="1" thickBot="1">
      <c r="A473" s="1498"/>
      <c r="B473" s="576" t="s">
        <v>97</v>
      </c>
      <c r="C473" s="596">
        <f t="shared" ref="C473:D473" si="119">SUM(C467:C472)</f>
        <v>16000</v>
      </c>
      <c r="D473" s="596">
        <f t="shared" si="119"/>
        <v>17184</v>
      </c>
      <c r="E473" s="596">
        <f t="shared" ref="E473:F473" si="120">SUM(E467:E472)</f>
        <v>17184</v>
      </c>
      <c r="F473" s="596">
        <f t="shared" si="120"/>
        <v>17184</v>
      </c>
      <c r="G473" s="596">
        <f t="shared" ref="G473:H473" si="121">SUM(G467:G472)</f>
        <v>17184</v>
      </c>
      <c r="H473" s="596">
        <f t="shared" si="121"/>
        <v>13599</v>
      </c>
      <c r="I473" s="553">
        <f>H473/G473</f>
        <v>0.79137569832402233</v>
      </c>
      <c r="J473" s="475"/>
    </row>
    <row r="474" spans="1:10">
      <c r="A474" s="819">
        <v>3302</v>
      </c>
      <c r="B474" s="636" t="s">
        <v>294</v>
      </c>
      <c r="C474" s="544"/>
      <c r="D474" s="544"/>
      <c r="E474" s="544"/>
      <c r="F474" s="544"/>
      <c r="G474" s="544"/>
      <c r="H474" s="544"/>
      <c r="I474" s="560"/>
      <c r="J474" s="1534"/>
    </row>
    <row r="475" spans="1:10">
      <c r="A475" s="838"/>
      <c r="B475" s="590" t="s">
        <v>84</v>
      </c>
      <c r="C475" s="544"/>
      <c r="D475" s="544"/>
      <c r="E475" s="544"/>
      <c r="F475" s="544"/>
      <c r="G475" s="544"/>
      <c r="H475" s="544"/>
      <c r="I475" s="560"/>
      <c r="J475" s="1528"/>
    </row>
    <row r="476" spans="1:10">
      <c r="A476" s="838"/>
      <c r="B476" s="592" t="s">
        <v>231</v>
      </c>
      <c r="C476" s="598"/>
      <c r="D476" s="598"/>
      <c r="E476" s="598"/>
      <c r="F476" s="598"/>
      <c r="G476" s="598"/>
      <c r="H476" s="598"/>
      <c r="I476" s="560"/>
      <c r="J476" s="1514" t="s">
        <v>941</v>
      </c>
    </row>
    <row r="477" spans="1:10">
      <c r="A477" s="819"/>
      <c r="B477" s="593" t="s">
        <v>222</v>
      </c>
      <c r="C477" s="591"/>
      <c r="D477" s="591"/>
      <c r="E477" s="591"/>
      <c r="F477" s="591"/>
      <c r="G477" s="591"/>
      <c r="H477" s="591"/>
      <c r="I477" s="548"/>
      <c r="J477" s="1536"/>
    </row>
    <row r="478" spans="1:10">
      <c r="A478" s="819"/>
      <c r="B478" s="594" t="s">
        <v>89</v>
      </c>
      <c r="C478" s="591"/>
      <c r="D478" s="591"/>
      <c r="E478" s="591"/>
      <c r="F478" s="591"/>
      <c r="G478" s="591"/>
      <c r="H478" s="591"/>
      <c r="I478" s="548"/>
      <c r="J478" s="1531" t="s">
        <v>940</v>
      </c>
    </row>
    <row r="479" spans="1:10">
      <c r="A479" s="838"/>
      <c r="B479" s="594" t="s">
        <v>228</v>
      </c>
      <c r="C479" s="598"/>
      <c r="D479" s="598"/>
      <c r="E479" s="598"/>
      <c r="F479" s="598"/>
      <c r="G479" s="598"/>
      <c r="H479" s="598"/>
      <c r="I479" s="548"/>
      <c r="J479" s="1532"/>
    </row>
    <row r="480" spans="1:10" ht="12.75" thickBot="1">
      <c r="A480" s="838"/>
      <c r="B480" s="566" t="s">
        <v>59</v>
      </c>
      <c r="C480" s="601"/>
      <c r="D480" s="601"/>
      <c r="E480" s="601"/>
      <c r="F480" s="601"/>
      <c r="G480" s="601"/>
      <c r="H480" s="601"/>
      <c r="I480" s="578"/>
      <c r="J480" s="1521"/>
    </row>
    <row r="481" spans="1:10" ht="11.25" customHeight="1" thickBot="1">
      <c r="A481" s="838"/>
      <c r="B481" s="576" t="s">
        <v>97</v>
      </c>
      <c r="C481" s="596"/>
      <c r="D481" s="596"/>
      <c r="E481" s="596"/>
      <c r="F481" s="596"/>
      <c r="G481" s="596"/>
      <c r="H481" s="596"/>
      <c r="I481" s="626"/>
      <c r="J481" s="475"/>
    </row>
    <row r="482" spans="1:10" ht="12.75">
      <c r="A482" s="838"/>
      <c r="B482" s="613" t="s">
        <v>839</v>
      </c>
      <c r="C482" s="653"/>
      <c r="D482" s="653"/>
      <c r="E482" s="653"/>
      <c r="F482" s="653"/>
      <c r="G482" s="653"/>
      <c r="H482" s="653"/>
      <c r="I482" s="548"/>
      <c r="J482" s="1567"/>
    </row>
    <row r="483" spans="1:10" ht="13.5" thickBot="1">
      <c r="A483" s="1498"/>
      <c r="B483" s="654" t="s">
        <v>793</v>
      </c>
      <c r="C483" s="655"/>
      <c r="D483" s="655"/>
      <c r="E483" s="655"/>
      <c r="F483" s="655"/>
      <c r="G483" s="655"/>
      <c r="H483" s="655"/>
      <c r="I483" s="650"/>
      <c r="J483" s="1568"/>
    </row>
    <row r="484" spans="1:10" ht="12.75">
      <c r="A484" s="838">
        <v>3304</v>
      </c>
      <c r="B484" s="636" t="s">
        <v>897</v>
      </c>
      <c r="C484" s="656"/>
      <c r="D484" s="656"/>
      <c r="E484" s="653"/>
      <c r="F484" s="653"/>
      <c r="G484" s="653"/>
      <c r="H484" s="653"/>
      <c r="I484" s="560"/>
      <c r="J484" s="1569"/>
    </row>
    <row r="485" spans="1:10" ht="12.75">
      <c r="A485" s="840"/>
      <c r="B485" s="590" t="s">
        <v>84</v>
      </c>
      <c r="C485" s="591"/>
      <c r="D485" s="591"/>
      <c r="E485" s="591"/>
      <c r="F485" s="591"/>
      <c r="G485" s="591"/>
      <c r="H485" s="591"/>
      <c r="I485" s="560"/>
      <c r="J485" s="1570"/>
    </row>
    <row r="486" spans="1:10" ht="12.75">
      <c r="A486" s="840"/>
      <c r="B486" s="592" t="s">
        <v>231</v>
      </c>
      <c r="C486" s="591"/>
      <c r="D486" s="591"/>
      <c r="E486" s="591"/>
      <c r="F486" s="591"/>
      <c r="G486" s="591"/>
      <c r="H486" s="591"/>
      <c r="I486" s="560"/>
      <c r="J486" s="1571"/>
    </row>
    <row r="487" spans="1:10" ht="12.75">
      <c r="A487" s="840"/>
      <c r="B487" s="593" t="s">
        <v>222</v>
      </c>
      <c r="C487" s="591"/>
      <c r="D487" s="591">
        <v>2296</v>
      </c>
      <c r="E487" s="591">
        <v>2296</v>
      </c>
      <c r="F487" s="591">
        <v>2296</v>
      </c>
      <c r="G487" s="591">
        <v>2296</v>
      </c>
      <c r="H487" s="591">
        <v>0</v>
      </c>
      <c r="I487" s="562">
        <f>H487/G487</f>
        <v>0</v>
      </c>
      <c r="J487" s="1572"/>
    </row>
    <row r="488" spans="1:10">
      <c r="A488" s="840"/>
      <c r="B488" s="594" t="s">
        <v>89</v>
      </c>
      <c r="C488" s="591"/>
      <c r="D488" s="591"/>
      <c r="E488" s="591"/>
      <c r="F488" s="591"/>
      <c r="G488" s="591"/>
      <c r="H488" s="591"/>
      <c r="I488" s="560"/>
      <c r="J488" s="1536"/>
    </row>
    <row r="489" spans="1:10" ht="12.75">
      <c r="A489" s="840"/>
      <c r="B489" s="594" t="s">
        <v>228</v>
      </c>
      <c r="C489" s="598"/>
      <c r="D489" s="598"/>
      <c r="E489" s="598"/>
      <c r="F489" s="598"/>
      <c r="G489" s="598"/>
      <c r="H489" s="598"/>
      <c r="I489" s="560"/>
      <c r="J489" s="1570"/>
    </row>
    <row r="490" spans="1:10" ht="12.75">
      <c r="A490" s="840"/>
      <c r="B490" s="594" t="s">
        <v>89</v>
      </c>
      <c r="C490" s="591"/>
      <c r="D490" s="591"/>
      <c r="E490" s="591"/>
      <c r="F490" s="591"/>
      <c r="G490" s="591"/>
      <c r="H490" s="591"/>
      <c r="I490" s="560"/>
      <c r="J490" s="1573"/>
    </row>
    <row r="491" spans="1:10" ht="12.75" thickBot="1">
      <c r="A491" s="840"/>
      <c r="B491" s="566" t="s">
        <v>59</v>
      </c>
      <c r="C491" s="602"/>
      <c r="D491" s="602"/>
      <c r="E491" s="602"/>
      <c r="F491" s="602"/>
      <c r="G491" s="602"/>
      <c r="H491" s="602"/>
      <c r="I491" s="575"/>
      <c r="J491" s="826"/>
    </row>
    <row r="492" spans="1:10" ht="13.5" thickBot="1">
      <c r="A492" s="1498"/>
      <c r="B492" s="576" t="s">
        <v>97</v>
      </c>
      <c r="C492" s="596"/>
      <c r="D492" s="596">
        <f>SUM(D485:D491)</f>
        <v>2296</v>
      </c>
      <c r="E492" s="596">
        <f>SUM(E485:E491)</f>
        <v>2296</v>
      </c>
      <c r="F492" s="596">
        <f>SUM(F485:F491)</f>
        <v>2296</v>
      </c>
      <c r="G492" s="596">
        <f>SUM(G485:G491)</f>
        <v>2296</v>
      </c>
      <c r="H492" s="596">
        <f>SUM(H485:H491)</f>
        <v>0</v>
      </c>
      <c r="I492" s="553">
        <f>H492/G492</f>
        <v>0</v>
      </c>
      <c r="J492" s="1574"/>
    </row>
    <row r="493" spans="1:10" ht="12.75">
      <c r="A493" s="816">
        <v>3306</v>
      </c>
      <c r="B493" s="589" t="s">
        <v>711</v>
      </c>
      <c r="C493" s="544"/>
      <c r="D493" s="544"/>
      <c r="E493" s="544"/>
      <c r="F493" s="544"/>
      <c r="G493" s="544"/>
      <c r="H493" s="544"/>
      <c r="I493" s="560"/>
      <c r="J493" s="1575"/>
    </row>
    <row r="494" spans="1:10" ht="12" customHeight="1">
      <c r="A494" s="840"/>
      <c r="B494" s="590" t="s">
        <v>84</v>
      </c>
      <c r="C494" s="591"/>
      <c r="D494" s="591"/>
      <c r="E494" s="591"/>
      <c r="F494" s="591"/>
      <c r="G494" s="591"/>
      <c r="H494" s="591"/>
      <c r="I494" s="560"/>
      <c r="J494" s="1570"/>
    </row>
    <row r="495" spans="1:10" ht="12" customHeight="1">
      <c r="A495" s="840"/>
      <c r="B495" s="592" t="s">
        <v>231</v>
      </c>
      <c r="C495" s="591"/>
      <c r="D495" s="591"/>
      <c r="E495" s="591"/>
      <c r="F495" s="591"/>
      <c r="G495" s="591"/>
      <c r="H495" s="591"/>
      <c r="I495" s="560"/>
      <c r="J495" s="1571"/>
    </row>
    <row r="496" spans="1:10" ht="12" customHeight="1">
      <c r="A496" s="840"/>
      <c r="B496" s="593" t="s">
        <v>222</v>
      </c>
      <c r="C496" s="591"/>
      <c r="D496" s="591"/>
      <c r="E496" s="591"/>
      <c r="F496" s="591"/>
      <c r="G496" s="591"/>
      <c r="H496" s="591"/>
      <c r="I496" s="560"/>
      <c r="J496" s="1572"/>
    </row>
    <row r="497" spans="1:10" ht="12" customHeight="1">
      <c r="A497" s="840"/>
      <c r="B497" s="594" t="s">
        <v>89</v>
      </c>
      <c r="C497" s="591">
        <v>27000</v>
      </c>
      <c r="D497" s="591">
        <f>27000+50+18500</f>
        <v>45550</v>
      </c>
      <c r="E497" s="591">
        <f>27000+50+18500</f>
        <v>45550</v>
      </c>
      <c r="F497" s="591">
        <f>27000+50+18500</f>
        <v>45550</v>
      </c>
      <c r="G497" s="591">
        <f>27000+50+18500</f>
        <v>45550</v>
      </c>
      <c r="H497" s="591">
        <v>44963</v>
      </c>
      <c r="I497" s="562">
        <f>H497/G497</f>
        <v>0.98711306256860598</v>
      </c>
      <c r="J497" s="1536"/>
    </row>
    <row r="498" spans="1:10" ht="12" customHeight="1">
      <c r="A498" s="840"/>
      <c r="B498" s="594" t="s">
        <v>228</v>
      </c>
      <c r="C498" s="598"/>
      <c r="D498" s="598"/>
      <c r="E498" s="598"/>
      <c r="F498" s="598"/>
      <c r="G498" s="598"/>
      <c r="H498" s="598"/>
      <c r="I498" s="560"/>
      <c r="J498" s="1570"/>
    </row>
    <row r="499" spans="1:10" ht="12" customHeight="1">
      <c r="A499" s="840"/>
      <c r="B499" s="594" t="s">
        <v>89</v>
      </c>
      <c r="C499" s="591"/>
      <c r="D499" s="591"/>
      <c r="E499" s="591"/>
      <c r="F499" s="591"/>
      <c r="G499" s="591"/>
      <c r="H499" s="591"/>
      <c r="I499" s="560"/>
      <c r="J499" s="1573"/>
    </row>
    <row r="500" spans="1:10" ht="12" customHeight="1" thickBot="1">
      <c r="A500" s="840"/>
      <c r="B500" s="566" t="s">
        <v>59</v>
      </c>
      <c r="C500" s="602"/>
      <c r="D500" s="602"/>
      <c r="E500" s="602"/>
      <c r="F500" s="602"/>
      <c r="G500" s="602"/>
      <c r="H500" s="602"/>
      <c r="I500" s="575"/>
      <c r="J500" s="826"/>
    </row>
    <row r="501" spans="1:10" ht="12.75" customHeight="1" thickBot="1">
      <c r="A501" s="1498"/>
      <c r="B501" s="576" t="s">
        <v>97</v>
      </c>
      <c r="C501" s="596">
        <f t="shared" ref="C501:D501" si="122">SUM(C496:C497)</f>
        <v>27000</v>
      </c>
      <c r="D501" s="596">
        <f t="shared" si="122"/>
        <v>45550</v>
      </c>
      <c r="E501" s="596">
        <f t="shared" ref="E501:F501" si="123">SUM(E496:E497)</f>
        <v>45550</v>
      </c>
      <c r="F501" s="596">
        <f t="shared" si="123"/>
        <v>45550</v>
      </c>
      <c r="G501" s="596">
        <f t="shared" ref="G501:H501" si="124">SUM(G496:G497)</f>
        <v>45550</v>
      </c>
      <c r="H501" s="596">
        <f t="shared" si="124"/>
        <v>44963</v>
      </c>
      <c r="I501" s="553">
        <f>H501/G501</f>
        <v>0.98711306256860598</v>
      </c>
      <c r="J501" s="1574"/>
    </row>
    <row r="502" spans="1:10" ht="12" customHeight="1">
      <c r="A502" s="838">
        <v>3307</v>
      </c>
      <c r="B502" s="589" t="s">
        <v>150</v>
      </c>
      <c r="C502" s="544"/>
      <c r="D502" s="544"/>
      <c r="E502" s="544"/>
      <c r="F502" s="544"/>
      <c r="G502" s="544"/>
      <c r="H502" s="544"/>
      <c r="I502" s="560"/>
      <c r="J502" s="1575"/>
    </row>
    <row r="503" spans="1:10" ht="12" customHeight="1">
      <c r="A503" s="840"/>
      <c r="B503" s="590" t="s">
        <v>84</v>
      </c>
      <c r="C503" s="591"/>
      <c r="D503" s="591"/>
      <c r="E503" s="591"/>
      <c r="F503" s="591"/>
      <c r="G503" s="591"/>
      <c r="H503" s="591"/>
      <c r="I503" s="560"/>
      <c r="J503" s="1570"/>
    </row>
    <row r="504" spans="1:10" ht="12" customHeight="1">
      <c r="A504" s="840"/>
      <c r="B504" s="592" t="s">
        <v>231</v>
      </c>
      <c r="C504" s="591"/>
      <c r="D504" s="591"/>
      <c r="E504" s="591"/>
      <c r="F504" s="591"/>
      <c r="G504" s="591"/>
      <c r="H504" s="591"/>
      <c r="I504" s="560"/>
      <c r="J504" s="1571"/>
    </row>
    <row r="505" spans="1:10" ht="12" customHeight="1">
      <c r="A505" s="840"/>
      <c r="B505" s="593" t="s">
        <v>222</v>
      </c>
      <c r="C505" s="591"/>
      <c r="D505" s="591"/>
      <c r="E505" s="591"/>
      <c r="F505" s="591"/>
      <c r="G505" s="591"/>
      <c r="H505" s="591"/>
      <c r="I505" s="545"/>
      <c r="J505" s="1572"/>
    </row>
    <row r="506" spans="1:10" ht="12" customHeight="1">
      <c r="A506" s="840"/>
      <c r="B506" s="594" t="s">
        <v>89</v>
      </c>
      <c r="C506" s="591">
        <v>2500</v>
      </c>
      <c r="D506" s="591">
        <v>2500</v>
      </c>
      <c r="E506" s="591">
        <v>2500</v>
      </c>
      <c r="F506" s="591">
        <v>2500</v>
      </c>
      <c r="G506" s="591">
        <v>2500</v>
      </c>
      <c r="H506" s="591">
        <v>322</v>
      </c>
      <c r="I506" s="562">
        <f>H506/G506</f>
        <v>0.1288</v>
      </c>
      <c r="J506" s="1572"/>
    </row>
    <row r="507" spans="1:10" ht="12" customHeight="1">
      <c r="A507" s="840"/>
      <c r="B507" s="594" t="s">
        <v>228</v>
      </c>
      <c r="C507" s="598"/>
      <c r="D507" s="598"/>
      <c r="E507" s="598"/>
      <c r="F507" s="598"/>
      <c r="G507" s="598"/>
      <c r="H507" s="598"/>
      <c r="I507" s="548"/>
      <c r="J507" s="1536"/>
    </row>
    <row r="508" spans="1:10" ht="12" customHeight="1">
      <c r="A508" s="840"/>
      <c r="B508" s="594" t="s">
        <v>89</v>
      </c>
      <c r="C508" s="591"/>
      <c r="D508" s="591"/>
      <c r="E508" s="591"/>
      <c r="F508" s="591"/>
      <c r="G508" s="591"/>
      <c r="H508" s="591"/>
      <c r="I508" s="548"/>
      <c r="J508" s="1573"/>
    </row>
    <row r="509" spans="1:10" ht="12" customHeight="1" thickBot="1">
      <c r="A509" s="840"/>
      <c r="B509" s="566" t="s">
        <v>59</v>
      </c>
      <c r="C509" s="602"/>
      <c r="D509" s="602"/>
      <c r="E509" s="602"/>
      <c r="F509" s="602"/>
      <c r="G509" s="602"/>
      <c r="H509" s="602"/>
      <c r="I509" s="578"/>
      <c r="J509" s="826"/>
    </row>
    <row r="510" spans="1:10" ht="12" customHeight="1" thickBot="1">
      <c r="A510" s="1498"/>
      <c r="B510" s="576" t="s">
        <v>97</v>
      </c>
      <c r="C510" s="596">
        <f t="shared" ref="C510:D510" si="125">SUM(C503:C509)</f>
        <v>2500</v>
      </c>
      <c r="D510" s="596">
        <f t="shared" si="125"/>
        <v>2500</v>
      </c>
      <c r="E510" s="596">
        <f t="shared" ref="E510:F510" si="126">SUM(E503:E509)</f>
        <v>2500</v>
      </c>
      <c r="F510" s="596">
        <f t="shared" si="126"/>
        <v>2500</v>
      </c>
      <c r="G510" s="596">
        <f t="shared" ref="G510:H510" si="127">SUM(G503:G509)</f>
        <v>2500</v>
      </c>
      <c r="H510" s="596">
        <f t="shared" si="127"/>
        <v>322</v>
      </c>
      <c r="I510" s="553">
        <f>H510/G510</f>
        <v>0.1288</v>
      </c>
      <c r="J510" s="1574"/>
    </row>
    <row r="511" spans="1:10" ht="12" customHeight="1">
      <c r="A511" s="838">
        <v>3308</v>
      </c>
      <c r="B511" s="589" t="s">
        <v>849</v>
      </c>
      <c r="C511" s="544"/>
      <c r="D511" s="544"/>
      <c r="E511" s="544"/>
      <c r="F511" s="544"/>
      <c r="G511" s="544"/>
      <c r="H511" s="544"/>
      <c r="I511" s="560"/>
      <c r="J511" s="1575"/>
    </row>
    <row r="512" spans="1:10" ht="12" customHeight="1">
      <c r="A512" s="840"/>
      <c r="B512" s="590" t="s">
        <v>84</v>
      </c>
      <c r="C512" s="591"/>
      <c r="D512" s="591"/>
      <c r="E512" s="591"/>
      <c r="F512" s="591"/>
      <c r="G512" s="591"/>
      <c r="H512" s="591"/>
      <c r="I512" s="560"/>
      <c r="J512" s="1570"/>
    </row>
    <row r="513" spans="1:10" ht="12" customHeight="1">
      <c r="A513" s="840"/>
      <c r="B513" s="592" t="s">
        <v>231</v>
      </c>
      <c r="C513" s="591"/>
      <c r="D513" s="591"/>
      <c r="E513" s="591"/>
      <c r="F513" s="591"/>
      <c r="G513" s="591"/>
      <c r="H513" s="591"/>
      <c r="I513" s="545"/>
      <c r="J513" s="1571"/>
    </row>
    <row r="514" spans="1:10" ht="12" customHeight="1">
      <c r="A514" s="840"/>
      <c r="B514" s="593" t="s">
        <v>222</v>
      </c>
      <c r="C514" s="591">
        <v>10000</v>
      </c>
      <c r="D514" s="591">
        <f>10000+3271</f>
        <v>13271</v>
      </c>
      <c r="E514" s="591">
        <f>10000+3271</f>
        <v>13271</v>
      </c>
      <c r="F514" s="591">
        <f>10000+3271</f>
        <v>13271</v>
      </c>
      <c r="G514" s="591">
        <f>10000+3271</f>
        <v>13271</v>
      </c>
      <c r="H514" s="591">
        <v>6480</v>
      </c>
      <c r="I514" s="562">
        <f>H514/G514</f>
        <v>0.48828272172405995</v>
      </c>
      <c r="J514" s="1572"/>
    </row>
    <row r="515" spans="1:10" ht="12" customHeight="1">
      <c r="A515" s="840"/>
      <c r="B515" s="594" t="s">
        <v>89</v>
      </c>
      <c r="C515" s="591"/>
      <c r="D515" s="591"/>
      <c r="E515" s="591"/>
      <c r="F515" s="591"/>
      <c r="G515" s="591"/>
      <c r="H515" s="591"/>
      <c r="I515" s="548"/>
      <c r="J515" s="1572"/>
    </row>
    <row r="516" spans="1:10" ht="12" customHeight="1">
      <c r="A516" s="840"/>
      <c r="B516" s="594" t="s">
        <v>228</v>
      </c>
      <c r="C516" s="598"/>
      <c r="D516" s="598"/>
      <c r="E516" s="598"/>
      <c r="F516" s="598"/>
      <c r="G516" s="598"/>
      <c r="H516" s="598"/>
      <c r="I516" s="548"/>
      <c r="J516" s="1536"/>
    </row>
    <row r="517" spans="1:10" ht="12" customHeight="1">
      <c r="A517" s="840"/>
      <c r="B517" s="594" t="s">
        <v>89</v>
      </c>
      <c r="C517" s="591"/>
      <c r="D517" s="591"/>
      <c r="E517" s="591"/>
      <c r="F517" s="591"/>
      <c r="G517" s="591"/>
      <c r="H517" s="591"/>
      <c r="I517" s="548"/>
      <c r="J517" s="1573"/>
    </row>
    <row r="518" spans="1:10" ht="12" customHeight="1" thickBot="1">
      <c r="A518" s="840"/>
      <c r="B518" s="566" t="s">
        <v>59</v>
      </c>
      <c r="C518" s="602"/>
      <c r="D518" s="602"/>
      <c r="E518" s="602"/>
      <c r="F518" s="602"/>
      <c r="G518" s="602"/>
      <c r="H518" s="602"/>
      <c r="I518" s="578"/>
      <c r="J518" s="826"/>
    </row>
    <row r="519" spans="1:10" ht="12" customHeight="1" thickBot="1">
      <c r="A519" s="1498"/>
      <c r="B519" s="576" t="s">
        <v>97</v>
      </c>
      <c r="C519" s="596">
        <f t="shared" ref="C519:D519" si="128">SUM(C512:C518)</f>
        <v>10000</v>
      </c>
      <c r="D519" s="596">
        <f t="shared" si="128"/>
        <v>13271</v>
      </c>
      <c r="E519" s="596">
        <f t="shared" ref="E519:F519" si="129">SUM(E512:E518)</f>
        <v>13271</v>
      </c>
      <c r="F519" s="596">
        <f t="shared" si="129"/>
        <v>13271</v>
      </c>
      <c r="G519" s="596">
        <f t="shared" ref="G519:H519" si="130">SUM(G512:G518)</f>
        <v>13271</v>
      </c>
      <c r="H519" s="596">
        <f t="shared" si="130"/>
        <v>6480</v>
      </c>
      <c r="I519" s="553">
        <f>H519/G519</f>
        <v>0.48828272172405995</v>
      </c>
      <c r="J519" s="1574"/>
    </row>
    <row r="520" spans="1:10" ht="12" customHeight="1">
      <c r="A520" s="838">
        <v>3309</v>
      </c>
      <c r="B520" s="603" t="s">
        <v>742</v>
      </c>
      <c r="C520" s="544"/>
      <c r="D520" s="544"/>
      <c r="E520" s="544"/>
      <c r="F520" s="544"/>
      <c r="G520" s="544"/>
      <c r="H520" s="544"/>
      <c r="I520" s="560"/>
      <c r="J520" s="1528"/>
    </row>
    <row r="521" spans="1:10" ht="12" customHeight="1">
      <c r="A521" s="840"/>
      <c r="B521" s="590" t="s">
        <v>84</v>
      </c>
      <c r="C521" s="591"/>
      <c r="D521" s="591"/>
      <c r="E521" s="591"/>
      <c r="F521" s="591"/>
      <c r="G521" s="591"/>
      <c r="H521" s="591"/>
      <c r="I521" s="560"/>
      <c r="J521" s="1528"/>
    </row>
    <row r="522" spans="1:10" ht="12" customHeight="1">
      <c r="A522" s="840"/>
      <c r="B522" s="592" t="s">
        <v>231</v>
      </c>
      <c r="C522" s="591"/>
      <c r="D522" s="591"/>
      <c r="E522" s="591"/>
      <c r="F522" s="591"/>
      <c r="G522" s="591"/>
      <c r="H522" s="591"/>
      <c r="I522" s="545"/>
      <c r="J522" s="1529"/>
    </row>
    <row r="523" spans="1:10" ht="12" customHeight="1">
      <c r="A523" s="840"/>
      <c r="B523" s="593" t="s">
        <v>222</v>
      </c>
      <c r="C523" s="591"/>
      <c r="D523" s="591"/>
      <c r="E523" s="591"/>
      <c r="F523" s="591"/>
      <c r="G523" s="591"/>
      <c r="H523" s="591"/>
      <c r="I523" s="548"/>
      <c r="J523" s="1536"/>
    </row>
    <row r="524" spans="1:10" ht="12" customHeight="1">
      <c r="A524" s="840"/>
      <c r="B524" s="594" t="s">
        <v>89</v>
      </c>
      <c r="C524" s="591">
        <v>47000</v>
      </c>
      <c r="D524" s="591">
        <f>47000+42+10000</f>
        <v>57042</v>
      </c>
      <c r="E524" s="591">
        <f>47000+42+10000</f>
        <v>57042</v>
      </c>
      <c r="F524" s="591">
        <f>47000+42+10000</f>
        <v>57042</v>
      </c>
      <c r="G524" s="591">
        <f>47000+42+10000</f>
        <v>57042</v>
      </c>
      <c r="H524" s="591">
        <v>49023</v>
      </c>
      <c r="I524" s="562">
        <f>H524/G524</f>
        <v>0.85941937519722311</v>
      </c>
      <c r="J524" s="1572"/>
    </row>
    <row r="525" spans="1:10" ht="12" customHeight="1">
      <c r="A525" s="840"/>
      <c r="B525" s="594" t="s">
        <v>228</v>
      </c>
      <c r="C525" s="598"/>
      <c r="D525" s="598"/>
      <c r="E525" s="598"/>
      <c r="F525" s="598"/>
      <c r="G525" s="598"/>
      <c r="H525" s="598"/>
      <c r="I525" s="548"/>
      <c r="J525" s="1576"/>
    </row>
    <row r="526" spans="1:10" ht="12" customHeight="1" thickBot="1">
      <c r="A526" s="840"/>
      <c r="B526" s="566" t="s">
        <v>59</v>
      </c>
      <c r="C526" s="602"/>
      <c r="D526" s="602"/>
      <c r="E526" s="602"/>
      <c r="F526" s="602"/>
      <c r="G526" s="602"/>
      <c r="H526" s="602"/>
      <c r="I526" s="578"/>
      <c r="J526" s="826"/>
    </row>
    <row r="527" spans="1:10" ht="11.25" customHeight="1" thickBot="1">
      <c r="A527" s="1498"/>
      <c r="B527" s="576" t="s">
        <v>97</v>
      </c>
      <c r="C527" s="596">
        <f t="shared" ref="C527:D527" si="131">SUM(C521:C526)</f>
        <v>47000</v>
      </c>
      <c r="D527" s="596">
        <f t="shared" si="131"/>
        <v>57042</v>
      </c>
      <c r="E527" s="596">
        <f t="shared" ref="E527:F527" si="132">SUM(E521:E526)</f>
        <v>57042</v>
      </c>
      <c r="F527" s="596">
        <f t="shared" si="132"/>
        <v>57042</v>
      </c>
      <c r="G527" s="596">
        <f t="shared" ref="G527:H527" si="133">SUM(G521:G526)</f>
        <v>57042</v>
      </c>
      <c r="H527" s="596">
        <f t="shared" si="133"/>
        <v>49023</v>
      </c>
      <c r="I527" s="553">
        <f>H527/G527</f>
        <v>0.85941937519722311</v>
      </c>
      <c r="J527" s="475"/>
    </row>
    <row r="528" spans="1:10" ht="12" customHeight="1">
      <c r="A528" s="838">
        <v>3311</v>
      </c>
      <c r="B528" s="603" t="s">
        <v>98</v>
      </c>
      <c r="C528" s="544"/>
      <c r="D528" s="544"/>
      <c r="E528" s="544"/>
      <c r="F528" s="544"/>
      <c r="G528" s="544"/>
      <c r="H528" s="544"/>
      <c r="I528" s="560"/>
      <c r="J528" s="1528"/>
    </row>
    <row r="529" spans="1:10" ht="12" customHeight="1">
      <c r="A529" s="840"/>
      <c r="B529" s="590" t="s">
        <v>84</v>
      </c>
      <c r="C529" s="591"/>
      <c r="D529" s="591"/>
      <c r="E529" s="591"/>
      <c r="F529" s="591"/>
      <c r="G529" s="591"/>
      <c r="H529" s="591"/>
      <c r="I529" s="560"/>
      <c r="J529" s="1528"/>
    </row>
    <row r="530" spans="1:10" ht="12" customHeight="1">
      <c r="A530" s="840"/>
      <c r="B530" s="592" t="s">
        <v>231</v>
      </c>
      <c r="C530" s="591"/>
      <c r="D530" s="591"/>
      <c r="E530" s="591"/>
      <c r="F530" s="591"/>
      <c r="G530" s="591"/>
      <c r="H530" s="591"/>
      <c r="I530" s="545"/>
      <c r="J530" s="1528"/>
    </row>
    <row r="531" spans="1:10" ht="12" customHeight="1">
      <c r="A531" s="840"/>
      <c r="B531" s="593" t="s">
        <v>222</v>
      </c>
      <c r="C531" s="591"/>
      <c r="D531" s="591"/>
      <c r="E531" s="591"/>
      <c r="F531" s="591"/>
      <c r="G531" s="591"/>
      <c r="H531" s="591"/>
      <c r="I531" s="548"/>
      <c r="J531" s="1529"/>
    </row>
    <row r="532" spans="1:10" ht="12" customHeight="1">
      <c r="A532" s="840"/>
      <c r="B532" s="594" t="s">
        <v>89</v>
      </c>
      <c r="C532" s="591">
        <v>9000</v>
      </c>
      <c r="D532" s="591">
        <f>9000+4000</f>
        <v>13000</v>
      </c>
      <c r="E532" s="591">
        <f>9000+4000</f>
        <v>13000</v>
      </c>
      <c r="F532" s="591">
        <f>9000+4000</f>
        <v>13000</v>
      </c>
      <c r="G532" s="591">
        <f>9000+4000</f>
        <v>13000</v>
      </c>
      <c r="H532" s="591">
        <v>10458</v>
      </c>
      <c r="I532" s="562">
        <f>H532/G532</f>
        <v>0.80446153846153845</v>
      </c>
      <c r="J532" s="1577"/>
    </row>
    <row r="533" spans="1:10" ht="12" customHeight="1">
      <c r="A533" s="840"/>
      <c r="B533" s="594" t="s">
        <v>228</v>
      </c>
      <c r="C533" s="598"/>
      <c r="D533" s="598"/>
      <c r="E533" s="598"/>
      <c r="F533" s="598"/>
      <c r="G533" s="598"/>
      <c r="H533" s="598"/>
      <c r="I533" s="548"/>
      <c r="J533" s="1578"/>
    </row>
    <row r="534" spans="1:10" ht="12" customHeight="1" thickBot="1">
      <c r="A534" s="840"/>
      <c r="B534" s="566" t="s">
        <v>59</v>
      </c>
      <c r="C534" s="602"/>
      <c r="D534" s="602"/>
      <c r="E534" s="602"/>
      <c r="F534" s="602"/>
      <c r="G534" s="602"/>
      <c r="H534" s="602"/>
      <c r="I534" s="578"/>
      <c r="J534" s="826"/>
    </row>
    <row r="535" spans="1:10" ht="12.75" thickBot="1">
      <c r="A535" s="1498"/>
      <c r="B535" s="576" t="s">
        <v>97</v>
      </c>
      <c r="C535" s="596">
        <f t="shared" ref="C535:D535" si="134">SUM(C529:C534)</f>
        <v>9000</v>
      </c>
      <c r="D535" s="596">
        <f t="shared" si="134"/>
        <v>13000</v>
      </c>
      <c r="E535" s="596">
        <f t="shared" ref="E535:F535" si="135">SUM(E529:E534)</f>
        <v>13000</v>
      </c>
      <c r="F535" s="596">
        <f t="shared" si="135"/>
        <v>13000</v>
      </c>
      <c r="G535" s="596">
        <f t="shared" ref="G535:H535" si="136">SUM(G529:G534)</f>
        <v>13000</v>
      </c>
      <c r="H535" s="596">
        <f t="shared" si="136"/>
        <v>10458</v>
      </c>
      <c r="I535" s="553">
        <f>H535/G535</f>
        <v>0.80446153846153845</v>
      </c>
      <c r="J535" s="475"/>
    </row>
    <row r="536" spans="1:10">
      <c r="A536" s="816">
        <v>3312</v>
      </c>
      <c r="B536" s="603" t="s">
        <v>295</v>
      </c>
      <c r="C536" s="544"/>
      <c r="D536" s="544"/>
      <c r="E536" s="544"/>
      <c r="F536" s="544"/>
      <c r="G536" s="544"/>
      <c r="H536" s="544"/>
      <c r="I536" s="560"/>
      <c r="J536" s="1528"/>
    </row>
    <row r="537" spans="1:10">
      <c r="A537" s="840"/>
      <c r="B537" s="590" t="s">
        <v>84</v>
      </c>
      <c r="C537" s="591"/>
      <c r="D537" s="591"/>
      <c r="E537" s="591"/>
      <c r="F537" s="591"/>
      <c r="G537" s="591"/>
      <c r="H537" s="591"/>
      <c r="I537" s="560"/>
      <c r="J537" s="1528"/>
    </row>
    <row r="538" spans="1:10" ht="12.75">
      <c r="A538" s="840"/>
      <c r="B538" s="592" t="s">
        <v>231</v>
      </c>
      <c r="C538" s="591"/>
      <c r="D538" s="591"/>
      <c r="E538" s="591"/>
      <c r="F538" s="591"/>
      <c r="G538" s="591"/>
      <c r="H538" s="591"/>
      <c r="I538" s="545"/>
      <c r="J538" s="1578"/>
    </row>
    <row r="539" spans="1:10">
      <c r="A539" s="840"/>
      <c r="B539" s="593" t="s">
        <v>222</v>
      </c>
      <c r="C539" s="591"/>
      <c r="D539" s="591"/>
      <c r="E539" s="591"/>
      <c r="F539" s="591"/>
      <c r="G539" s="591"/>
      <c r="H539" s="591"/>
      <c r="I539" s="548"/>
      <c r="J539" s="1536"/>
    </row>
    <row r="540" spans="1:10">
      <c r="A540" s="840"/>
      <c r="B540" s="594" t="s">
        <v>89</v>
      </c>
      <c r="C540" s="591">
        <v>35000</v>
      </c>
      <c r="D540" s="591">
        <f>35000+211+8000</f>
        <v>43211</v>
      </c>
      <c r="E540" s="591">
        <f>35000+211+8000</f>
        <v>43211</v>
      </c>
      <c r="F540" s="591">
        <f>35000+211+8000</f>
        <v>43211</v>
      </c>
      <c r="G540" s="591">
        <f>35000+211+8000</f>
        <v>43211</v>
      </c>
      <c r="H540" s="591">
        <v>27402</v>
      </c>
      <c r="I540" s="562">
        <f>H540/G540</f>
        <v>0.63414408368239572</v>
      </c>
      <c r="J540" s="1529"/>
    </row>
    <row r="541" spans="1:10" ht="12.75">
      <c r="A541" s="840"/>
      <c r="B541" s="594" t="s">
        <v>228</v>
      </c>
      <c r="C541" s="598"/>
      <c r="D541" s="598"/>
      <c r="E541" s="598"/>
      <c r="F541" s="598"/>
      <c r="G541" s="598"/>
      <c r="H541" s="598"/>
      <c r="I541" s="548"/>
      <c r="J541" s="1579"/>
    </row>
    <row r="542" spans="1:10" ht="12.75" thickBot="1">
      <c r="A542" s="840"/>
      <c r="B542" s="566" t="s">
        <v>59</v>
      </c>
      <c r="C542" s="602"/>
      <c r="D542" s="602"/>
      <c r="E542" s="602"/>
      <c r="F542" s="602"/>
      <c r="G542" s="602"/>
      <c r="H542" s="602"/>
      <c r="I542" s="578"/>
      <c r="J542" s="826"/>
    </row>
    <row r="543" spans="1:10" ht="12.75" thickBot="1">
      <c r="A543" s="1498"/>
      <c r="B543" s="576" t="s">
        <v>97</v>
      </c>
      <c r="C543" s="596">
        <f t="shared" ref="C543:D543" si="137">SUM(C537:C542)</f>
        <v>35000</v>
      </c>
      <c r="D543" s="601">
        <f t="shared" si="137"/>
        <v>43211</v>
      </c>
      <c r="E543" s="601">
        <f t="shared" ref="E543:F543" si="138">SUM(E537:E542)</f>
        <v>43211</v>
      </c>
      <c r="F543" s="601">
        <f t="shared" si="138"/>
        <v>43211</v>
      </c>
      <c r="G543" s="601">
        <f t="shared" ref="G543:H543" si="139">SUM(G537:G542)</f>
        <v>43211</v>
      </c>
      <c r="H543" s="601">
        <f t="shared" si="139"/>
        <v>27402</v>
      </c>
      <c r="I543" s="553">
        <f>H543/G543</f>
        <v>0.63414408368239572</v>
      </c>
      <c r="J543" s="475"/>
    </row>
    <row r="544" spans="1:10">
      <c r="A544" s="816">
        <v>3313</v>
      </c>
      <c r="B544" s="589" t="s">
        <v>751</v>
      </c>
      <c r="C544" s="544"/>
      <c r="D544" s="544"/>
      <c r="E544" s="544"/>
      <c r="F544" s="544"/>
      <c r="G544" s="544"/>
      <c r="H544" s="544"/>
      <c r="I544" s="560"/>
      <c r="J544" s="1528"/>
    </row>
    <row r="545" spans="1:10">
      <c r="A545" s="840"/>
      <c r="B545" s="590" t="s">
        <v>84</v>
      </c>
      <c r="C545" s="591"/>
      <c r="D545" s="591"/>
      <c r="E545" s="591"/>
      <c r="F545" s="591"/>
      <c r="G545" s="591"/>
      <c r="H545" s="591"/>
      <c r="I545" s="545"/>
      <c r="J545" s="1528"/>
    </row>
    <row r="546" spans="1:10" ht="12.75">
      <c r="A546" s="840"/>
      <c r="B546" s="592" t="s">
        <v>231</v>
      </c>
      <c r="C546" s="591"/>
      <c r="D546" s="591"/>
      <c r="E546" s="591"/>
      <c r="F546" s="591"/>
      <c r="G546" s="591"/>
      <c r="H546" s="591"/>
      <c r="I546" s="548"/>
      <c r="J546" s="1578"/>
    </row>
    <row r="547" spans="1:10">
      <c r="A547" s="840"/>
      <c r="B547" s="593" t="s">
        <v>222</v>
      </c>
      <c r="C547" s="591"/>
      <c r="D547" s="591"/>
      <c r="E547" s="591"/>
      <c r="F547" s="591"/>
      <c r="G547" s="591"/>
      <c r="H547" s="591"/>
      <c r="I547" s="548"/>
      <c r="J547" s="1536"/>
    </row>
    <row r="548" spans="1:10">
      <c r="A548" s="840"/>
      <c r="B548" s="594" t="s">
        <v>89</v>
      </c>
      <c r="C548" s="591">
        <v>13000</v>
      </c>
      <c r="D548" s="591">
        <f>13000+265+1000</f>
        <v>14265</v>
      </c>
      <c r="E548" s="591">
        <f>13000+265+1000</f>
        <v>14265</v>
      </c>
      <c r="F548" s="591">
        <f>13000+265+1000</f>
        <v>14265</v>
      </c>
      <c r="G548" s="591">
        <f>13000+265+1000</f>
        <v>14265</v>
      </c>
      <c r="H548" s="591">
        <v>11410</v>
      </c>
      <c r="I548" s="562">
        <f>H548/G548</f>
        <v>0.79985979670522256</v>
      </c>
      <c r="J548" s="1529"/>
    </row>
    <row r="549" spans="1:10" ht="12.75">
      <c r="A549" s="840"/>
      <c r="B549" s="594" t="s">
        <v>228</v>
      </c>
      <c r="C549" s="598"/>
      <c r="D549" s="598"/>
      <c r="E549" s="598"/>
      <c r="F549" s="598"/>
      <c r="G549" s="598"/>
      <c r="H549" s="598"/>
      <c r="I549" s="548"/>
      <c r="J549" s="1579"/>
    </row>
    <row r="550" spans="1:10" ht="12.75" thickBot="1">
      <c r="A550" s="840"/>
      <c r="B550" s="566" t="s">
        <v>59</v>
      </c>
      <c r="C550" s="602"/>
      <c r="D550" s="602"/>
      <c r="E550" s="602"/>
      <c r="F550" s="602"/>
      <c r="G550" s="602"/>
      <c r="H550" s="602"/>
      <c r="I550" s="578"/>
      <c r="J550" s="826"/>
    </row>
    <row r="551" spans="1:10" ht="12.75" thickBot="1">
      <c r="A551" s="1498"/>
      <c r="B551" s="576" t="s">
        <v>97</v>
      </c>
      <c r="C551" s="596">
        <f t="shared" ref="C551:D551" si="140">SUM(C545:C550)</f>
        <v>13000</v>
      </c>
      <c r="D551" s="596">
        <f t="shared" si="140"/>
        <v>14265</v>
      </c>
      <c r="E551" s="596">
        <f t="shared" ref="E551:F551" si="141">SUM(E545:E550)</f>
        <v>14265</v>
      </c>
      <c r="F551" s="596">
        <f t="shared" si="141"/>
        <v>14265</v>
      </c>
      <c r="G551" s="596">
        <f t="shared" ref="G551:H551" si="142">SUM(G545:G550)</f>
        <v>14265</v>
      </c>
      <c r="H551" s="596">
        <f t="shared" si="142"/>
        <v>11410</v>
      </c>
      <c r="I551" s="553">
        <f>H551/G551</f>
        <v>0.79985979670522256</v>
      </c>
      <c r="J551" s="475"/>
    </row>
    <row r="552" spans="1:10">
      <c r="A552" s="816">
        <v>3316</v>
      </c>
      <c r="B552" s="603" t="s">
        <v>99</v>
      </c>
      <c r="C552" s="544"/>
      <c r="D552" s="544"/>
      <c r="E552" s="544"/>
      <c r="F552" s="544"/>
      <c r="G552" s="544"/>
      <c r="H552" s="544"/>
      <c r="I552" s="560"/>
      <c r="J552" s="1528"/>
    </row>
    <row r="553" spans="1:10">
      <c r="A553" s="840"/>
      <c r="B553" s="590" t="s">
        <v>84</v>
      </c>
      <c r="C553" s="591"/>
      <c r="D553" s="591"/>
      <c r="E553" s="591"/>
      <c r="F553" s="591"/>
      <c r="G553" s="591"/>
      <c r="H553" s="591"/>
      <c r="I553" s="560"/>
      <c r="J553" s="1528"/>
    </row>
    <row r="554" spans="1:10" ht="12.75">
      <c r="A554" s="840"/>
      <c r="B554" s="592" t="s">
        <v>231</v>
      </c>
      <c r="C554" s="591"/>
      <c r="D554" s="591"/>
      <c r="E554" s="591"/>
      <c r="F554" s="591"/>
      <c r="G554" s="591"/>
      <c r="H554" s="591"/>
      <c r="I554" s="560"/>
      <c r="J554" s="1578"/>
    </row>
    <row r="555" spans="1:10">
      <c r="A555" s="840"/>
      <c r="B555" s="593" t="s">
        <v>222</v>
      </c>
      <c r="C555" s="591"/>
      <c r="D555" s="591"/>
      <c r="E555" s="591"/>
      <c r="F555" s="591"/>
      <c r="G555" s="591"/>
      <c r="H555" s="591"/>
      <c r="I555" s="545"/>
      <c r="J555" s="1529"/>
    </row>
    <row r="556" spans="1:10">
      <c r="A556" s="840"/>
      <c r="B556" s="594" t="s">
        <v>89</v>
      </c>
      <c r="C556" s="591">
        <v>3000</v>
      </c>
      <c r="D556" s="591">
        <f>3000+12</f>
        <v>3012</v>
      </c>
      <c r="E556" s="591">
        <f>3000+12</f>
        <v>3012</v>
      </c>
      <c r="F556" s="591">
        <f>3000+12</f>
        <v>3012</v>
      </c>
      <c r="G556" s="591">
        <f>3000+12</f>
        <v>3012</v>
      </c>
      <c r="H556" s="591">
        <v>2647</v>
      </c>
      <c r="I556" s="562">
        <f>H556/G556</f>
        <v>0.87881806108897742</v>
      </c>
      <c r="J556" s="1528"/>
    </row>
    <row r="557" spans="1:10">
      <c r="A557" s="840"/>
      <c r="B557" s="594" t="s">
        <v>228</v>
      </c>
      <c r="C557" s="598"/>
      <c r="D557" s="598"/>
      <c r="E557" s="598"/>
      <c r="F557" s="598"/>
      <c r="G557" s="598"/>
      <c r="H557" s="598"/>
      <c r="I557" s="548"/>
      <c r="J557" s="1528"/>
    </row>
    <row r="558" spans="1:10" ht="12.75" thickBot="1">
      <c r="A558" s="840"/>
      <c r="B558" s="566" t="s">
        <v>59</v>
      </c>
      <c r="C558" s="602"/>
      <c r="D558" s="602"/>
      <c r="E558" s="602"/>
      <c r="F558" s="602"/>
      <c r="G558" s="602"/>
      <c r="H558" s="602"/>
      <c r="I558" s="578"/>
      <c r="J558" s="826"/>
    </row>
    <row r="559" spans="1:10" ht="12.75" thickBot="1">
      <c r="A559" s="1498"/>
      <c r="B559" s="576" t="s">
        <v>97</v>
      </c>
      <c r="C559" s="596">
        <f t="shared" ref="C559:D559" si="143">SUM(C553:C558)</f>
        <v>3000</v>
      </c>
      <c r="D559" s="596">
        <f t="shared" si="143"/>
        <v>3012</v>
      </c>
      <c r="E559" s="596">
        <f t="shared" ref="E559:F559" si="144">SUM(E553:E558)</f>
        <v>3012</v>
      </c>
      <c r="F559" s="596">
        <f t="shared" si="144"/>
        <v>3012</v>
      </c>
      <c r="G559" s="596">
        <f t="shared" ref="G559:H559" si="145">SUM(G553:G558)</f>
        <v>3012</v>
      </c>
      <c r="H559" s="596">
        <f t="shared" si="145"/>
        <v>2647</v>
      </c>
      <c r="I559" s="553">
        <f>H559/G559</f>
        <v>0.87881806108897742</v>
      </c>
      <c r="J559" s="475"/>
    </row>
    <row r="560" spans="1:10">
      <c r="A560" s="816">
        <v>3317</v>
      </c>
      <c r="B560" s="657" t="s">
        <v>712</v>
      </c>
      <c r="C560" s="544"/>
      <c r="D560" s="544"/>
      <c r="E560" s="544"/>
      <c r="F560" s="544"/>
      <c r="G560" s="544"/>
      <c r="H560" s="544"/>
      <c r="I560" s="560"/>
      <c r="J560" s="1528"/>
    </row>
    <row r="561" spans="1:10">
      <c r="A561" s="840"/>
      <c r="B561" s="590" t="s">
        <v>84</v>
      </c>
      <c r="C561" s="591"/>
      <c r="D561" s="591"/>
      <c r="E561" s="591"/>
      <c r="F561" s="591"/>
      <c r="G561" s="591"/>
      <c r="H561" s="591"/>
      <c r="I561" s="560"/>
      <c r="J561" s="1528"/>
    </row>
    <row r="562" spans="1:10">
      <c r="A562" s="840"/>
      <c r="B562" s="592" t="s">
        <v>231</v>
      </c>
      <c r="C562" s="591"/>
      <c r="D562" s="591"/>
      <c r="E562" s="591"/>
      <c r="F562" s="591"/>
      <c r="G562" s="591"/>
      <c r="H562" s="591"/>
      <c r="I562" s="545"/>
      <c r="J562" s="1536"/>
    </row>
    <row r="563" spans="1:10">
      <c r="A563" s="840"/>
      <c r="B563" s="593" t="s">
        <v>222</v>
      </c>
      <c r="C563" s="591"/>
      <c r="D563" s="591"/>
      <c r="E563" s="591"/>
      <c r="F563" s="591"/>
      <c r="G563" s="591"/>
      <c r="H563" s="591"/>
      <c r="I563" s="548"/>
      <c r="J563" s="1536"/>
    </row>
    <row r="564" spans="1:10">
      <c r="A564" s="840"/>
      <c r="B564" s="594" t="s">
        <v>89</v>
      </c>
      <c r="C564" s="591">
        <v>35000</v>
      </c>
      <c r="D564" s="591">
        <f>35000+357</f>
        <v>35357</v>
      </c>
      <c r="E564" s="591">
        <f>35000+357</f>
        <v>35357</v>
      </c>
      <c r="F564" s="591">
        <f>35000+357</f>
        <v>35357</v>
      </c>
      <c r="G564" s="591">
        <f>35000+357</f>
        <v>35357</v>
      </c>
      <c r="H564" s="591">
        <v>24277</v>
      </c>
      <c r="I564" s="562">
        <f>H564/G564</f>
        <v>0.68662499646463215</v>
      </c>
      <c r="J564" s="1529"/>
    </row>
    <row r="565" spans="1:10" ht="12.75">
      <c r="A565" s="840"/>
      <c r="B565" s="594" t="s">
        <v>228</v>
      </c>
      <c r="C565" s="598"/>
      <c r="D565" s="598"/>
      <c r="E565" s="598"/>
      <c r="F565" s="598"/>
      <c r="G565" s="598"/>
      <c r="H565" s="598"/>
      <c r="I565" s="548"/>
      <c r="J565" s="1579"/>
    </row>
    <row r="566" spans="1:10" ht="12.75" thickBot="1">
      <c r="A566" s="840"/>
      <c r="B566" s="566" t="s">
        <v>59</v>
      </c>
      <c r="C566" s="602"/>
      <c r="D566" s="602"/>
      <c r="E566" s="602"/>
      <c r="F566" s="602"/>
      <c r="G566" s="602"/>
      <c r="H566" s="602"/>
      <c r="I566" s="578"/>
      <c r="J566" s="826"/>
    </row>
    <row r="567" spans="1:10" ht="12.75" thickBot="1">
      <c r="A567" s="1498"/>
      <c r="B567" s="576" t="s">
        <v>97</v>
      </c>
      <c r="C567" s="596">
        <f t="shared" ref="C567:D567" si="146">SUM(C561:C566)</f>
        <v>35000</v>
      </c>
      <c r="D567" s="596">
        <f t="shared" si="146"/>
        <v>35357</v>
      </c>
      <c r="E567" s="596">
        <f t="shared" ref="E567:F567" si="147">SUM(E561:E566)</f>
        <v>35357</v>
      </c>
      <c r="F567" s="596">
        <f t="shared" si="147"/>
        <v>35357</v>
      </c>
      <c r="G567" s="596">
        <f t="shared" ref="G567:H567" si="148">SUM(G561:G566)</f>
        <v>35357</v>
      </c>
      <c r="H567" s="596">
        <f t="shared" si="148"/>
        <v>24277</v>
      </c>
      <c r="I567" s="553">
        <f>H567/G567</f>
        <v>0.68662499646463215</v>
      </c>
      <c r="J567" s="475"/>
    </row>
    <row r="568" spans="1:10" ht="12" customHeight="1">
      <c r="A568" s="838">
        <v>3323</v>
      </c>
      <c r="B568" s="603" t="s">
        <v>279</v>
      </c>
      <c r="C568" s="544"/>
      <c r="D568" s="544"/>
      <c r="E568" s="544"/>
      <c r="F568" s="544"/>
      <c r="G568" s="544"/>
      <c r="H568" s="544"/>
      <c r="I568" s="560"/>
      <c r="J568" s="1528"/>
    </row>
    <row r="569" spans="1:10" ht="12" customHeight="1">
      <c r="A569" s="840"/>
      <c r="B569" s="590" t="s">
        <v>84</v>
      </c>
      <c r="C569" s="591"/>
      <c r="D569" s="591"/>
      <c r="E569" s="591"/>
      <c r="F569" s="591"/>
      <c r="G569" s="591"/>
      <c r="H569" s="591"/>
      <c r="I569" s="560"/>
      <c r="J569" s="1528"/>
    </row>
    <row r="570" spans="1:10" ht="12" customHeight="1">
      <c r="A570" s="840"/>
      <c r="B570" s="592" t="s">
        <v>231</v>
      </c>
      <c r="C570" s="591"/>
      <c r="D570" s="591"/>
      <c r="E570" s="591"/>
      <c r="F570" s="591"/>
      <c r="G570" s="591"/>
      <c r="H570" s="591"/>
      <c r="I570" s="560"/>
      <c r="J570" s="1578"/>
    </row>
    <row r="571" spans="1:10" ht="12" customHeight="1">
      <c r="A571" s="840"/>
      <c r="B571" s="593" t="s">
        <v>222</v>
      </c>
      <c r="C571" s="591"/>
      <c r="D571" s="591"/>
      <c r="E571" s="591"/>
      <c r="F571" s="591"/>
      <c r="G571" s="591"/>
      <c r="H571" s="591"/>
      <c r="I571" s="545"/>
      <c r="J571" s="1536"/>
    </row>
    <row r="572" spans="1:10" ht="12" customHeight="1">
      <c r="A572" s="840"/>
      <c r="B572" s="594" t="s">
        <v>89</v>
      </c>
      <c r="C572" s="591">
        <v>5500</v>
      </c>
      <c r="D572" s="591">
        <f>5500+4000</f>
        <v>9500</v>
      </c>
      <c r="E572" s="591">
        <f>5500+4000</f>
        <v>9500</v>
      </c>
      <c r="F572" s="591">
        <f>5500+4000</f>
        <v>9500</v>
      </c>
      <c r="G572" s="591">
        <f>5500+4000</f>
        <v>9500</v>
      </c>
      <c r="H572" s="591">
        <v>9440</v>
      </c>
      <c r="I572" s="562">
        <f>H572/G572</f>
        <v>0.99368421052631584</v>
      </c>
      <c r="J572" s="1580"/>
    </row>
    <row r="573" spans="1:10" ht="12" customHeight="1">
      <c r="A573" s="840"/>
      <c r="B573" s="594" t="s">
        <v>228</v>
      </c>
      <c r="C573" s="598"/>
      <c r="D573" s="598"/>
      <c r="E573" s="598"/>
      <c r="F573" s="598"/>
      <c r="G573" s="598"/>
      <c r="H573" s="598"/>
      <c r="I573" s="548"/>
      <c r="J573" s="1578"/>
    </row>
    <row r="574" spans="1:10" ht="12" customHeight="1" thickBot="1">
      <c r="A574" s="840"/>
      <c r="B574" s="566" t="s">
        <v>59</v>
      </c>
      <c r="C574" s="602"/>
      <c r="D574" s="602"/>
      <c r="E574" s="602"/>
      <c r="F574" s="602"/>
      <c r="G574" s="602"/>
      <c r="H574" s="602"/>
      <c r="I574" s="578"/>
      <c r="J574" s="1581"/>
    </row>
    <row r="575" spans="1:10" ht="12" customHeight="1" thickBot="1">
      <c r="A575" s="1498"/>
      <c r="B575" s="576" t="s">
        <v>97</v>
      </c>
      <c r="C575" s="596">
        <f t="shared" ref="C575:D575" si="149">SUM(C569:C574)</f>
        <v>5500</v>
      </c>
      <c r="D575" s="596">
        <f t="shared" si="149"/>
        <v>9500</v>
      </c>
      <c r="E575" s="596">
        <f t="shared" ref="E575:F575" si="150">SUM(E569:E574)</f>
        <v>9500</v>
      </c>
      <c r="F575" s="596">
        <f t="shared" si="150"/>
        <v>9500</v>
      </c>
      <c r="G575" s="596">
        <f t="shared" ref="G575:H575" si="151">SUM(G569:G574)</f>
        <v>9500</v>
      </c>
      <c r="H575" s="596">
        <f t="shared" si="151"/>
        <v>9440</v>
      </c>
      <c r="I575" s="553">
        <f>H575/G575</f>
        <v>0.99368421052631584</v>
      </c>
      <c r="J575" s="475"/>
    </row>
    <row r="576" spans="1:10" ht="12" customHeight="1">
      <c r="A576" s="838">
        <v>3325</v>
      </c>
      <c r="B576" s="603" t="s">
        <v>713</v>
      </c>
      <c r="C576" s="544"/>
      <c r="D576" s="544"/>
      <c r="E576" s="544"/>
      <c r="F576" s="544"/>
      <c r="G576" s="544"/>
      <c r="H576" s="544"/>
      <c r="I576" s="560"/>
      <c r="J576" s="1528"/>
    </row>
    <row r="577" spans="1:10" ht="12" customHeight="1">
      <c r="A577" s="840"/>
      <c r="B577" s="590" t="s">
        <v>84</v>
      </c>
      <c r="C577" s="591"/>
      <c r="D577" s="591"/>
      <c r="E577" s="591"/>
      <c r="F577" s="591"/>
      <c r="G577" s="591"/>
      <c r="H577" s="591"/>
      <c r="I577" s="560"/>
      <c r="J577" s="1528"/>
    </row>
    <row r="578" spans="1:10" ht="12" customHeight="1">
      <c r="A578" s="840"/>
      <c r="B578" s="592" t="s">
        <v>231</v>
      </c>
      <c r="C578" s="591"/>
      <c r="D578" s="591"/>
      <c r="E578" s="591"/>
      <c r="F578" s="591"/>
      <c r="G578" s="591"/>
      <c r="H578" s="591"/>
      <c r="I578" s="545"/>
      <c r="J578" s="1577"/>
    </row>
    <row r="579" spans="1:10" ht="12" customHeight="1">
      <c r="A579" s="840"/>
      <c r="B579" s="593" t="s">
        <v>222</v>
      </c>
      <c r="C579" s="591"/>
      <c r="D579" s="591"/>
      <c r="E579" s="591"/>
      <c r="F579" s="591"/>
      <c r="G579" s="591"/>
      <c r="H579" s="591"/>
      <c r="I579" s="548"/>
      <c r="J579" s="1582"/>
    </row>
    <row r="580" spans="1:10" ht="12" customHeight="1">
      <c r="A580" s="840"/>
      <c r="B580" s="594" t="s">
        <v>89</v>
      </c>
      <c r="C580" s="591">
        <v>10000</v>
      </c>
      <c r="D580" s="591">
        <f>10000+36+5000</f>
        <v>15036</v>
      </c>
      <c r="E580" s="591">
        <f>10000+36+5000</f>
        <v>15036</v>
      </c>
      <c r="F580" s="591">
        <f>10000+36+5000</f>
        <v>15036</v>
      </c>
      <c r="G580" s="591">
        <f>10000+36+5000</f>
        <v>15036</v>
      </c>
      <c r="H580" s="591">
        <v>8420</v>
      </c>
      <c r="I580" s="562">
        <f>H580/G580</f>
        <v>0.55998935887204049</v>
      </c>
      <c r="J580" s="1583"/>
    </row>
    <row r="581" spans="1:10" ht="12" customHeight="1">
      <c r="A581" s="840"/>
      <c r="B581" s="594" t="s">
        <v>228</v>
      </c>
      <c r="C581" s="598"/>
      <c r="D581" s="598"/>
      <c r="E581" s="598"/>
      <c r="F581" s="598"/>
      <c r="G581" s="598"/>
      <c r="H581" s="598"/>
      <c r="I581" s="548"/>
      <c r="J581" s="1572"/>
    </row>
    <row r="582" spans="1:10" ht="12" customHeight="1" thickBot="1">
      <c r="A582" s="840"/>
      <c r="B582" s="566" t="s">
        <v>59</v>
      </c>
      <c r="C582" s="602"/>
      <c r="D582" s="602"/>
      <c r="E582" s="602"/>
      <c r="F582" s="602"/>
      <c r="G582" s="602"/>
      <c r="H582" s="602"/>
      <c r="I582" s="578"/>
      <c r="J582" s="1581"/>
    </row>
    <row r="583" spans="1:10" ht="12" customHeight="1" thickBot="1">
      <c r="A583" s="1498"/>
      <c r="B583" s="576" t="s">
        <v>97</v>
      </c>
      <c r="C583" s="596">
        <f t="shared" ref="C583:D583" si="152">SUM(C577:C582)</f>
        <v>10000</v>
      </c>
      <c r="D583" s="596">
        <f t="shared" si="152"/>
        <v>15036</v>
      </c>
      <c r="E583" s="596">
        <f t="shared" ref="E583:F583" si="153">SUM(E577:E582)</f>
        <v>15036</v>
      </c>
      <c r="F583" s="596">
        <f t="shared" si="153"/>
        <v>15036</v>
      </c>
      <c r="G583" s="596">
        <f t="shared" ref="G583:H583" si="154">SUM(G577:G582)</f>
        <v>15036</v>
      </c>
      <c r="H583" s="596">
        <f t="shared" si="154"/>
        <v>8420</v>
      </c>
      <c r="I583" s="553">
        <f>H583/G583</f>
        <v>0.55998935887204049</v>
      </c>
      <c r="J583" s="475"/>
    </row>
    <row r="584" spans="1:10" hidden="1">
      <c r="A584" s="838">
        <v>3330</v>
      </c>
      <c r="B584" s="603" t="s">
        <v>820</v>
      </c>
      <c r="C584" s="544"/>
      <c r="D584" s="544"/>
      <c r="E584" s="544"/>
      <c r="F584" s="544"/>
      <c r="G584" s="544"/>
      <c r="H584" s="544"/>
      <c r="I584" s="560" t="e">
        <f t="shared" ref="I584:I591" si="155">SUM(G584/G584)</f>
        <v>#DIV/0!</v>
      </c>
      <c r="J584" s="1528"/>
    </row>
    <row r="585" spans="1:10" hidden="1">
      <c r="A585" s="840"/>
      <c r="B585" s="590" t="s">
        <v>84</v>
      </c>
      <c r="C585" s="591"/>
      <c r="D585" s="591"/>
      <c r="E585" s="591"/>
      <c r="F585" s="591"/>
      <c r="G585" s="591"/>
      <c r="H585" s="591"/>
      <c r="I585" s="560" t="e">
        <f t="shared" si="155"/>
        <v>#DIV/0!</v>
      </c>
      <c r="J585" s="1528"/>
    </row>
    <row r="586" spans="1:10" ht="12.75" hidden="1">
      <c r="A586" s="840"/>
      <c r="B586" s="592" t="s">
        <v>231</v>
      </c>
      <c r="C586" s="591"/>
      <c r="D586" s="591"/>
      <c r="E586" s="591"/>
      <c r="F586" s="591"/>
      <c r="G586" s="591"/>
      <c r="H586" s="591"/>
      <c r="I586" s="560" t="e">
        <f t="shared" si="155"/>
        <v>#DIV/0!</v>
      </c>
      <c r="J586" s="1578"/>
    </row>
    <row r="587" spans="1:10" hidden="1">
      <c r="A587" s="840"/>
      <c r="B587" s="593" t="s">
        <v>222</v>
      </c>
      <c r="C587" s="591"/>
      <c r="D587" s="591"/>
      <c r="E587" s="591"/>
      <c r="F587" s="591"/>
      <c r="G587" s="591"/>
      <c r="H587" s="591"/>
      <c r="I587" s="560" t="e">
        <f t="shared" si="155"/>
        <v>#DIV/0!</v>
      </c>
      <c r="J587" s="1536"/>
    </row>
    <row r="588" spans="1:10" hidden="1">
      <c r="A588" s="840"/>
      <c r="B588" s="594" t="s">
        <v>89</v>
      </c>
      <c r="C588" s="591"/>
      <c r="D588" s="591"/>
      <c r="E588" s="591"/>
      <c r="F588" s="591"/>
      <c r="G588" s="591"/>
      <c r="H588" s="591"/>
      <c r="I588" s="560" t="e">
        <f t="shared" si="155"/>
        <v>#DIV/0!</v>
      </c>
      <c r="J588" s="1580"/>
    </row>
    <row r="589" spans="1:10" ht="12.75" hidden="1">
      <c r="A589" s="840"/>
      <c r="B589" s="594" t="s">
        <v>228</v>
      </c>
      <c r="C589" s="598"/>
      <c r="D589" s="598"/>
      <c r="E589" s="598"/>
      <c r="F589" s="598"/>
      <c r="G589" s="598"/>
      <c r="H589" s="598"/>
      <c r="I589" s="560" t="e">
        <f t="shared" si="155"/>
        <v>#DIV/0!</v>
      </c>
      <c r="J589" s="1578"/>
    </row>
    <row r="590" spans="1:10" ht="12.75" hidden="1" thickBot="1">
      <c r="A590" s="840"/>
      <c r="B590" s="566" t="s">
        <v>59</v>
      </c>
      <c r="C590" s="531"/>
      <c r="D590" s="531"/>
      <c r="E590" s="531"/>
      <c r="F590" s="531"/>
      <c r="G590" s="531"/>
      <c r="H590" s="531"/>
      <c r="I590" s="560" t="e">
        <f t="shared" si="155"/>
        <v>#DIV/0!</v>
      </c>
      <c r="J590" s="1581"/>
    </row>
    <row r="591" spans="1:10" ht="12.75" hidden="1" thickBot="1">
      <c r="A591" s="1498"/>
      <c r="B591" s="576" t="s">
        <v>97</v>
      </c>
      <c r="C591" s="658"/>
      <c r="D591" s="551"/>
      <c r="E591" s="551"/>
      <c r="F591" s="551"/>
      <c r="G591" s="551"/>
      <c r="H591" s="551"/>
      <c r="I591" s="560" t="e">
        <f t="shared" si="155"/>
        <v>#DIV/0!</v>
      </c>
      <c r="J591" s="1523"/>
    </row>
    <row r="592" spans="1:10">
      <c r="A592" s="873">
        <v>3340</v>
      </c>
      <c r="B592" s="542" t="s">
        <v>361</v>
      </c>
      <c r="C592" s="544"/>
      <c r="D592" s="544"/>
      <c r="E592" s="544"/>
      <c r="F592" s="544"/>
      <c r="G592" s="544"/>
      <c r="H592" s="544"/>
      <c r="I592" s="560"/>
      <c r="J592" s="1528"/>
    </row>
    <row r="593" spans="1:10" ht="12" customHeight="1">
      <c r="A593" s="838"/>
      <c r="B593" s="590" t="s">
        <v>84</v>
      </c>
      <c r="C593" s="544"/>
      <c r="D593" s="544"/>
      <c r="E593" s="544"/>
      <c r="F593" s="544"/>
      <c r="G593" s="544"/>
      <c r="H593" s="544"/>
      <c r="I593" s="545"/>
      <c r="J593" s="1528"/>
    </row>
    <row r="594" spans="1:10" ht="12" customHeight="1">
      <c r="A594" s="838"/>
      <c r="B594" s="592" t="s">
        <v>231</v>
      </c>
      <c r="C594" s="544"/>
      <c r="D594" s="544"/>
      <c r="E594" s="544"/>
      <c r="F594" s="544"/>
      <c r="G594" s="544"/>
      <c r="H594" s="544"/>
      <c r="I594" s="548"/>
      <c r="J594" s="1514" t="s">
        <v>948</v>
      </c>
    </row>
    <row r="595" spans="1:10" ht="12" customHeight="1">
      <c r="A595" s="819"/>
      <c r="B595" s="593" t="s">
        <v>222</v>
      </c>
      <c r="C595" s="598">
        <v>9000</v>
      </c>
      <c r="D595" s="598">
        <f>9000+959</f>
        <v>9959</v>
      </c>
      <c r="E595" s="598">
        <f>9000+959</f>
        <v>9959</v>
      </c>
      <c r="F595" s="598">
        <f>9000+959</f>
        <v>9959</v>
      </c>
      <c r="G595" s="598">
        <f>9000+959</f>
        <v>9959</v>
      </c>
      <c r="H595" s="598">
        <v>6603</v>
      </c>
      <c r="I595" s="562">
        <f>H595/G595</f>
        <v>0.66301837533888941</v>
      </c>
      <c r="J595" s="1577"/>
    </row>
    <row r="596" spans="1:10" ht="12" customHeight="1">
      <c r="A596" s="819"/>
      <c r="B596" s="594" t="s">
        <v>89</v>
      </c>
      <c r="C596" s="598"/>
      <c r="D596" s="598"/>
      <c r="E596" s="598"/>
      <c r="F596" s="598"/>
      <c r="G596" s="598"/>
      <c r="H596" s="598"/>
      <c r="I596" s="548"/>
      <c r="J596" s="1584"/>
    </row>
    <row r="597" spans="1:10" ht="12" customHeight="1">
      <c r="A597" s="838"/>
      <c r="B597" s="594" t="s">
        <v>228</v>
      </c>
      <c r="C597" s="598"/>
      <c r="D597" s="598"/>
      <c r="E597" s="598"/>
      <c r="F597" s="598"/>
      <c r="G597" s="598"/>
      <c r="H597" s="598"/>
      <c r="I597" s="548"/>
      <c r="J597" s="1528"/>
    </row>
    <row r="598" spans="1:10" ht="12" customHeight="1" thickBot="1">
      <c r="A598" s="838"/>
      <c r="B598" s="566" t="s">
        <v>59</v>
      </c>
      <c r="C598" s="601"/>
      <c r="D598" s="601"/>
      <c r="E598" s="601"/>
      <c r="F598" s="601"/>
      <c r="G598" s="601"/>
      <c r="H598" s="601"/>
      <c r="I598" s="578"/>
      <c r="J598" s="826"/>
    </row>
    <row r="599" spans="1:10" ht="12" customHeight="1" thickBot="1">
      <c r="A599" s="898"/>
      <c r="B599" s="576" t="s">
        <v>97</v>
      </c>
      <c r="C599" s="596">
        <f t="shared" ref="C599:D599" si="156">SUM(C593:C598)</f>
        <v>9000</v>
      </c>
      <c r="D599" s="596">
        <f t="shared" si="156"/>
        <v>9959</v>
      </c>
      <c r="E599" s="596">
        <f t="shared" ref="E599:F599" si="157">SUM(E593:E598)</f>
        <v>9959</v>
      </c>
      <c r="F599" s="596">
        <f t="shared" si="157"/>
        <v>9959</v>
      </c>
      <c r="G599" s="596">
        <f t="shared" ref="G599:H599" si="158">SUM(G593:G598)</f>
        <v>9959</v>
      </c>
      <c r="H599" s="596">
        <f t="shared" si="158"/>
        <v>6603</v>
      </c>
      <c r="I599" s="553">
        <f>H599/G599</f>
        <v>0.66301837533888941</v>
      </c>
      <c r="J599" s="475"/>
    </row>
    <row r="600" spans="1:10" ht="12" customHeight="1">
      <c r="A600" s="873">
        <v>3341</v>
      </c>
      <c r="B600" s="542" t="s">
        <v>297</v>
      </c>
      <c r="C600" s="544"/>
      <c r="D600" s="544"/>
      <c r="E600" s="544"/>
      <c r="F600" s="544"/>
      <c r="G600" s="544"/>
      <c r="H600" s="544"/>
      <c r="I600" s="560"/>
      <c r="J600" s="1528"/>
    </row>
    <row r="601" spans="1:10" ht="12" customHeight="1">
      <c r="A601" s="838"/>
      <c r="B601" s="590" t="s">
        <v>84</v>
      </c>
      <c r="C601" s="544"/>
      <c r="D601" s="544"/>
      <c r="E601" s="544"/>
      <c r="F601" s="544"/>
      <c r="G601" s="544"/>
      <c r="H601" s="544"/>
      <c r="I601" s="560"/>
      <c r="J601" s="1528"/>
    </row>
    <row r="602" spans="1:10" ht="12" customHeight="1">
      <c r="A602" s="838"/>
      <c r="B602" s="592" t="s">
        <v>231</v>
      </c>
      <c r="C602" s="544"/>
      <c r="D602" s="544"/>
      <c r="E602" s="544"/>
      <c r="F602" s="544"/>
      <c r="G602" s="544"/>
      <c r="H602" s="544"/>
      <c r="I602" s="545"/>
      <c r="J602" s="1536"/>
    </row>
    <row r="603" spans="1:10" ht="12" customHeight="1">
      <c r="A603" s="819"/>
      <c r="B603" s="593" t="s">
        <v>222</v>
      </c>
      <c r="C603" s="598">
        <v>3500</v>
      </c>
      <c r="D603" s="598">
        <f>3500+3000+1000</f>
        <v>7500</v>
      </c>
      <c r="E603" s="598">
        <f>3500+3000+1000</f>
        <v>7500</v>
      </c>
      <c r="F603" s="598">
        <f>3500+3000+1000</f>
        <v>7500</v>
      </c>
      <c r="G603" s="598">
        <f>3500+3000+1000</f>
        <v>7500</v>
      </c>
      <c r="H603" s="598">
        <v>4844</v>
      </c>
      <c r="I603" s="562">
        <f>H603/G603</f>
        <v>0.6458666666666667</v>
      </c>
      <c r="J603" s="1514" t="s">
        <v>948</v>
      </c>
    </row>
    <row r="604" spans="1:10" ht="12" customHeight="1">
      <c r="A604" s="819"/>
      <c r="B604" s="594" t="s">
        <v>89</v>
      </c>
      <c r="C604" s="598"/>
      <c r="D604" s="598"/>
      <c r="E604" s="598"/>
      <c r="F604" s="598"/>
      <c r="G604" s="598"/>
      <c r="H604" s="598"/>
      <c r="I604" s="548"/>
      <c r="J604" s="1584"/>
    </row>
    <row r="605" spans="1:10" ht="12" customHeight="1">
      <c r="A605" s="838"/>
      <c r="B605" s="594" t="s">
        <v>228</v>
      </c>
      <c r="C605" s="544"/>
      <c r="D605" s="544"/>
      <c r="E605" s="544"/>
      <c r="F605" s="544"/>
      <c r="G605" s="544"/>
      <c r="H605" s="544"/>
      <c r="I605" s="548"/>
      <c r="J605" s="1529"/>
    </row>
    <row r="606" spans="1:10" ht="12" customHeight="1" thickBot="1">
      <c r="A606" s="838"/>
      <c r="B606" s="566" t="s">
        <v>59</v>
      </c>
      <c r="C606" s="601"/>
      <c r="D606" s="601"/>
      <c r="E606" s="601"/>
      <c r="F606" s="601"/>
      <c r="G606" s="601"/>
      <c r="H606" s="601"/>
      <c r="I606" s="578"/>
      <c r="J606" s="826"/>
    </row>
    <row r="607" spans="1:10" ht="12" customHeight="1" thickBot="1">
      <c r="A607" s="898"/>
      <c r="B607" s="576" t="s">
        <v>97</v>
      </c>
      <c r="C607" s="596">
        <f t="shared" ref="C607:D607" si="159">SUM(C601:C606)</f>
        <v>3500</v>
      </c>
      <c r="D607" s="596">
        <f t="shared" si="159"/>
        <v>7500</v>
      </c>
      <c r="E607" s="596">
        <f t="shared" ref="E607:F607" si="160">SUM(E601:E606)</f>
        <v>7500</v>
      </c>
      <c r="F607" s="596">
        <f t="shared" si="160"/>
        <v>7500</v>
      </c>
      <c r="G607" s="596">
        <f t="shared" ref="G607:H607" si="161">SUM(G601:G606)</f>
        <v>7500</v>
      </c>
      <c r="H607" s="596">
        <f t="shared" si="161"/>
        <v>4844</v>
      </c>
      <c r="I607" s="553">
        <f>H607/G607</f>
        <v>0.6458666666666667</v>
      </c>
      <c r="J607" s="475"/>
    </row>
    <row r="608" spans="1:10" ht="12" customHeight="1">
      <c r="A608" s="873">
        <v>3342</v>
      </c>
      <c r="B608" s="542" t="s">
        <v>352</v>
      </c>
      <c r="C608" s="544"/>
      <c r="D608" s="544"/>
      <c r="E608" s="544"/>
      <c r="F608" s="544"/>
      <c r="G608" s="544"/>
      <c r="H608" s="544"/>
      <c r="I608" s="560"/>
      <c r="J608" s="1528"/>
    </row>
    <row r="609" spans="1:10" ht="12" customHeight="1">
      <c r="A609" s="838"/>
      <c r="B609" s="590" t="s">
        <v>84</v>
      </c>
      <c r="C609" s="544"/>
      <c r="D609" s="544"/>
      <c r="E609" s="544"/>
      <c r="F609" s="544"/>
      <c r="G609" s="544"/>
      <c r="H609" s="544"/>
      <c r="I609" s="560"/>
      <c r="J609" s="1528"/>
    </row>
    <row r="610" spans="1:10" ht="12" customHeight="1">
      <c r="A610" s="838"/>
      <c r="B610" s="592" t="s">
        <v>231</v>
      </c>
      <c r="C610" s="544"/>
      <c r="D610" s="544"/>
      <c r="E610" s="544"/>
      <c r="F610" s="544"/>
      <c r="G610" s="544"/>
      <c r="H610" s="544"/>
      <c r="I610" s="545"/>
      <c r="J610" s="1528"/>
    </row>
    <row r="611" spans="1:10" ht="12" customHeight="1">
      <c r="A611" s="819"/>
      <c r="B611" s="593" t="s">
        <v>222</v>
      </c>
      <c r="C611" s="598">
        <v>880</v>
      </c>
      <c r="D611" s="598">
        <v>880</v>
      </c>
      <c r="E611" s="598">
        <v>880</v>
      </c>
      <c r="F611" s="598">
        <v>880</v>
      </c>
      <c r="G611" s="598">
        <v>880</v>
      </c>
      <c r="H611" s="598">
        <v>880</v>
      </c>
      <c r="I611" s="562">
        <f>H611/G611</f>
        <v>1</v>
      </c>
      <c r="J611" s="1514" t="s">
        <v>948</v>
      </c>
    </row>
    <row r="612" spans="1:10" ht="12" customHeight="1">
      <c r="A612" s="819"/>
      <c r="B612" s="594" t="s">
        <v>89</v>
      </c>
      <c r="C612" s="598"/>
      <c r="D612" s="598"/>
      <c r="E612" s="598"/>
      <c r="F612" s="598"/>
      <c r="G612" s="598"/>
      <c r="H612" s="598"/>
      <c r="I612" s="548"/>
      <c r="J612" s="1584"/>
    </row>
    <row r="613" spans="1:10" ht="12" customHeight="1">
      <c r="A613" s="838"/>
      <c r="B613" s="594" t="s">
        <v>228</v>
      </c>
      <c r="C613" s="544"/>
      <c r="D613" s="544"/>
      <c r="E613" s="544"/>
      <c r="F613" s="544"/>
      <c r="G613" s="544"/>
      <c r="H613" s="544"/>
      <c r="I613" s="548"/>
      <c r="J613" s="1528"/>
    </row>
    <row r="614" spans="1:10" ht="12" customHeight="1">
      <c r="A614" s="838"/>
      <c r="B614" s="594" t="s">
        <v>89</v>
      </c>
      <c r="C614" s="544"/>
      <c r="D614" s="544"/>
      <c r="E614" s="544"/>
      <c r="F614" s="544"/>
      <c r="G614" s="544"/>
      <c r="H614" s="544"/>
      <c r="I614" s="548"/>
      <c r="J614" s="1532"/>
    </row>
    <row r="615" spans="1:10" ht="12" customHeight="1" thickBot="1">
      <c r="A615" s="838"/>
      <c r="B615" s="566" t="s">
        <v>59</v>
      </c>
      <c r="C615" s="601"/>
      <c r="D615" s="601"/>
      <c r="E615" s="601"/>
      <c r="F615" s="601"/>
      <c r="G615" s="601"/>
      <c r="H615" s="601"/>
      <c r="I615" s="578"/>
      <c r="J615" s="826"/>
    </row>
    <row r="616" spans="1:10" ht="12.75" thickBot="1">
      <c r="A616" s="898"/>
      <c r="B616" s="576" t="s">
        <v>97</v>
      </c>
      <c r="C616" s="596">
        <f t="shared" ref="C616:D616" si="162">SUM(C609:C615)</f>
        <v>880</v>
      </c>
      <c r="D616" s="596">
        <f t="shared" si="162"/>
        <v>880</v>
      </c>
      <c r="E616" s="596">
        <f t="shared" ref="E616:F616" si="163">SUM(E609:E615)</f>
        <v>880</v>
      </c>
      <c r="F616" s="596">
        <f t="shared" si="163"/>
        <v>880</v>
      </c>
      <c r="G616" s="596">
        <f t="shared" ref="G616:H616" si="164">SUM(G609:G615)</f>
        <v>880</v>
      </c>
      <c r="H616" s="596">
        <f t="shared" si="164"/>
        <v>880</v>
      </c>
      <c r="I616" s="553">
        <f>H616/G616</f>
        <v>1</v>
      </c>
      <c r="J616" s="475"/>
    </row>
    <row r="617" spans="1:10">
      <c r="A617" s="873">
        <v>3343</v>
      </c>
      <c r="B617" s="542" t="s">
        <v>777</v>
      </c>
      <c r="C617" s="544"/>
      <c r="D617" s="544"/>
      <c r="E617" s="544"/>
      <c r="F617" s="544"/>
      <c r="G617" s="544"/>
      <c r="H617" s="544"/>
      <c r="I617" s="560"/>
      <c r="J617" s="1528"/>
    </row>
    <row r="618" spans="1:10">
      <c r="A618" s="838"/>
      <c r="B618" s="590" t="s">
        <v>84</v>
      </c>
      <c r="C618" s="544"/>
      <c r="D618" s="544"/>
      <c r="E618" s="544"/>
      <c r="F618" s="544"/>
      <c r="G618" s="544"/>
      <c r="H618" s="544"/>
      <c r="I618" s="560"/>
      <c r="J618" s="1528"/>
    </row>
    <row r="619" spans="1:10">
      <c r="A619" s="838"/>
      <c r="B619" s="592" t="s">
        <v>231</v>
      </c>
      <c r="C619" s="544"/>
      <c r="D619" s="544"/>
      <c r="E619" s="544"/>
      <c r="F619" s="544"/>
      <c r="G619" s="544"/>
      <c r="H619" s="544"/>
      <c r="I619" s="545"/>
      <c r="J619" s="1528"/>
    </row>
    <row r="620" spans="1:10">
      <c r="A620" s="819"/>
      <c r="B620" s="593" t="s">
        <v>222</v>
      </c>
      <c r="C620" s="598">
        <v>13000</v>
      </c>
      <c r="D620" s="598">
        <f>13000+11715</f>
        <v>24715</v>
      </c>
      <c r="E620" s="598">
        <f>13000+11715</f>
        <v>24715</v>
      </c>
      <c r="F620" s="598">
        <f>13000+11715</f>
        <v>24715</v>
      </c>
      <c r="G620" s="598">
        <f>13000+11715</f>
        <v>24715</v>
      </c>
      <c r="H620" s="598">
        <v>11715</v>
      </c>
      <c r="I620" s="562">
        <f>H620/G620</f>
        <v>0.47400364151325108</v>
      </c>
      <c r="J620" s="1514" t="s">
        <v>948</v>
      </c>
    </row>
    <row r="621" spans="1:10" ht="12.75">
      <c r="A621" s="819"/>
      <c r="B621" s="594" t="s">
        <v>89</v>
      </c>
      <c r="C621" s="598"/>
      <c r="D621" s="598"/>
      <c r="E621" s="598"/>
      <c r="F621" s="598"/>
      <c r="G621" s="598"/>
      <c r="H621" s="598"/>
      <c r="I621" s="548"/>
      <c r="J621" s="1584"/>
    </row>
    <row r="622" spans="1:10">
      <c r="A622" s="838"/>
      <c r="B622" s="594" t="s">
        <v>228</v>
      </c>
      <c r="C622" s="544"/>
      <c r="D622" s="544"/>
      <c r="E622" s="544"/>
      <c r="F622" s="544"/>
      <c r="G622" s="544"/>
      <c r="H622" s="544"/>
      <c r="I622" s="548"/>
      <c r="J622" s="1528"/>
    </row>
    <row r="623" spans="1:10">
      <c r="A623" s="838"/>
      <c r="B623" s="594" t="s">
        <v>89</v>
      </c>
      <c r="C623" s="544"/>
      <c r="D623" s="544"/>
      <c r="E623" s="544"/>
      <c r="F623" s="544"/>
      <c r="G623" s="544"/>
      <c r="H623" s="544"/>
      <c r="I623" s="548"/>
      <c r="J623" s="1532"/>
    </row>
    <row r="624" spans="1:10" ht="12.75" thickBot="1">
      <c r="A624" s="838"/>
      <c r="B624" s="566" t="s">
        <v>59</v>
      </c>
      <c r="C624" s="601"/>
      <c r="D624" s="601"/>
      <c r="E624" s="601"/>
      <c r="F624" s="601"/>
      <c r="G624" s="601"/>
      <c r="H624" s="601"/>
      <c r="I624" s="578"/>
      <c r="J624" s="826"/>
    </row>
    <row r="625" spans="1:10" ht="12.75" thickBot="1">
      <c r="A625" s="898"/>
      <c r="B625" s="576" t="s">
        <v>97</v>
      </c>
      <c r="C625" s="596">
        <f t="shared" ref="C625:D625" si="165">SUM(C618:C624)</f>
        <v>13000</v>
      </c>
      <c r="D625" s="596">
        <f t="shared" si="165"/>
        <v>24715</v>
      </c>
      <c r="E625" s="596">
        <f t="shared" ref="E625:F625" si="166">SUM(E618:E624)</f>
        <v>24715</v>
      </c>
      <c r="F625" s="596">
        <f t="shared" si="166"/>
        <v>24715</v>
      </c>
      <c r="G625" s="596">
        <f t="shared" ref="G625:H625" si="167">SUM(G618:G624)</f>
        <v>24715</v>
      </c>
      <c r="H625" s="596">
        <f t="shared" si="167"/>
        <v>11715</v>
      </c>
      <c r="I625" s="553">
        <f>H625/G625</f>
        <v>0.47400364151325108</v>
      </c>
      <c r="J625" s="475"/>
    </row>
    <row r="626" spans="1:10">
      <c r="A626" s="838">
        <v>3344</v>
      </c>
      <c r="B626" s="659" t="s">
        <v>214</v>
      </c>
      <c r="C626" s="544"/>
      <c r="D626" s="544"/>
      <c r="E626" s="544"/>
      <c r="F626" s="544"/>
      <c r="G626" s="544"/>
      <c r="H626" s="544"/>
      <c r="I626" s="560"/>
      <c r="J626" s="1528"/>
    </row>
    <row r="627" spans="1:10" ht="12" customHeight="1">
      <c r="A627" s="838"/>
      <c r="B627" s="660" t="s">
        <v>84</v>
      </c>
      <c r="C627" s="544"/>
      <c r="D627" s="544"/>
      <c r="E627" s="544"/>
      <c r="F627" s="544"/>
      <c r="G627" s="544"/>
      <c r="H627" s="544"/>
      <c r="I627" s="560"/>
      <c r="J627" s="1528"/>
    </row>
    <row r="628" spans="1:10" ht="12" customHeight="1">
      <c r="A628" s="838"/>
      <c r="B628" s="592" t="s">
        <v>231</v>
      </c>
      <c r="C628" s="544"/>
      <c r="D628" s="544"/>
      <c r="E628" s="544"/>
      <c r="F628" s="544"/>
      <c r="G628" s="544"/>
      <c r="H628" s="544"/>
      <c r="I628" s="560"/>
      <c r="J628" s="1514" t="s">
        <v>948</v>
      </c>
    </row>
    <row r="629" spans="1:10" ht="12" customHeight="1">
      <c r="A629" s="838"/>
      <c r="B629" s="660" t="s">
        <v>222</v>
      </c>
      <c r="C629" s="598">
        <v>1540</v>
      </c>
      <c r="D629" s="598">
        <f>1540+1027</f>
        <v>2567</v>
      </c>
      <c r="E629" s="598">
        <f>1540+1027</f>
        <v>2567</v>
      </c>
      <c r="F629" s="598">
        <f>1540+1027</f>
        <v>2567</v>
      </c>
      <c r="G629" s="598">
        <f>1540+1027</f>
        <v>2567</v>
      </c>
      <c r="H629" s="598">
        <v>0</v>
      </c>
      <c r="I629" s="562">
        <f>H629/G629</f>
        <v>0</v>
      </c>
      <c r="J629" s="1572"/>
    </row>
    <row r="630" spans="1:10" ht="12" customHeight="1">
      <c r="A630" s="838"/>
      <c r="B630" s="592" t="s">
        <v>89</v>
      </c>
      <c r="C630" s="598"/>
      <c r="D630" s="598"/>
      <c r="E630" s="598"/>
      <c r="F630" s="598"/>
      <c r="G630" s="598"/>
      <c r="H630" s="598"/>
      <c r="I630" s="548"/>
      <c r="J630" s="1584"/>
    </row>
    <row r="631" spans="1:10" ht="12" customHeight="1">
      <c r="A631" s="838"/>
      <c r="B631" s="594" t="s">
        <v>228</v>
      </c>
      <c r="C631" s="544"/>
      <c r="D631" s="544"/>
      <c r="E631" s="544"/>
      <c r="F631" s="544"/>
      <c r="G631" s="544"/>
      <c r="H631" s="544"/>
      <c r="I631" s="548"/>
      <c r="J631" s="1528"/>
    </row>
    <row r="632" spans="1:10" ht="12" customHeight="1" thickBot="1">
      <c r="A632" s="838"/>
      <c r="B632" s="566" t="s">
        <v>59</v>
      </c>
      <c r="C632" s="601"/>
      <c r="D632" s="601"/>
      <c r="E632" s="601"/>
      <c r="F632" s="601"/>
      <c r="G632" s="601"/>
      <c r="H632" s="601"/>
      <c r="I632" s="578"/>
      <c r="J632" s="1552"/>
    </row>
    <row r="633" spans="1:10" ht="12" customHeight="1" thickBot="1">
      <c r="A633" s="1498"/>
      <c r="B633" s="576" t="s">
        <v>97</v>
      </c>
      <c r="C633" s="601">
        <f t="shared" ref="C633:D633" si="168">SUM(C627:C632)</f>
        <v>1540</v>
      </c>
      <c r="D633" s="601">
        <f t="shared" si="168"/>
        <v>2567</v>
      </c>
      <c r="E633" s="601">
        <f t="shared" ref="E633:F633" si="169">SUM(E627:E632)</f>
        <v>2567</v>
      </c>
      <c r="F633" s="601">
        <f t="shared" si="169"/>
        <v>2567</v>
      </c>
      <c r="G633" s="601">
        <f t="shared" ref="G633:H633" si="170">SUM(G627:G632)</f>
        <v>2567</v>
      </c>
      <c r="H633" s="601">
        <f t="shared" si="170"/>
        <v>0</v>
      </c>
      <c r="I633" s="553">
        <f>H633/G633</f>
        <v>0</v>
      </c>
      <c r="J633" s="826"/>
    </row>
    <row r="634" spans="1:10" ht="12" customHeight="1">
      <c r="A634" s="838">
        <v>3345</v>
      </c>
      <c r="B634" s="604" t="s">
        <v>114</v>
      </c>
      <c r="C634" s="544"/>
      <c r="D634" s="544"/>
      <c r="E634" s="544"/>
      <c r="F634" s="544"/>
      <c r="G634" s="544"/>
      <c r="H634" s="544"/>
      <c r="I634" s="560"/>
      <c r="J634" s="1534"/>
    </row>
    <row r="635" spans="1:10" ht="12" customHeight="1">
      <c r="A635" s="838"/>
      <c r="B635" s="590" t="s">
        <v>84</v>
      </c>
      <c r="C635" s="544"/>
      <c r="D635" s="544"/>
      <c r="E635" s="544"/>
      <c r="F635" s="544"/>
      <c r="G635" s="544"/>
      <c r="H635" s="544"/>
      <c r="I635" s="560"/>
      <c r="J635" s="1535"/>
    </row>
    <row r="636" spans="1:10" ht="12" customHeight="1">
      <c r="A636" s="838"/>
      <c r="B636" s="592" t="s">
        <v>231</v>
      </c>
      <c r="C636" s="544"/>
      <c r="D636" s="544"/>
      <c r="E636" s="544"/>
      <c r="F636" s="544"/>
      <c r="G636" s="544"/>
      <c r="H636" s="544"/>
      <c r="I636" s="545"/>
      <c r="J636" s="1535"/>
    </row>
    <row r="637" spans="1:10" ht="12" customHeight="1">
      <c r="A637" s="838"/>
      <c r="B637" s="593" t="s">
        <v>222</v>
      </c>
      <c r="C637" s="598">
        <v>300</v>
      </c>
      <c r="D637" s="598">
        <v>300</v>
      </c>
      <c r="E637" s="598">
        <v>300</v>
      </c>
      <c r="F637" s="598">
        <v>300</v>
      </c>
      <c r="G637" s="598">
        <v>300</v>
      </c>
      <c r="H637" s="598">
        <v>300</v>
      </c>
      <c r="I637" s="562">
        <f>H637/G637</f>
        <v>1</v>
      </c>
      <c r="J637" s="1514" t="s">
        <v>948</v>
      </c>
    </row>
    <row r="638" spans="1:10" ht="12" customHeight="1">
      <c r="A638" s="838"/>
      <c r="B638" s="594" t="s">
        <v>89</v>
      </c>
      <c r="C638" s="598"/>
      <c r="D638" s="598"/>
      <c r="E638" s="598"/>
      <c r="F638" s="598"/>
      <c r="G638" s="598"/>
      <c r="H638" s="598"/>
      <c r="I638" s="548"/>
      <c r="J638" s="1578"/>
    </row>
    <row r="639" spans="1:10" ht="12" customHeight="1">
      <c r="A639" s="838"/>
      <c r="B639" s="594" t="s">
        <v>228</v>
      </c>
      <c r="C639" s="544"/>
      <c r="D639" s="544"/>
      <c r="E639" s="544"/>
      <c r="F639" s="544"/>
      <c r="G639" s="544"/>
      <c r="H639" s="544"/>
      <c r="I639" s="548"/>
      <c r="J639" s="1535"/>
    </row>
    <row r="640" spans="1:10" ht="12" customHeight="1" thickBot="1">
      <c r="A640" s="838"/>
      <c r="B640" s="566" t="s">
        <v>59</v>
      </c>
      <c r="C640" s="601"/>
      <c r="D640" s="601"/>
      <c r="E640" s="601"/>
      <c r="F640" s="601"/>
      <c r="G640" s="601"/>
      <c r="H640" s="601"/>
      <c r="I640" s="578"/>
      <c r="J640" s="826"/>
    </row>
    <row r="641" spans="1:10" ht="13.5" customHeight="1" thickBot="1">
      <c r="A641" s="1498"/>
      <c r="B641" s="576" t="s">
        <v>97</v>
      </c>
      <c r="C641" s="601">
        <f t="shared" ref="C641:D641" si="171">SUM(C637:C640)</f>
        <v>300</v>
      </c>
      <c r="D641" s="601">
        <f t="shared" si="171"/>
        <v>300</v>
      </c>
      <c r="E641" s="601">
        <f t="shared" ref="E641:F641" si="172">SUM(E637:E640)</f>
        <v>300</v>
      </c>
      <c r="F641" s="601">
        <f t="shared" si="172"/>
        <v>300</v>
      </c>
      <c r="G641" s="601">
        <f t="shared" ref="G641:H641" si="173">SUM(G637:G640)</f>
        <v>300</v>
      </c>
      <c r="H641" s="601">
        <f t="shared" si="173"/>
        <v>300</v>
      </c>
      <c r="I641" s="553">
        <f>H641/G641</f>
        <v>1</v>
      </c>
      <c r="J641" s="475"/>
    </row>
    <row r="642" spans="1:10" ht="12" customHeight="1">
      <c r="A642" s="838">
        <v>3346</v>
      </c>
      <c r="B642" s="589" t="s">
        <v>86</v>
      </c>
      <c r="C642" s="544"/>
      <c r="D642" s="544"/>
      <c r="E642" s="544"/>
      <c r="F642" s="544"/>
      <c r="G642" s="544"/>
      <c r="H642" s="544"/>
      <c r="I642" s="560"/>
      <c r="J642" s="1528"/>
    </row>
    <row r="643" spans="1:10" ht="12" customHeight="1">
      <c r="A643" s="840"/>
      <c r="B643" s="590" t="s">
        <v>84</v>
      </c>
      <c r="C643" s="544"/>
      <c r="D643" s="544"/>
      <c r="E643" s="544"/>
      <c r="F643" s="544"/>
      <c r="G643" s="544"/>
      <c r="H643" s="544"/>
      <c r="I643" s="545"/>
      <c r="J643" s="1528"/>
    </row>
    <row r="644" spans="1:10" ht="12" customHeight="1">
      <c r="A644" s="840"/>
      <c r="B644" s="592" t="s">
        <v>231</v>
      </c>
      <c r="C644" s="544"/>
      <c r="D644" s="544"/>
      <c r="E644" s="544"/>
      <c r="F644" s="544"/>
      <c r="G644" s="544"/>
      <c r="H644" s="544"/>
      <c r="I644" s="548"/>
      <c r="J644" s="1528"/>
    </row>
    <row r="645" spans="1:10" ht="12" customHeight="1">
      <c r="A645" s="840"/>
      <c r="B645" s="593" t="s">
        <v>222</v>
      </c>
      <c r="C645" s="598">
        <v>4633</v>
      </c>
      <c r="D645" s="598">
        <f>4633+969</f>
        <v>5602</v>
      </c>
      <c r="E645" s="598">
        <f>5602+1500</f>
        <v>7102</v>
      </c>
      <c r="F645" s="598">
        <f>5602+1500</f>
        <v>7102</v>
      </c>
      <c r="G645" s="598">
        <f>5602+1500</f>
        <v>7102</v>
      </c>
      <c r="H645" s="598">
        <v>2839</v>
      </c>
      <c r="I645" s="562">
        <f>H645/G645</f>
        <v>0.39974655026753025</v>
      </c>
      <c r="J645" s="1514" t="s">
        <v>948</v>
      </c>
    </row>
    <row r="646" spans="1:10" ht="12" customHeight="1">
      <c r="A646" s="840"/>
      <c r="B646" s="594" t="s">
        <v>89</v>
      </c>
      <c r="C646" s="598"/>
      <c r="D646" s="598"/>
      <c r="E646" s="598"/>
      <c r="F646" s="598"/>
      <c r="G646" s="598"/>
      <c r="H646" s="598"/>
      <c r="I646" s="548"/>
      <c r="J646" s="1584"/>
    </row>
    <row r="647" spans="1:10" ht="12" customHeight="1">
      <c r="A647" s="840"/>
      <c r="B647" s="594" t="s">
        <v>228</v>
      </c>
      <c r="C647" s="544"/>
      <c r="D647" s="544"/>
      <c r="E647" s="544"/>
      <c r="F647" s="544"/>
      <c r="G647" s="544"/>
      <c r="H647" s="544"/>
      <c r="I647" s="548"/>
      <c r="J647" s="1528"/>
    </row>
    <row r="648" spans="1:10" ht="12" customHeight="1" thickBot="1">
      <c r="A648" s="840"/>
      <c r="B648" s="566" t="s">
        <v>59</v>
      </c>
      <c r="C648" s="601"/>
      <c r="D648" s="601"/>
      <c r="E648" s="601"/>
      <c r="F648" s="601"/>
      <c r="G648" s="601"/>
      <c r="H648" s="601"/>
      <c r="I648" s="578"/>
      <c r="J648" s="826"/>
    </row>
    <row r="649" spans="1:10" ht="12" customHeight="1" thickBot="1">
      <c r="A649" s="1498"/>
      <c r="B649" s="576" t="s">
        <v>97</v>
      </c>
      <c r="C649" s="596">
        <f t="shared" ref="C649:D649" si="174">SUM(C645:C648)</f>
        <v>4633</v>
      </c>
      <c r="D649" s="596">
        <f t="shared" si="174"/>
        <v>5602</v>
      </c>
      <c r="E649" s="596">
        <f t="shared" ref="E649:F649" si="175">SUM(E645:E648)</f>
        <v>7102</v>
      </c>
      <c r="F649" s="596">
        <f t="shared" si="175"/>
        <v>7102</v>
      </c>
      <c r="G649" s="596">
        <f t="shared" ref="G649:H649" si="176">SUM(G645:G648)</f>
        <v>7102</v>
      </c>
      <c r="H649" s="596">
        <f t="shared" si="176"/>
        <v>2839</v>
      </c>
      <c r="I649" s="553">
        <f>H649/G649</f>
        <v>0.39974655026753025</v>
      </c>
      <c r="J649" s="475"/>
    </row>
    <row r="650" spans="1:10" ht="12" customHeight="1">
      <c r="A650" s="838">
        <v>3347</v>
      </c>
      <c r="B650" s="589" t="s">
        <v>87</v>
      </c>
      <c r="C650" s="544"/>
      <c r="D650" s="544"/>
      <c r="E650" s="544"/>
      <c r="F650" s="544"/>
      <c r="G650" s="544"/>
      <c r="H650" s="544"/>
      <c r="I650" s="560"/>
      <c r="J650" s="1528"/>
    </row>
    <row r="651" spans="1:10" ht="12" customHeight="1">
      <c r="A651" s="840"/>
      <c r="B651" s="590" t="s">
        <v>84</v>
      </c>
      <c r="C651" s="544"/>
      <c r="D651" s="544"/>
      <c r="E651" s="544"/>
      <c r="F651" s="544"/>
      <c r="G651" s="544"/>
      <c r="H651" s="544"/>
      <c r="I651" s="560"/>
      <c r="J651" s="1528"/>
    </row>
    <row r="652" spans="1:10" ht="12" customHeight="1">
      <c r="A652" s="840"/>
      <c r="B652" s="592" t="s">
        <v>231</v>
      </c>
      <c r="C652" s="544"/>
      <c r="D652" s="544"/>
      <c r="E652" s="544"/>
      <c r="F652" s="544"/>
      <c r="G652" s="544"/>
      <c r="H652" s="544"/>
      <c r="I652" s="545"/>
      <c r="J652" s="1528"/>
    </row>
    <row r="653" spans="1:10" ht="12" customHeight="1">
      <c r="A653" s="840"/>
      <c r="B653" s="593" t="s">
        <v>222</v>
      </c>
      <c r="C653" s="598">
        <v>2756</v>
      </c>
      <c r="D653" s="598">
        <f>2756+2000</f>
        <v>4756</v>
      </c>
      <c r="E653" s="598">
        <f>2756+2000</f>
        <v>4756</v>
      </c>
      <c r="F653" s="598">
        <f>2756+2000</f>
        <v>4756</v>
      </c>
      <c r="G653" s="598">
        <f>2756+2000</f>
        <v>4756</v>
      </c>
      <c r="H653" s="598">
        <v>2756</v>
      </c>
      <c r="I653" s="562">
        <f>H653/G653</f>
        <v>0.57947855340622367</v>
      </c>
      <c r="J653" s="1514" t="s">
        <v>948</v>
      </c>
    </row>
    <row r="654" spans="1:10" ht="12" customHeight="1">
      <c r="A654" s="840"/>
      <c r="B654" s="594" t="s">
        <v>89</v>
      </c>
      <c r="C654" s="598"/>
      <c r="D654" s="598"/>
      <c r="E654" s="598"/>
      <c r="F654" s="598"/>
      <c r="G654" s="598"/>
      <c r="H654" s="598"/>
      <c r="I654" s="548"/>
      <c r="J654" s="1584"/>
    </row>
    <row r="655" spans="1:10" ht="12" customHeight="1">
      <c r="A655" s="840"/>
      <c r="B655" s="594" t="s">
        <v>228</v>
      </c>
      <c r="C655" s="544"/>
      <c r="D655" s="544"/>
      <c r="E655" s="544"/>
      <c r="F655" s="544"/>
      <c r="G655" s="544"/>
      <c r="H655" s="544"/>
      <c r="I655" s="548"/>
      <c r="J655" s="1528"/>
    </row>
    <row r="656" spans="1:10" ht="12" customHeight="1" thickBot="1">
      <c r="A656" s="840"/>
      <c r="B656" s="566" t="s">
        <v>59</v>
      </c>
      <c r="C656" s="550"/>
      <c r="D656" s="550"/>
      <c r="E656" s="550"/>
      <c r="F656" s="550"/>
      <c r="G656" s="550"/>
      <c r="H656" s="550"/>
      <c r="I656" s="578"/>
      <c r="J656" s="826"/>
    </row>
    <row r="657" spans="1:10" ht="12" customHeight="1" thickBot="1">
      <c r="A657" s="1498"/>
      <c r="B657" s="576" t="s">
        <v>97</v>
      </c>
      <c r="C657" s="596">
        <f t="shared" ref="C657:D657" si="177">SUM(C653:C656)</f>
        <v>2756</v>
      </c>
      <c r="D657" s="596">
        <f t="shared" si="177"/>
        <v>4756</v>
      </c>
      <c r="E657" s="596">
        <f t="shared" ref="E657:F657" si="178">SUM(E653:E656)</f>
        <v>4756</v>
      </c>
      <c r="F657" s="596">
        <f t="shared" si="178"/>
        <v>4756</v>
      </c>
      <c r="G657" s="596">
        <f t="shared" ref="G657:H657" si="179">SUM(G653:G656)</f>
        <v>4756</v>
      </c>
      <c r="H657" s="596">
        <f t="shared" si="179"/>
        <v>2756</v>
      </c>
      <c r="I657" s="553">
        <f>H657/G657</f>
        <v>0.57947855340622367</v>
      </c>
      <c r="J657" s="475"/>
    </row>
    <row r="658" spans="1:10" ht="12" customHeight="1">
      <c r="A658" s="838">
        <v>3348</v>
      </c>
      <c r="B658" s="589" t="s">
        <v>127</v>
      </c>
      <c r="C658" s="544"/>
      <c r="D658" s="544"/>
      <c r="E658" s="544"/>
      <c r="F658" s="544"/>
      <c r="G658" s="544"/>
      <c r="H658" s="544"/>
      <c r="I658" s="560"/>
      <c r="J658" s="1528"/>
    </row>
    <row r="659" spans="1:10" ht="12" customHeight="1">
      <c r="A659" s="840"/>
      <c r="B659" s="590" t="s">
        <v>84</v>
      </c>
      <c r="C659" s="544"/>
      <c r="D659" s="544"/>
      <c r="E659" s="544"/>
      <c r="F659" s="544"/>
      <c r="G659" s="544"/>
      <c r="H659" s="544"/>
      <c r="I659" s="560"/>
      <c r="J659" s="1528"/>
    </row>
    <row r="660" spans="1:10" ht="12" customHeight="1">
      <c r="A660" s="840"/>
      <c r="B660" s="592" t="s">
        <v>231</v>
      </c>
      <c r="C660" s="544"/>
      <c r="D660" s="544"/>
      <c r="E660" s="544"/>
      <c r="F660" s="544"/>
      <c r="G660" s="544"/>
      <c r="H660" s="544"/>
      <c r="I660" s="545"/>
      <c r="J660" s="1528"/>
    </row>
    <row r="661" spans="1:10" ht="12" customHeight="1">
      <c r="A661" s="840"/>
      <c r="B661" s="593" t="s">
        <v>222</v>
      </c>
      <c r="C661" s="598">
        <v>400</v>
      </c>
      <c r="D661" s="598">
        <f>400+2600</f>
        <v>3000</v>
      </c>
      <c r="E661" s="598">
        <f>400+2600</f>
        <v>3000</v>
      </c>
      <c r="F661" s="598">
        <f>400+2600</f>
        <v>3000</v>
      </c>
      <c r="G661" s="598">
        <f>400+2600</f>
        <v>3000</v>
      </c>
      <c r="H661" s="598">
        <v>3000</v>
      </c>
      <c r="I661" s="562">
        <f>H661/G661</f>
        <v>1</v>
      </c>
      <c r="J661" s="1514" t="s">
        <v>948</v>
      </c>
    </row>
    <row r="662" spans="1:10" ht="12" customHeight="1">
      <c r="A662" s="840"/>
      <c r="B662" s="594" t="s">
        <v>89</v>
      </c>
      <c r="C662" s="598"/>
      <c r="D662" s="598"/>
      <c r="E662" s="598"/>
      <c r="F662" s="598"/>
      <c r="G662" s="598"/>
      <c r="H662" s="598"/>
      <c r="I662" s="548"/>
      <c r="J662" s="1584"/>
    </row>
    <row r="663" spans="1:10" ht="12" customHeight="1">
      <c r="A663" s="840"/>
      <c r="B663" s="594" t="s">
        <v>228</v>
      </c>
      <c r="C663" s="544"/>
      <c r="D663" s="544"/>
      <c r="E663" s="544"/>
      <c r="F663" s="544"/>
      <c r="G663" s="544"/>
      <c r="H663" s="544"/>
      <c r="I663" s="548"/>
      <c r="J663" s="1528"/>
    </row>
    <row r="664" spans="1:10" ht="12" customHeight="1" thickBot="1">
      <c r="A664" s="840"/>
      <c r="B664" s="566" t="s">
        <v>59</v>
      </c>
      <c r="C664" s="601"/>
      <c r="D664" s="601"/>
      <c r="E664" s="601"/>
      <c r="F664" s="601"/>
      <c r="G664" s="601"/>
      <c r="H664" s="601"/>
      <c r="I664" s="578"/>
      <c r="J664" s="826"/>
    </row>
    <row r="665" spans="1:10" ht="12" customHeight="1" thickBot="1">
      <c r="A665" s="1498"/>
      <c r="B665" s="576" t="s">
        <v>97</v>
      </c>
      <c r="C665" s="596">
        <f t="shared" ref="C665:D665" si="180">SUM(C661:C664)</f>
        <v>400</v>
      </c>
      <c r="D665" s="596">
        <f t="shared" si="180"/>
        <v>3000</v>
      </c>
      <c r="E665" s="596">
        <f t="shared" ref="E665:F665" si="181">SUM(E661:E664)</f>
        <v>3000</v>
      </c>
      <c r="F665" s="596">
        <f t="shared" si="181"/>
        <v>3000</v>
      </c>
      <c r="G665" s="596">
        <f t="shared" ref="G665:H665" si="182">SUM(G661:G664)</f>
        <v>3000</v>
      </c>
      <c r="H665" s="596">
        <f t="shared" si="182"/>
        <v>3000</v>
      </c>
      <c r="I665" s="553">
        <f>H665/G665</f>
        <v>1</v>
      </c>
      <c r="J665" s="475"/>
    </row>
    <row r="666" spans="1:10" ht="12" customHeight="1">
      <c r="A666" s="838">
        <v>3349</v>
      </c>
      <c r="B666" s="589" t="s">
        <v>287</v>
      </c>
      <c r="C666" s="544"/>
      <c r="D666" s="544"/>
      <c r="E666" s="544"/>
      <c r="F666" s="544"/>
      <c r="G666" s="544"/>
      <c r="H666" s="544"/>
      <c r="I666" s="560"/>
      <c r="J666" s="1528"/>
    </row>
    <row r="667" spans="1:10" ht="12" customHeight="1">
      <c r="A667" s="840"/>
      <c r="B667" s="590" t="s">
        <v>84</v>
      </c>
      <c r="C667" s="544"/>
      <c r="D667" s="544"/>
      <c r="E667" s="544"/>
      <c r="F667" s="544"/>
      <c r="G667" s="544"/>
      <c r="H667" s="544"/>
      <c r="I667" s="545"/>
      <c r="J667" s="1528"/>
    </row>
    <row r="668" spans="1:10" ht="12" customHeight="1">
      <c r="A668" s="840"/>
      <c r="B668" s="592" t="s">
        <v>231</v>
      </c>
      <c r="C668" s="544"/>
      <c r="D668" s="544"/>
      <c r="E668" s="544"/>
      <c r="F668" s="544"/>
      <c r="G668" s="544"/>
      <c r="H668" s="544"/>
      <c r="I668" s="548"/>
      <c r="J668" s="1528"/>
    </row>
    <row r="669" spans="1:10" ht="12" customHeight="1">
      <c r="A669" s="840"/>
      <c r="B669" s="593" t="s">
        <v>222</v>
      </c>
      <c r="C669" s="598">
        <v>5760</v>
      </c>
      <c r="D669" s="598">
        <v>5760</v>
      </c>
      <c r="E669" s="598">
        <v>5760</v>
      </c>
      <c r="F669" s="598">
        <v>5760</v>
      </c>
      <c r="G669" s="598">
        <v>5760</v>
      </c>
      <c r="H669" s="598">
        <v>5760</v>
      </c>
      <c r="I669" s="562">
        <f>H669/G669</f>
        <v>1</v>
      </c>
      <c r="J669" s="1514" t="s">
        <v>948</v>
      </c>
    </row>
    <row r="670" spans="1:10" ht="12" customHeight="1">
      <c r="A670" s="840"/>
      <c r="B670" s="594" t="s">
        <v>89</v>
      </c>
      <c r="C670" s="598"/>
      <c r="D670" s="598"/>
      <c r="E670" s="598"/>
      <c r="F670" s="598"/>
      <c r="G670" s="598"/>
      <c r="H670" s="598"/>
      <c r="I670" s="548"/>
      <c r="J670" s="1584"/>
    </row>
    <row r="671" spans="1:10" ht="12" customHeight="1">
      <c r="A671" s="840"/>
      <c r="B671" s="594" t="s">
        <v>228</v>
      </c>
      <c r="C671" s="544"/>
      <c r="D671" s="544"/>
      <c r="E671" s="544"/>
      <c r="F671" s="544"/>
      <c r="G671" s="544"/>
      <c r="H671" s="544"/>
      <c r="I671" s="548"/>
      <c r="J671" s="1528"/>
    </row>
    <row r="672" spans="1:10" ht="12" customHeight="1" thickBot="1">
      <c r="A672" s="840"/>
      <c r="B672" s="566" t="s">
        <v>59</v>
      </c>
      <c r="C672" s="601"/>
      <c r="D672" s="601"/>
      <c r="E672" s="601"/>
      <c r="F672" s="601"/>
      <c r="G672" s="601"/>
      <c r="H672" s="601"/>
      <c r="I672" s="578"/>
      <c r="J672" s="826"/>
    </row>
    <row r="673" spans="1:10" ht="12" customHeight="1" thickBot="1">
      <c r="A673" s="1498"/>
      <c r="B673" s="576" t="s">
        <v>97</v>
      </c>
      <c r="C673" s="596">
        <f t="shared" ref="C673:D673" si="183">SUM(C669:C672)</f>
        <v>5760</v>
      </c>
      <c r="D673" s="596">
        <f t="shared" si="183"/>
        <v>5760</v>
      </c>
      <c r="E673" s="596">
        <f t="shared" ref="E673:F673" si="184">SUM(E669:E672)</f>
        <v>5760</v>
      </c>
      <c r="F673" s="596">
        <f t="shared" si="184"/>
        <v>5760</v>
      </c>
      <c r="G673" s="596">
        <f t="shared" ref="G673:H673" si="185">SUM(G669:G672)</f>
        <v>5760</v>
      </c>
      <c r="H673" s="596">
        <f t="shared" si="185"/>
        <v>5760</v>
      </c>
      <c r="I673" s="553">
        <f>H673/G673</f>
        <v>1</v>
      </c>
      <c r="J673" s="475"/>
    </row>
    <row r="674" spans="1:10" ht="12" customHeight="1">
      <c r="A674" s="838">
        <v>3350</v>
      </c>
      <c r="B674" s="589" t="s">
        <v>395</v>
      </c>
      <c r="C674" s="544"/>
      <c r="D674" s="544"/>
      <c r="E674" s="544"/>
      <c r="F674" s="544"/>
      <c r="G674" s="544"/>
      <c r="H674" s="544"/>
      <c r="I674" s="560"/>
      <c r="J674" s="1528"/>
    </row>
    <row r="675" spans="1:10" ht="12" customHeight="1">
      <c r="A675" s="840"/>
      <c r="B675" s="590" t="s">
        <v>84</v>
      </c>
      <c r="C675" s="544"/>
      <c r="D675" s="544"/>
      <c r="E675" s="544"/>
      <c r="F675" s="544"/>
      <c r="G675" s="544"/>
      <c r="H675" s="544"/>
      <c r="I675" s="545"/>
      <c r="J675" s="1528"/>
    </row>
    <row r="676" spans="1:10" ht="12" customHeight="1">
      <c r="A676" s="840"/>
      <c r="B676" s="592" t="s">
        <v>231</v>
      </c>
      <c r="C676" s="544"/>
      <c r="D676" s="544"/>
      <c r="E676" s="544"/>
      <c r="F676" s="544"/>
      <c r="G676" s="544"/>
      <c r="H676" s="544"/>
      <c r="I676" s="548"/>
      <c r="J676" s="1528"/>
    </row>
    <row r="677" spans="1:10" ht="12" customHeight="1">
      <c r="A677" s="840"/>
      <c r="B677" s="593" t="s">
        <v>222</v>
      </c>
      <c r="C677" s="598">
        <v>8000</v>
      </c>
      <c r="D677" s="598">
        <f>8000+3071</f>
        <v>11071</v>
      </c>
      <c r="E677" s="598">
        <f>8000+3071</f>
        <v>11071</v>
      </c>
      <c r="F677" s="598">
        <f>8000+3071</f>
        <v>11071</v>
      </c>
      <c r="G677" s="598">
        <f>8000+3071</f>
        <v>11071</v>
      </c>
      <c r="H677" s="598">
        <v>10678</v>
      </c>
      <c r="I677" s="562">
        <f>H677/G677</f>
        <v>0.96450185168458136</v>
      </c>
      <c r="J677" s="1514" t="s">
        <v>948</v>
      </c>
    </row>
    <row r="678" spans="1:10" ht="12" customHeight="1">
      <c r="A678" s="840"/>
      <c r="B678" s="594" t="s">
        <v>89</v>
      </c>
      <c r="C678" s="598"/>
      <c r="D678" s="598"/>
      <c r="E678" s="598"/>
      <c r="F678" s="598"/>
      <c r="G678" s="598"/>
      <c r="H678" s="598"/>
      <c r="I678" s="548"/>
      <c r="J678" s="1584"/>
    </row>
    <row r="679" spans="1:10" ht="12" customHeight="1">
      <c r="A679" s="840"/>
      <c r="B679" s="594" t="s">
        <v>228</v>
      </c>
      <c r="C679" s="544"/>
      <c r="D679" s="544"/>
      <c r="E679" s="544"/>
      <c r="F679" s="544"/>
      <c r="G679" s="544"/>
      <c r="H679" s="544"/>
      <c r="I679" s="548"/>
      <c r="J679" s="1528"/>
    </row>
    <row r="680" spans="1:10" ht="12" customHeight="1" thickBot="1">
      <c r="A680" s="840"/>
      <c r="B680" s="566" t="s">
        <v>59</v>
      </c>
      <c r="C680" s="601"/>
      <c r="D680" s="601"/>
      <c r="E680" s="601"/>
      <c r="F680" s="601"/>
      <c r="G680" s="601"/>
      <c r="H680" s="601"/>
      <c r="I680" s="578"/>
      <c r="J680" s="826"/>
    </row>
    <row r="681" spans="1:10" ht="12" customHeight="1" thickBot="1">
      <c r="A681" s="1498"/>
      <c r="B681" s="576" t="s">
        <v>97</v>
      </c>
      <c r="C681" s="596">
        <f t="shared" ref="C681:D681" si="186">SUM(C677:C680)</f>
        <v>8000</v>
      </c>
      <c r="D681" s="596">
        <f t="shared" si="186"/>
        <v>11071</v>
      </c>
      <c r="E681" s="596">
        <f t="shared" ref="E681:F681" si="187">SUM(E677:E680)</f>
        <v>11071</v>
      </c>
      <c r="F681" s="596">
        <f t="shared" si="187"/>
        <v>11071</v>
      </c>
      <c r="G681" s="596">
        <f t="shared" ref="G681:H681" si="188">SUM(G677:G680)</f>
        <v>11071</v>
      </c>
      <c r="H681" s="596">
        <f t="shared" si="188"/>
        <v>10678</v>
      </c>
      <c r="I681" s="553">
        <f>H681/G681</f>
        <v>0.96450185168458136</v>
      </c>
      <c r="J681" s="475"/>
    </row>
    <row r="682" spans="1:10">
      <c r="A682" s="838">
        <v>3352</v>
      </c>
      <c r="B682" s="589" t="s">
        <v>392</v>
      </c>
      <c r="C682" s="544"/>
      <c r="D682" s="544"/>
      <c r="E682" s="544"/>
      <c r="F682" s="544"/>
      <c r="G682" s="544"/>
      <c r="H682" s="544"/>
      <c r="I682" s="560"/>
      <c r="J682" s="1528"/>
    </row>
    <row r="683" spans="1:10">
      <c r="A683" s="840"/>
      <c r="B683" s="590" t="s">
        <v>84</v>
      </c>
      <c r="C683" s="591"/>
      <c r="D683" s="591"/>
      <c r="E683" s="591"/>
      <c r="F683" s="591"/>
      <c r="G683" s="591"/>
      <c r="H683" s="591"/>
      <c r="I683" s="560"/>
      <c r="J683" s="1528"/>
    </row>
    <row r="684" spans="1:10">
      <c r="A684" s="840"/>
      <c r="B684" s="592" t="s">
        <v>231</v>
      </c>
      <c r="C684" s="591"/>
      <c r="D684" s="591"/>
      <c r="E684" s="591"/>
      <c r="F684" s="591"/>
      <c r="G684" s="591"/>
      <c r="H684" s="591"/>
      <c r="I684" s="545"/>
      <c r="J684" s="1528"/>
    </row>
    <row r="685" spans="1:10">
      <c r="A685" s="840"/>
      <c r="B685" s="593" t="s">
        <v>222</v>
      </c>
      <c r="C685" s="598">
        <v>38000</v>
      </c>
      <c r="D685" s="598">
        <f>38000+4219</f>
        <v>42219</v>
      </c>
      <c r="E685" s="598">
        <f>38000+4219</f>
        <v>42219</v>
      </c>
      <c r="F685" s="598">
        <f>38000+4219</f>
        <v>42219</v>
      </c>
      <c r="G685" s="598">
        <f>38000+4219</f>
        <v>42219</v>
      </c>
      <c r="H685" s="598">
        <v>19561</v>
      </c>
      <c r="I685" s="562">
        <f>H685/G685</f>
        <v>0.46332220090480591</v>
      </c>
      <c r="J685" s="1514" t="s">
        <v>948</v>
      </c>
    </row>
    <row r="686" spans="1:10">
      <c r="A686" s="840"/>
      <c r="B686" s="594" t="s">
        <v>89</v>
      </c>
      <c r="C686" s="598"/>
      <c r="D686" s="598"/>
      <c r="E686" s="598"/>
      <c r="F686" s="598"/>
      <c r="G686" s="598"/>
      <c r="H686" s="598"/>
      <c r="I686" s="548"/>
      <c r="J686" s="1536"/>
    </row>
    <row r="687" spans="1:10">
      <c r="A687" s="840"/>
      <c r="B687" s="594" t="s">
        <v>228</v>
      </c>
      <c r="C687" s="598"/>
      <c r="D687" s="598"/>
      <c r="E687" s="598"/>
      <c r="F687" s="598"/>
      <c r="G687" s="598"/>
      <c r="H687" s="598"/>
      <c r="I687" s="548"/>
      <c r="J687" s="1528"/>
    </row>
    <row r="688" spans="1:10">
      <c r="A688" s="840"/>
      <c r="B688" s="594" t="s">
        <v>89</v>
      </c>
      <c r="C688" s="591"/>
      <c r="D688" s="591"/>
      <c r="E688" s="591"/>
      <c r="F688" s="591"/>
      <c r="G688" s="591"/>
      <c r="H688" s="591"/>
      <c r="I688" s="548"/>
      <c r="J688" s="1532"/>
    </row>
    <row r="689" spans="1:10" ht="12.75" thickBot="1">
      <c r="A689" s="840"/>
      <c r="B689" s="566" t="s">
        <v>59</v>
      </c>
      <c r="C689" s="602"/>
      <c r="D689" s="602"/>
      <c r="E689" s="602"/>
      <c r="F689" s="602"/>
      <c r="G689" s="602"/>
      <c r="H689" s="602"/>
      <c r="I689" s="578"/>
      <c r="J689" s="826"/>
    </row>
    <row r="690" spans="1:10" ht="12.75" thickBot="1">
      <c r="A690" s="1498"/>
      <c r="B690" s="576" t="s">
        <v>97</v>
      </c>
      <c r="C690" s="601">
        <f t="shared" ref="C690:D690" si="189">SUM(C683:C689)</f>
        <v>38000</v>
      </c>
      <c r="D690" s="601">
        <f t="shared" si="189"/>
        <v>42219</v>
      </c>
      <c r="E690" s="601">
        <f t="shared" ref="E690:F690" si="190">SUM(E683:E689)</f>
        <v>42219</v>
      </c>
      <c r="F690" s="601">
        <f t="shared" si="190"/>
        <v>42219</v>
      </c>
      <c r="G690" s="601">
        <f t="shared" ref="G690:H690" si="191">SUM(G683:G689)</f>
        <v>42219</v>
      </c>
      <c r="H690" s="601">
        <f t="shared" si="191"/>
        <v>19561</v>
      </c>
      <c r="I690" s="553">
        <f>H690/G690</f>
        <v>0.46332220090480591</v>
      </c>
      <c r="J690" s="475"/>
    </row>
    <row r="691" spans="1:10">
      <c r="A691" s="838">
        <v>3353</v>
      </c>
      <c r="B691" s="589" t="s">
        <v>728</v>
      </c>
      <c r="C691" s="544"/>
      <c r="D691" s="544"/>
      <c r="E691" s="544"/>
      <c r="F691" s="544"/>
      <c r="G691" s="544"/>
      <c r="H691" s="544"/>
      <c r="I691" s="560"/>
      <c r="J691" s="1528"/>
    </row>
    <row r="692" spans="1:10">
      <c r="A692" s="840"/>
      <c r="B692" s="590" t="s">
        <v>84</v>
      </c>
      <c r="C692" s="591"/>
      <c r="D692" s="591"/>
      <c r="E692" s="591"/>
      <c r="F692" s="591"/>
      <c r="G692" s="591"/>
      <c r="H692" s="591"/>
      <c r="I692" s="560"/>
      <c r="J692" s="1528"/>
    </row>
    <row r="693" spans="1:10">
      <c r="A693" s="840"/>
      <c r="B693" s="592" t="s">
        <v>231</v>
      </c>
      <c r="C693" s="591"/>
      <c r="D693" s="591"/>
      <c r="E693" s="591"/>
      <c r="F693" s="591"/>
      <c r="G693" s="591"/>
      <c r="H693" s="591"/>
      <c r="I693" s="545"/>
      <c r="J693" s="1528"/>
    </row>
    <row r="694" spans="1:10">
      <c r="A694" s="840"/>
      <c r="B694" s="593" t="s">
        <v>222</v>
      </c>
      <c r="C694" s="598">
        <v>1500</v>
      </c>
      <c r="D694" s="598">
        <f>1500+452</f>
        <v>1952</v>
      </c>
      <c r="E694" s="598">
        <f>1500+452</f>
        <v>1952</v>
      </c>
      <c r="F694" s="598">
        <f>1500+452</f>
        <v>1952</v>
      </c>
      <c r="G694" s="598">
        <f>1500+452</f>
        <v>1952</v>
      </c>
      <c r="H694" s="598">
        <v>531</v>
      </c>
      <c r="I694" s="562">
        <f>H694/G694</f>
        <v>0.27202868852459017</v>
      </c>
      <c r="J694" s="1514" t="s">
        <v>948</v>
      </c>
    </row>
    <row r="695" spans="1:10">
      <c r="A695" s="840"/>
      <c r="B695" s="594" t="s">
        <v>89</v>
      </c>
      <c r="C695" s="598"/>
      <c r="D695" s="598"/>
      <c r="E695" s="598"/>
      <c r="F695" s="598"/>
      <c r="G695" s="598"/>
      <c r="H695" s="598"/>
      <c r="I695" s="548"/>
      <c r="J695" s="1536"/>
    </row>
    <row r="696" spans="1:10">
      <c r="A696" s="840"/>
      <c r="B696" s="594" t="s">
        <v>228</v>
      </c>
      <c r="C696" s="598"/>
      <c r="D696" s="598"/>
      <c r="E696" s="598"/>
      <c r="F696" s="598"/>
      <c r="G696" s="598"/>
      <c r="H696" s="598"/>
      <c r="I696" s="548"/>
      <c r="J696" s="1529"/>
    </row>
    <row r="697" spans="1:10">
      <c r="A697" s="840"/>
      <c r="B697" s="594" t="s">
        <v>89</v>
      </c>
      <c r="C697" s="591"/>
      <c r="D697" s="591"/>
      <c r="E697" s="591"/>
      <c r="F697" s="591"/>
      <c r="G697" s="591"/>
      <c r="H697" s="591"/>
      <c r="I697" s="548"/>
      <c r="J697" s="1532"/>
    </row>
    <row r="698" spans="1:10" ht="12.75" thickBot="1">
      <c r="A698" s="840"/>
      <c r="B698" s="566" t="s">
        <v>59</v>
      </c>
      <c r="C698" s="602"/>
      <c r="D698" s="602"/>
      <c r="E698" s="602"/>
      <c r="F698" s="602"/>
      <c r="G698" s="602"/>
      <c r="H698" s="602"/>
      <c r="I698" s="578"/>
      <c r="J698" s="826"/>
    </row>
    <row r="699" spans="1:10" ht="12.75" thickBot="1">
      <c r="A699" s="1498"/>
      <c r="B699" s="576" t="s">
        <v>97</v>
      </c>
      <c r="C699" s="601">
        <f t="shared" ref="C699:D699" si="192">SUM(C692:C698)</f>
        <v>1500</v>
      </c>
      <c r="D699" s="601">
        <f t="shared" si="192"/>
        <v>1952</v>
      </c>
      <c r="E699" s="601">
        <f t="shared" ref="E699:F699" si="193">SUM(E692:E698)</f>
        <v>1952</v>
      </c>
      <c r="F699" s="601">
        <f t="shared" si="193"/>
        <v>1952</v>
      </c>
      <c r="G699" s="601">
        <f t="shared" ref="G699:H699" si="194">SUM(G692:G698)</f>
        <v>1952</v>
      </c>
      <c r="H699" s="601">
        <f t="shared" si="194"/>
        <v>531</v>
      </c>
      <c r="I699" s="553">
        <f>H699/G699</f>
        <v>0.27202868852459017</v>
      </c>
      <c r="J699" s="475"/>
    </row>
    <row r="700" spans="1:10" ht="12" customHeight="1">
      <c r="A700" s="838">
        <v>3355</v>
      </c>
      <c r="B700" s="603" t="s">
        <v>956</v>
      </c>
      <c r="C700" s="544"/>
      <c r="D700" s="544"/>
      <c r="E700" s="544"/>
      <c r="F700" s="544"/>
      <c r="G700" s="544"/>
      <c r="H700" s="544"/>
      <c r="I700" s="560"/>
      <c r="J700" s="1528"/>
    </row>
    <row r="701" spans="1:10" ht="12" customHeight="1">
      <c r="A701" s="840"/>
      <c r="B701" s="621" t="s">
        <v>84</v>
      </c>
      <c r="C701" s="598">
        <v>2000</v>
      </c>
      <c r="D701" s="598">
        <v>2000</v>
      </c>
      <c r="E701" s="598">
        <v>2000</v>
      </c>
      <c r="F701" s="598">
        <f>2000-1700</f>
        <v>300</v>
      </c>
      <c r="G701" s="598">
        <f>2000-1700</f>
        <v>300</v>
      </c>
      <c r="H701" s="598">
        <v>272</v>
      </c>
      <c r="I701" s="562">
        <f>H701/G701</f>
        <v>0.90666666666666662</v>
      </c>
      <c r="J701" s="1528"/>
    </row>
    <row r="702" spans="1:10" ht="12" customHeight="1">
      <c r="A702" s="840"/>
      <c r="B702" s="622" t="s">
        <v>231</v>
      </c>
      <c r="C702" s="598">
        <v>1000</v>
      </c>
      <c r="D702" s="598">
        <f>1000+15</f>
        <v>1015</v>
      </c>
      <c r="E702" s="598">
        <f>1000+15</f>
        <v>1015</v>
      </c>
      <c r="F702" s="598">
        <f>1000+15-820</f>
        <v>195</v>
      </c>
      <c r="G702" s="598">
        <f>1000+15-820</f>
        <v>195</v>
      </c>
      <c r="H702" s="598">
        <v>130</v>
      </c>
      <c r="I702" s="562">
        <f>H702/G702</f>
        <v>0.66666666666666663</v>
      </c>
      <c r="J702" s="1514" t="s">
        <v>948</v>
      </c>
    </row>
    <row r="703" spans="1:10" ht="12" customHeight="1">
      <c r="A703" s="840"/>
      <c r="B703" s="597" t="s">
        <v>222</v>
      </c>
      <c r="C703" s="598">
        <v>14000</v>
      </c>
      <c r="D703" s="598">
        <f>14000+10065-500+3000</f>
        <v>26565</v>
      </c>
      <c r="E703" s="598">
        <f>14000+10065-500+3000</f>
        <v>26565</v>
      </c>
      <c r="F703" s="598">
        <f>14000+10065-500+3000-2030</f>
        <v>24535</v>
      </c>
      <c r="G703" s="598">
        <f>14000+10065-500+3000-2030</f>
        <v>24535</v>
      </c>
      <c r="H703" s="598">
        <v>14691</v>
      </c>
      <c r="I703" s="562">
        <f>H703/G703</f>
        <v>0.59877725697982476</v>
      </c>
      <c r="J703" s="1529"/>
    </row>
    <row r="704" spans="1:10" ht="12" customHeight="1">
      <c r="A704" s="840"/>
      <c r="B704" s="594" t="s">
        <v>89</v>
      </c>
      <c r="C704" s="598"/>
      <c r="D704" s="598"/>
      <c r="E704" s="598"/>
      <c r="F704" s="598"/>
      <c r="G704" s="598"/>
      <c r="H704" s="598"/>
      <c r="I704" s="562"/>
      <c r="J704" s="1528"/>
    </row>
    <row r="705" spans="1:10" ht="12" customHeight="1">
      <c r="A705" s="840"/>
      <c r="B705" s="623" t="s">
        <v>228</v>
      </c>
      <c r="C705" s="598"/>
      <c r="D705" s="598">
        <f>1250+500</f>
        <v>1750</v>
      </c>
      <c r="E705" s="598">
        <f>1250+500</f>
        <v>1750</v>
      </c>
      <c r="F705" s="598">
        <f>1250+500+4550</f>
        <v>6300</v>
      </c>
      <c r="G705" s="598">
        <f>1250+500+4550</f>
        <v>6300</v>
      </c>
      <c r="H705" s="598">
        <v>6300</v>
      </c>
      <c r="I705" s="562">
        <f>H705/G705</f>
        <v>1</v>
      </c>
      <c r="J705" s="1528"/>
    </row>
    <row r="706" spans="1:10" ht="12" customHeight="1" thickBot="1">
      <c r="A706" s="840"/>
      <c r="B706" s="566" t="s">
        <v>195</v>
      </c>
      <c r="C706" s="605"/>
      <c r="D706" s="605"/>
      <c r="E706" s="605"/>
      <c r="F706" s="605"/>
      <c r="G706" s="605"/>
      <c r="H706" s="605"/>
      <c r="I706" s="578"/>
      <c r="J706" s="826"/>
    </row>
    <row r="707" spans="1:10" ht="12" customHeight="1" thickBot="1">
      <c r="A707" s="1498"/>
      <c r="B707" s="576" t="s">
        <v>97</v>
      </c>
      <c r="C707" s="596">
        <f t="shared" ref="C707:D707" si="195">SUM(C701:C706)</f>
        <v>17000</v>
      </c>
      <c r="D707" s="596">
        <f t="shared" si="195"/>
        <v>31330</v>
      </c>
      <c r="E707" s="596">
        <f t="shared" ref="E707:F707" si="196">SUM(E701:E706)</f>
        <v>31330</v>
      </c>
      <c r="F707" s="596">
        <f t="shared" si="196"/>
        <v>31330</v>
      </c>
      <c r="G707" s="596">
        <f t="shared" ref="G707:H707" si="197">SUM(G701:G706)</f>
        <v>31330</v>
      </c>
      <c r="H707" s="596">
        <f t="shared" si="197"/>
        <v>21393</v>
      </c>
      <c r="I707" s="553">
        <f>H707/G707</f>
        <v>0.68282796042132143</v>
      </c>
      <c r="J707" s="475"/>
    </row>
    <row r="708" spans="1:10" ht="12" customHeight="1">
      <c r="A708" s="838">
        <v>3356</v>
      </c>
      <c r="B708" s="603" t="s">
        <v>12</v>
      </c>
      <c r="C708" s="544"/>
      <c r="D708" s="544"/>
      <c r="E708" s="544"/>
      <c r="F708" s="544"/>
      <c r="G708" s="544"/>
      <c r="H708" s="544"/>
      <c r="I708" s="560"/>
      <c r="J708" s="1528"/>
    </row>
    <row r="709" spans="1:10" ht="12" customHeight="1">
      <c r="A709" s="840"/>
      <c r="B709" s="590" t="s">
        <v>84</v>
      </c>
      <c r="C709" s="598"/>
      <c r="D709" s="598"/>
      <c r="E709" s="598"/>
      <c r="F709" s="598"/>
      <c r="G709" s="598"/>
      <c r="H709" s="598"/>
      <c r="I709" s="560"/>
      <c r="J709" s="1528"/>
    </row>
    <row r="710" spans="1:10" ht="12" customHeight="1">
      <c r="A710" s="840"/>
      <c r="B710" s="592" t="s">
        <v>231</v>
      </c>
      <c r="C710" s="598"/>
      <c r="D710" s="598"/>
      <c r="E710" s="598"/>
      <c r="F710" s="598"/>
      <c r="G710" s="598"/>
      <c r="H710" s="598"/>
      <c r="I710" s="560"/>
      <c r="J710" s="1528"/>
    </row>
    <row r="711" spans="1:10" ht="12" customHeight="1">
      <c r="A711" s="840"/>
      <c r="B711" s="593" t="s">
        <v>222</v>
      </c>
      <c r="C711" s="598"/>
      <c r="D711" s="598"/>
      <c r="E711" s="598"/>
      <c r="F711" s="598"/>
      <c r="G711" s="598"/>
      <c r="H711" s="598"/>
      <c r="I711" s="545"/>
      <c r="J711" s="1529"/>
    </row>
    <row r="712" spans="1:10" ht="12" customHeight="1">
      <c r="A712" s="840"/>
      <c r="B712" s="594" t="s">
        <v>89</v>
      </c>
      <c r="C712" s="598"/>
      <c r="D712" s="598"/>
      <c r="E712" s="598"/>
      <c r="F712" s="598"/>
      <c r="G712" s="598"/>
      <c r="H712" s="598"/>
      <c r="I712" s="548"/>
      <c r="J712" s="1528"/>
    </row>
    <row r="713" spans="1:10" ht="12" customHeight="1">
      <c r="A713" s="840"/>
      <c r="B713" s="594" t="s">
        <v>228</v>
      </c>
      <c r="C713" s="598"/>
      <c r="D713" s="598"/>
      <c r="E713" s="598"/>
      <c r="F713" s="598"/>
      <c r="G713" s="598"/>
      <c r="H713" s="598"/>
      <c r="I713" s="548"/>
      <c r="J713" s="1528"/>
    </row>
    <row r="714" spans="1:10" ht="12" customHeight="1" thickBot="1">
      <c r="A714" s="840"/>
      <c r="B714" s="566" t="s">
        <v>59</v>
      </c>
      <c r="C714" s="601"/>
      <c r="D714" s="601"/>
      <c r="E714" s="601"/>
      <c r="F714" s="601"/>
      <c r="G714" s="601"/>
      <c r="H714" s="601"/>
      <c r="I714" s="578"/>
      <c r="J714" s="826"/>
    </row>
    <row r="715" spans="1:10" ht="12" customHeight="1" thickBot="1">
      <c r="A715" s="1498"/>
      <c r="B715" s="576" t="s">
        <v>97</v>
      </c>
      <c r="C715" s="596"/>
      <c r="D715" s="596"/>
      <c r="E715" s="596"/>
      <c r="F715" s="596"/>
      <c r="G715" s="596"/>
      <c r="H715" s="596"/>
      <c r="I715" s="626"/>
      <c r="J715" s="475"/>
    </row>
    <row r="716" spans="1:10" ht="12" customHeight="1">
      <c r="A716" s="838">
        <v>3357</v>
      </c>
      <c r="B716" s="603" t="s">
        <v>25</v>
      </c>
      <c r="C716" s="544"/>
      <c r="D716" s="544"/>
      <c r="E716" s="544"/>
      <c r="F716" s="544"/>
      <c r="G716" s="544"/>
      <c r="H716" s="544"/>
      <c r="I716" s="560"/>
      <c r="J716" s="1528"/>
    </row>
    <row r="717" spans="1:10" ht="12" customHeight="1">
      <c r="A717" s="840"/>
      <c r="B717" s="590" t="s">
        <v>84</v>
      </c>
      <c r="C717" s="598"/>
      <c r="D717" s="598"/>
      <c r="E717" s="598"/>
      <c r="F717" s="598"/>
      <c r="G717" s="598"/>
      <c r="H717" s="598"/>
      <c r="I717" s="548"/>
      <c r="J717" s="1528"/>
    </row>
    <row r="718" spans="1:10" ht="12" customHeight="1">
      <c r="A718" s="840"/>
      <c r="B718" s="592" t="s">
        <v>231</v>
      </c>
      <c r="C718" s="598"/>
      <c r="D718" s="598"/>
      <c r="E718" s="598"/>
      <c r="F718" s="598"/>
      <c r="G718" s="598"/>
      <c r="H718" s="598"/>
      <c r="I718" s="548"/>
      <c r="J718" s="1528"/>
    </row>
    <row r="719" spans="1:10" ht="12" customHeight="1">
      <c r="A719" s="840"/>
      <c r="B719" s="593" t="s">
        <v>222</v>
      </c>
      <c r="C719" s="598"/>
      <c r="D719" s="598">
        <v>670</v>
      </c>
      <c r="E719" s="598">
        <v>670</v>
      </c>
      <c r="F719" s="598">
        <v>670</v>
      </c>
      <c r="G719" s="598">
        <v>670</v>
      </c>
      <c r="H719" s="598">
        <v>670</v>
      </c>
      <c r="I719" s="562">
        <f>H719/G719</f>
        <v>1</v>
      </c>
      <c r="J719" s="1514" t="s">
        <v>946</v>
      </c>
    </row>
    <row r="720" spans="1:10" ht="12" customHeight="1">
      <c r="A720" s="840"/>
      <c r="B720" s="594" t="s">
        <v>89</v>
      </c>
      <c r="C720" s="598"/>
      <c r="D720" s="598"/>
      <c r="E720" s="598"/>
      <c r="F720" s="598"/>
      <c r="G720" s="598"/>
      <c r="H720" s="598"/>
      <c r="I720" s="548"/>
      <c r="J720" s="1528"/>
    </row>
    <row r="721" spans="1:11" ht="12" customHeight="1">
      <c r="A721" s="840"/>
      <c r="B721" s="594" t="s">
        <v>228</v>
      </c>
      <c r="C721" s="598"/>
      <c r="D721" s="598"/>
      <c r="E721" s="598"/>
      <c r="F721" s="598"/>
      <c r="G721" s="598"/>
      <c r="H721" s="598"/>
      <c r="I721" s="548"/>
      <c r="J721" s="1528"/>
    </row>
    <row r="722" spans="1:11" ht="12" customHeight="1" thickBot="1">
      <c r="A722" s="840"/>
      <c r="B722" s="566" t="s">
        <v>195</v>
      </c>
      <c r="C722" s="605"/>
      <c r="D722" s="605"/>
      <c r="E722" s="605"/>
      <c r="F722" s="605"/>
      <c r="G722" s="605"/>
      <c r="H722" s="605"/>
      <c r="I722" s="578"/>
      <c r="J722" s="826"/>
    </row>
    <row r="723" spans="1:11" ht="12.75" thickBot="1">
      <c r="A723" s="1498"/>
      <c r="B723" s="576" t="s">
        <v>97</v>
      </c>
      <c r="C723" s="596">
        <f t="shared" ref="C723:D723" si="198">SUM(C717:C722)</f>
        <v>0</v>
      </c>
      <c r="D723" s="596">
        <f t="shared" si="198"/>
        <v>670</v>
      </c>
      <c r="E723" s="596">
        <f t="shared" ref="E723:F723" si="199">SUM(E717:E722)</f>
        <v>670</v>
      </c>
      <c r="F723" s="596">
        <f t="shared" si="199"/>
        <v>670</v>
      </c>
      <c r="G723" s="596">
        <f t="shared" ref="G723:H723" si="200">SUM(G717:G722)</f>
        <v>670</v>
      </c>
      <c r="H723" s="596">
        <f t="shared" si="200"/>
        <v>670</v>
      </c>
      <c r="I723" s="553">
        <f>H723/G723</f>
        <v>1</v>
      </c>
      <c r="J723" s="475"/>
    </row>
    <row r="724" spans="1:11" ht="12.75" thickBot="1">
      <c r="A724" s="451">
        <v>3400</v>
      </c>
      <c r="B724" s="552" t="s">
        <v>64</v>
      </c>
      <c r="C724" s="601">
        <f t="shared" ref="C724:H724" si="201">SUM(C725+C788)</f>
        <v>194200</v>
      </c>
      <c r="D724" s="601">
        <f t="shared" si="201"/>
        <v>252296</v>
      </c>
      <c r="E724" s="601">
        <f t="shared" si="201"/>
        <v>252936</v>
      </c>
      <c r="F724" s="601">
        <f t="shared" si="201"/>
        <v>255636</v>
      </c>
      <c r="G724" s="601">
        <f t="shared" si="201"/>
        <v>255636</v>
      </c>
      <c r="H724" s="601">
        <f t="shared" si="201"/>
        <v>187379</v>
      </c>
      <c r="I724" s="553">
        <f>H724/G724</f>
        <v>0.73299144095510804</v>
      </c>
      <c r="J724" s="475"/>
      <c r="K724" s="12"/>
    </row>
    <row r="725" spans="1:11" ht="13.5" customHeight="1" thickBot="1">
      <c r="A725" s="838">
        <v>3410</v>
      </c>
      <c r="B725" s="552" t="s">
        <v>65</v>
      </c>
      <c r="C725" s="596">
        <f t="shared" ref="C725:H725" si="202">SUM(C761+C770+C779+C787+C734)+C752</f>
        <v>64400</v>
      </c>
      <c r="D725" s="596">
        <f t="shared" si="202"/>
        <v>93140</v>
      </c>
      <c r="E725" s="596">
        <f t="shared" si="202"/>
        <v>94640</v>
      </c>
      <c r="F725" s="596">
        <f t="shared" si="202"/>
        <v>94640</v>
      </c>
      <c r="G725" s="596">
        <f t="shared" si="202"/>
        <v>94640</v>
      </c>
      <c r="H725" s="596">
        <f t="shared" si="202"/>
        <v>73739</v>
      </c>
      <c r="I725" s="553">
        <f>H725/G725</f>
        <v>0.77915257819103978</v>
      </c>
      <c r="J725" s="475"/>
    </row>
    <row r="726" spans="1:11" ht="12.75" hidden="1" customHeight="1" thickBot="1">
      <c r="A726" s="838">
        <v>3411</v>
      </c>
      <c r="B726" s="603" t="s">
        <v>815</v>
      </c>
      <c r="C726" s="544"/>
      <c r="D726" s="544"/>
      <c r="E726" s="544"/>
      <c r="F726" s="544"/>
      <c r="G726" s="544"/>
      <c r="H726" s="544"/>
      <c r="I726" s="560" t="e">
        <f t="shared" ref="I726:I743" si="203">SUM(G726/G726)</f>
        <v>#DIV/0!</v>
      </c>
      <c r="J726" s="1534"/>
    </row>
    <row r="727" spans="1:11" ht="12.75" hidden="1" customHeight="1" thickBot="1">
      <c r="A727" s="840"/>
      <c r="B727" s="590" t="s">
        <v>84</v>
      </c>
      <c r="C727" s="591"/>
      <c r="D727" s="591"/>
      <c r="E727" s="591"/>
      <c r="F727" s="591"/>
      <c r="G727" s="591"/>
      <c r="H727" s="591"/>
      <c r="I727" s="560" t="e">
        <f t="shared" si="203"/>
        <v>#DIV/0!</v>
      </c>
      <c r="J727" s="1528"/>
    </row>
    <row r="728" spans="1:11" ht="12.75" hidden="1" customHeight="1" thickBot="1">
      <c r="A728" s="840"/>
      <c r="B728" s="592" t="s">
        <v>231</v>
      </c>
      <c r="C728" s="591"/>
      <c r="D728" s="591"/>
      <c r="E728" s="591"/>
      <c r="F728" s="591"/>
      <c r="G728" s="591"/>
      <c r="H728" s="591"/>
      <c r="I728" s="560" t="e">
        <f t="shared" si="203"/>
        <v>#DIV/0!</v>
      </c>
      <c r="J728" s="1554" t="s">
        <v>401</v>
      </c>
    </row>
    <row r="729" spans="1:11" ht="12.75" hidden="1" customHeight="1" thickBot="1">
      <c r="A729" s="840"/>
      <c r="B729" s="593" t="s">
        <v>222</v>
      </c>
      <c r="C729" s="598"/>
      <c r="D729" s="598"/>
      <c r="E729" s="598"/>
      <c r="F729" s="598"/>
      <c r="G729" s="598"/>
      <c r="H729" s="598"/>
      <c r="I729" s="560" t="e">
        <f t="shared" si="203"/>
        <v>#DIV/0!</v>
      </c>
      <c r="J729" s="1554"/>
    </row>
    <row r="730" spans="1:11" ht="12.75" hidden="1" customHeight="1" thickBot="1">
      <c r="A730" s="840"/>
      <c r="B730" s="594" t="s">
        <v>89</v>
      </c>
      <c r="C730" s="598"/>
      <c r="D730" s="598"/>
      <c r="E730" s="598"/>
      <c r="F730" s="598"/>
      <c r="G730" s="598"/>
      <c r="H730" s="598"/>
      <c r="I730" s="560" t="e">
        <f t="shared" si="203"/>
        <v>#DIV/0!</v>
      </c>
      <c r="J730" s="1528"/>
    </row>
    <row r="731" spans="1:11" ht="12.75" hidden="1" customHeight="1" thickBot="1">
      <c r="A731" s="840"/>
      <c r="B731" s="594" t="s">
        <v>228</v>
      </c>
      <c r="C731" s="591"/>
      <c r="D731" s="591"/>
      <c r="E731" s="591"/>
      <c r="F731" s="591"/>
      <c r="G731" s="591"/>
      <c r="H731" s="591"/>
      <c r="I731" s="560" t="e">
        <f t="shared" si="203"/>
        <v>#DIV/0!</v>
      </c>
      <c r="J731" s="1532"/>
    </row>
    <row r="732" spans="1:11" ht="12.75" hidden="1" customHeight="1" thickBot="1">
      <c r="A732" s="840"/>
      <c r="B732" s="566" t="s">
        <v>197</v>
      </c>
      <c r="C732" s="591"/>
      <c r="D732" s="591"/>
      <c r="E732" s="591"/>
      <c r="F732" s="591"/>
      <c r="G732" s="591"/>
      <c r="H732" s="591"/>
      <c r="I732" s="560" t="e">
        <f t="shared" si="203"/>
        <v>#DIV/0!</v>
      </c>
      <c r="J732" s="1535"/>
    </row>
    <row r="733" spans="1:11" ht="12.75" hidden="1" customHeight="1" thickBot="1">
      <c r="A733" s="840"/>
      <c r="B733" s="568" t="s">
        <v>213</v>
      </c>
      <c r="C733" s="602"/>
      <c r="D733" s="531"/>
      <c r="E733" s="531"/>
      <c r="F733" s="531"/>
      <c r="G733" s="531"/>
      <c r="H733" s="531"/>
      <c r="I733" s="560" t="e">
        <f t="shared" si="203"/>
        <v>#DIV/0!</v>
      </c>
      <c r="J733" s="826"/>
    </row>
    <row r="734" spans="1:11" ht="13.5" hidden="1" customHeight="1" thickBot="1">
      <c r="A734" s="1498"/>
      <c r="B734" s="661" t="s">
        <v>97</v>
      </c>
      <c r="C734" s="601"/>
      <c r="D734" s="550"/>
      <c r="E734" s="550"/>
      <c r="F734" s="550"/>
      <c r="G734" s="550"/>
      <c r="H734" s="550"/>
      <c r="I734" s="560" t="e">
        <f t="shared" si="203"/>
        <v>#DIV/0!</v>
      </c>
      <c r="J734" s="1574"/>
    </row>
    <row r="735" spans="1:11" ht="12.75" hidden="1" customHeight="1" thickBot="1">
      <c r="A735" s="838">
        <v>3411</v>
      </c>
      <c r="B735" s="662" t="s">
        <v>815</v>
      </c>
      <c r="C735" s="662"/>
      <c r="D735" s="583"/>
      <c r="E735" s="583"/>
      <c r="F735" s="583"/>
      <c r="G735" s="583"/>
      <c r="H735" s="583"/>
      <c r="I735" s="560" t="e">
        <f t="shared" si="203"/>
        <v>#DIV/0!</v>
      </c>
      <c r="J735" s="1585"/>
    </row>
    <row r="736" spans="1:11" ht="12.75" hidden="1" customHeight="1" thickBot="1">
      <c r="A736" s="840"/>
      <c r="B736" s="590" t="s">
        <v>84</v>
      </c>
      <c r="C736" s="590"/>
      <c r="D736" s="590"/>
      <c r="E736" s="590"/>
      <c r="F736" s="590"/>
      <c r="G736" s="590"/>
      <c r="H736" s="590"/>
      <c r="I736" s="560" t="e">
        <f t="shared" si="203"/>
        <v>#DIV/0!</v>
      </c>
      <c r="J736" s="846"/>
    </row>
    <row r="737" spans="1:10" ht="12.75" hidden="1" customHeight="1" thickBot="1">
      <c r="A737" s="840"/>
      <c r="B737" s="592" t="s">
        <v>231</v>
      </c>
      <c r="C737" s="592"/>
      <c r="D737" s="594"/>
      <c r="E737" s="594"/>
      <c r="F737" s="594"/>
      <c r="G737" s="594"/>
      <c r="H737" s="594"/>
      <c r="I737" s="560" t="e">
        <f t="shared" si="203"/>
        <v>#DIV/0!</v>
      </c>
      <c r="J737" s="1263"/>
    </row>
    <row r="738" spans="1:10" ht="12.75" hidden="1" customHeight="1" thickBot="1">
      <c r="A738" s="840"/>
      <c r="B738" s="593" t="s">
        <v>222</v>
      </c>
      <c r="C738" s="593"/>
      <c r="D738" s="593"/>
      <c r="E738" s="593"/>
      <c r="F738" s="593"/>
      <c r="G738" s="593"/>
      <c r="H738" s="593"/>
      <c r="I738" s="560" t="e">
        <f t="shared" si="203"/>
        <v>#DIV/0!</v>
      </c>
      <c r="J738" s="1554" t="s">
        <v>401</v>
      </c>
    </row>
    <row r="739" spans="1:10" ht="12.75" hidden="1" customHeight="1" thickBot="1">
      <c r="A739" s="840"/>
      <c r="B739" s="594" t="s">
        <v>89</v>
      </c>
      <c r="C739" s="594"/>
      <c r="D739" s="594"/>
      <c r="E739" s="594"/>
      <c r="F739" s="594"/>
      <c r="G739" s="594"/>
      <c r="H739" s="594"/>
      <c r="I739" s="560" t="e">
        <f t="shared" si="203"/>
        <v>#DIV/0!</v>
      </c>
      <c r="J739" s="1261"/>
    </row>
    <row r="740" spans="1:10" ht="12.75" hidden="1" customHeight="1" thickBot="1">
      <c r="A740" s="840"/>
      <c r="B740" s="594" t="s">
        <v>228</v>
      </c>
      <c r="C740" s="594"/>
      <c r="D740" s="594"/>
      <c r="E740" s="594"/>
      <c r="F740" s="594"/>
      <c r="G740" s="594"/>
      <c r="H740" s="594"/>
      <c r="I740" s="560" t="e">
        <f t="shared" si="203"/>
        <v>#DIV/0!</v>
      </c>
      <c r="J740" s="1261"/>
    </row>
    <row r="741" spans="1:10" ht="12.75" hidden="1" customHeight="1" thickBot="1">
      <c r="A741" s="840"/>
      <c r="B741" s="566" t="s">
        <v>197</v>
      </c>
      <c r="C741" s="566"/>
      <c r="D741" s="573"/>
      <c r="E741" s="573"/>
      <c r="F741" s="573"/>
      <c r="G741" s="573"/>
      <c r="H741" s="573"/>
      <c r="I741" s="560" t="e">
        <f t="shared" si="203"/>
        <v>#DIV/0!</v>
      </c>
      <c r="J741" s="1586"/>
    </row>
    <row r="742" spans="1:10" ht="12.75" hidden="1" customHeight="1" thickBot="1">
      <c r="A742" s="840"/>
      <c r="B742" s="568" t="s">
        <v>213</v>
      </c>
      <c r="C742" s="568"/>
      <c r="D742" s="568"/>
      <c r="E742" s="568"/>
      <c r="F742" s="568"/>
      <c r="G742" s="568"/>
      <c r="H742" s="568"/>
      <c r="I742" s="560" t="e">
        <f t="shared" si="203"/>
        <v>#DIV/0!</v>
      </c>
      <c r="J742" s="1587"/>
    </row>
    <row r="743" spans="1:10" ht="13.5" hidden="1" customHeight="1" thickBot="1">
      <c r="A743" s="1498"/>
      <c r="B743" s="576" t="s">
        <v>97</v>
      </c>
      <c r="C743" s="596"/>
      <c r="D743" s="550"/>
      <c r="E743" s="550"/>
      <c r="F743" s="550"/>
      <c r="G743" s="550"/>
      <c r="H743" s="550"/>
      <c r="I743" s="560" t="e">
        <f t="shared" si="203"/>
        <v>#DIV/0!</v>
      </c>
      <c r="J743" s="1574"/>
    </row>
    <row r="744" spans="1:10" ht="12" customHeight="1">
      <c r="A744" s="816">
        <v>3411</v>
      </c>
      <c r="B744" s="603" t="s">
        <v>815</v>
      </c>
      <c r="C744" s="651"/>
      <c r="D744" s="544"/>
      <c r="E744" s="544"/>
      <c r="F744" s="544"/>
      <c r="G744" s="544"/>
      <c r="H744" s="544"/>
      <c r="I744" s="560"/>
      <c r="J744" s="1542"/>
    </row>
    <row r="745" spans="1:10" ht="12" customHeight="1">
      <c r="A745" s="840"/>
      <c r="B745" s="590" t="s">
        <v>84</v>
      </c>
      <c r="C745" s="591"/>
      <c r="D745" s="591"/>
      <c r="E745" s="591"/>
      <c r="F745" s="591"/>
      <c r="G745" s="591"/>
      <c r="H745" s="591"/>
      <c r="I745" s="560"/>
      <c r="J745" s="1528"/>
    </row>
    <row r="746" spans="1:10" ht="12" customHeight="1">
      <c r="A746" s="840"/>
      <c r="B746" s="592" t="s">
        <v>231</v>
      </c>
      <c r="C746" s="591"/>
      <c r="D746" s="591"/>
      <c r="E746" s="591"/>
      <c r="F746" s="591"/>
      <c r="G746" s="591"/>
      <c r="H746" s="591"/>
      <c r="I746" s="560"/>
      <c r="J746" s="1536"/>
    </row>
    <row r="747" spans="1:10" ht="12" customHeight="1">
      <c r="A747" s="840"/>
      <c r="B747" s="593" t="s">
        <v>222</v>
      </c>
      <c r="C747" s="598"/>
      <c r="D747" s="598"/>
      <c r="E747" s="598"/>
      <c r="F747" s="598"/>
      <c r="G747" s="598"/>
      <c r="H747" s="598"/>
      <c r="I747" s="560"/>
      <c r="J747" s="1554"/>
    </row>
    <row r="748" spans="1:10" ht="12" customHeight="1">
      <c r="A748" s="840"/>
      <c r="B748" s="594" t="s">
        <v>89</v>
      </c>
      <c r="C748" s="598"/>
      <c r="D748" s="598"/>
      <c r="E748" s="598"/>
      <c r="F748" s="598"/>
      <c r="G748" s="598"/>
      <c r="H748" s="598"/>
      <c r="I748" s="560"/>
      <c r="J748" s="1528"/>
    </row>
    <row r="749" spans="1:10" ht="12" customHeight="1">
      <c r="A749" s="840"/>
      <c r="B749" s="594" t="s">
        <v>228</v>
      </c>
      <c r="C749" s="591"/>
      <c r="D749" s="591">
        <v>25000</v>
      </c>
      <c r="E749" s="591">
        <v>25000</v>
      </c>
      <c r="F749" s="591">
        <v>25000</v>
      </c>
      <c r="G749" s="591">
        <v>25000</v>
      </c>
      <c r="H749" s="591">
        <v>25000</v>
      </c>
      <c r="I749" s="562">
        <f>H749/G749</f>
        <v>1</v>
      </c>
      <c r="J749" s="1532"/>
    </row>
    <row r="750" spans="1:10" ht="12" customHeight="1">
      <c r="A750" s="840"/>
      <c r="B750" s="566" t="s">
        <v>197</v>
      </c>
      <c r="C750" s="591"/>
      <c r="D750" s="591"/>
      <c r="E750" s="591"/>
      <c r="F750" s="591"/>
      <c r="G750" s="591"/>
      <c r="H750" s="591"/>
      <c r="I750" s="560"/>
      <c r="J750" s="1535"/>
    </row>
    <row r="751" spans="1:10" ht="12" customHeight="1" thickBot="1">
      <c r="A751" s="840"/>
      <c r="B751" s="568" t="s">
        <v>213</v>
      </c>
      <c r="C751" s="602"/>
      <c r="D751" s="531"/>
      <c r="E751" s="531"/>
      <c r="F751" s="531"/>
      <c r="G751" s="531"/>
      <c r="H751" s="531"/>
      <c r="I751" s="585"/>
      <c r="J751" s="826"/>
    </row>
    <row r="752" spans="1:10" ht="12" customHeight="1" thickBot="1">
      <c r="A752" s="838"/>
      <c r="B752" s="576" t="s">
        <v>97</v>
      </c>
      <c r="C752" s="663">
        <f t="shared" ref="C752:H752" si="204">SUM(C745:C751)</f>
        <v>0</v>
      </c>
      <c r="D752" s="596">
        <f t="shared" si="204"/>
        <v>25000</v>
      </c>
      <c r="E752" s="596">
        <f t="shared" si="204"/>
        <v>25000</v>
      </c>
      <c r="F752" s="596">
        <f t="shared" si="204"/>
        <v>25000</v>
      </c>
      <c r="G752" s="596">
        <f t="shared" si="204"/>
        <v>25000</v>
      </c>
      <c r="H752" s="596">
        <f t="shared" si="204"/>
        <v>25000</v>
      </c>
      <c r="I752" s="553">
        <f>H752/G752</f>
        <v>1</v>
      </c>
      <c r="J752" s="1588"/>
    </row>
    <row r="753" spans="1:11" ht="12" customHeight="1">
      <c r="A753" s="816">
        <v>3412</v>
      </c>
      <c r="B753" s="603" t="s">
        <v>298</v>
      </c>
      <c r="C753" s="651"/>
      <c r="D753" s="544"/>
      <c r="E753" s="544"/>
      <c r="F753" s="544"/>
      <c r="G753" s="544"/>
      <c r="H753" s="544"/>
      <c r="I753" s="560"/>
      <c r="J753" s="1542"/>
    </row>
    <row r="754" spans="1:11" ht="12" customHeight="1">
      <c r="A754" s="840"/>
      <c r="B754" s="590" t="s">
        <v>84</v>
      </c>
      <c r="C754" s="591">
        <v>3500</v>
      </c>
      <c r="D754" s="591">
        <v>3500</v>
      </c>
      <c r="E754" s="591">
        <v>3500</v>
      </c>
      <c r="F754" s="591">
        <v>3500</v>
      </c>
      <c r="G754" s="127">
        <f>3500</f>
        <v>3500</v>
      </c>
      <c r="H754" s="127">
        <v>2920</v>
      </c>
      <c r="I754" s="562">
        <f>H754/G754</f>
        <v>0.8342857142857143</v>
      </c>
      <c r="J754" s="1528"/>
      <c r="K754" s="751"/>
    </row>
    <row r="755" spans="1:11" ht="12" customHeight="1">
      <c r="A755" s="840"/>
      <c r="B755" s="592" t="s">
        <v>231</v>
      </c>
      <c r="C755" s="591">
        <v>1500</v>
      </c>
      <c r="D755" s="591">
        <v>1500</v>
      </c>
      <c r="E755" s="591">
        <v>1500</v>
      </c>
      <c r="F755" s="591">
        <v>1500</v>
      </c>
      <c r="G755" s="591">
        <f>1500-720</f>
        <v>780</v>
      </c>
      <c r="H755" s="591">
        <v>0</v>
      </c>
      <c r="I755" s="562">
        <f>H755/G755</f>
        <v>0</v>
      </c>
      <c r="J755" s="1536"/>
      <c r="K755" s="751"/>
    </row>
    <row r="756" spans="1:11" ht="12" customHeight="1">
      <c r="A756" s="840"/>
      <c r="B756" s="593" t="s">
        <v>222</v>
      </c>
      <c r="C756" s="598">
        <v>22000</v>
      </c>
      <c r="D756" s="598">
        <f>22000+3132</f>
        <v>25132</v>
      </c>
      <c r="E756" s="598">
        <f>22000+3132</f>
        <v>25132</v>
      </c>
      <c r="F756" s="598">
        <f>22000+3132-2000</f>
        <v>23132</v>
      </c>
      <c r="G756" s="780">
        <f>22000+3132-2000-3000</f>
        <v>20132</v>
      </c>
      <c r="H756" s="780">
        <v>16380</v>
      </c>
      <c r="I756" s="562">
        <f>H756/G756</f>
        <v>0.8136300417246175</v>
      </c>
      <c r="J756" s="1514" t="s">
        <v>944</v>
      </c>
      <c r="K756" s="751"/>
    </row>
    <row r="757" spans="1:11" ht="12" customHeight="1">
      <c r="A757" s="840"/>
      <c r="B757" s="594" t="s">
        <v>89</v>
      </c>
      <c r="C757" s="598"/>
      <c r="D757" s="598"/>
      <c r="E757" s="598"/>
      <c r="F757" s="598"/>
      <c r="G757" s="598"/>
      <c r="H757" s="598"/>
      <c r="I757" s="548"/>
      <c r="J757" s="1528"/>
    </row>
    <row r="758" spans="1:11">
      <c r="A758" s="840"/>
      <c r="B758" s="594" t="s">
        <v>228</v>
      </c>
      <c r="C758" s="591"/>
      <c r="D758" s="591"/>
      <c r="E758" s="591"/>
      <c r="F758" s="591">
        <v>3000</v>
      </c>
      <c r="G758" s="591">
        <v>3000</v>
      </c>
      <c r="H758" s="591">
        <v>3000</v>
      </c>
      <c r="I758" s="562">
        <f>H758/G758</f>
        <v>1</v>
      </c>
      <c r="J758" s="1532"/>
    </row>
    <row r="759" spans="1:11">
      <c r="A759" s="840"/>
      <c r="B759" s="566" t="s">
        <v>197</v>
      </c>
      <c r="C759" s="591">
        <v>3000</v>
      </c>
      <c r="D759" s="591">
        <f>3000+100</f>
        <v>3100</v>
      </c>
      <c r="E759" s="591">
        <f>3000+100</f>
        <v>3100</v>
      </c>
      <c r="F759" s="591">
        <f>3000+100-1000</f>
        <v>2100</v>
      </c>
      <c r="G759" s="127">
        <f>3000+100-1000+3720</f>
        <v>5820</v>
      </c>
      <c r="H759" s="127">
        <v>293</v>
      </c>
      <c r="I759" s="562">
        <f>H759/G759</f>
        <v>5.034364261168385E-2</v>
      </c>
      <c r="J759" s="1535"/>
      <c r="K759" s="751"/>
    </row>
    <row r="760" spans="1:11" ht="12.75" thickBot="1">
      <c r="A760" s="840"/>
      <c r="B760" s="568" t="s">
        <v>213</v>
      </c>
      <c r="C760" s="602"/>
      <c r="D760" s="602"/>
      <c r="E760" s="602"/>
      <c r="F760" s="602"/>
      <c r="G760" s="602"/>
      <c r="H760" s="602"/>
      <c r="I760" s="578"/>
      <c r="J760" s="826"/>
    </row>
    <row r="761" spans="1:11" ht="12" customHeight="1" thickBot="1">
      <c r="A761" s="1498"/>
      <c r="B761" s="576" t="s">
        <v>97</v>
      </c>
      <c r="C761" s="601">
        <f t="shared" ref="C761:H761" si="205">SUM(C754:C760)</f>
        <v>30000</v>
      </c>
      <c r="D761" s="601">
        <f t="shared" si="205"/>
        <v>33232</v>
      </c>
      <c r="E761" s="601">
        <f t="shared" si="205"/>
        <v>33232</v>
      </c>
      <c r="F761" s="601">
        <f t="shared" si="205"/>
        <v>33232</v>
      </c>
      <c r="G761" s="601">
        <f t="shared" si="205"/>
        <v>33232</v>
      </c>
      <c r="H761" s="601">
        <f t="shared" si="205"/>
        <v>22593</v>
      </c>
      <c r="I761" s="553">
        <f>H761/G761</f>
        <v>0.67985676456427535</v>
      </c>
      <c r="J761" s="1574"/>
    </row>
    <row r="762" spans="1:11" ht="12" customHeight="1">
      <c r="A762" s="838">
        <v>3413</v>
      </c>
      <c r="B762" s="589" t="s">
        <v>101</v>
      </c>
      <c r="C762" s="544"/>
      <c r="D762" s="544"/>
      <c r="E762" s="544"/>
      <c r="F762" s="544"/>
      <c r="G762" s="544"/>
      <c r="H762" s="544"/>
      <c r="I762" s="560"/>
      <c r="J762" s="1542"/>
    </row>
    <row r="763" spans="1:11" ht="12" customHeight="1">
      <c r="A763" s="840"/>
      <c r="B763" s="590" t="s">
        <v>84</v>
      </c>
      <c r="C763" s="591">
        <v>600</v>
      </c>
      <c r="D763" s="591">
        <v>600</v>
      </c>
      <c r="E763" s="591">
        <v>600</v>
      </c>
      <c r="F763" s="591">
        <v>600</v>
      </c>
      <c r="G763" s="591">
        <v>600</v>
      </c>
      <c r="H763" s="591">
        <v>0</v>
      </c>
      <c r="I763" s="562">
        <f>H763/G763</f>
        <v>0</v>
      </c>
      <c r="J763" s="1528"/>
    </row>
    <row r="764" spans="1:11" ht="12" customHeight="1">
      <c r="A764" s="840"/>
      <c r="B764" s="592" t="s">
        <v>231</v>
      </c>
      <c r="C764" s="591">
        <v>400</v>
      </c>
      <c r="D764" s="591">
        <v>400</v>
      </c>
      <c r="E764" s="591">
        <v>400</v>
      </c>
      <c r="F764" s="591">
        <v>400</v>
      </c>
      <c r="G764" s="591">
        <v>400</v>
      </c>
      <c r="H764" s="591">
        <v>0</v>
      </c>
      <c r="I764" s="562">
        <f>H764/G764</f>
        <v>0</v>
      </c>
      <c r="J764" s="1514" t="s">
        <v>944</v>
      </c>
    </row>
    <row r="765" spans="1:11" ht="12" customHeight="1">
      <c r="A765" s="840"/>
      <c r="B765" s="593" t="s">
        <v>222</v>
      </c>
      <c r="C765" s="598">
        <v>2000</v>
      </c>
      <c r="D765" s="598">
        <f>2000+508</f>
        <v>2508</v>
      </c>
      <c r="E765" s="598">
        <f>2508+1500</f>
        <v>4008</v>
      </c>
      <c r="F765" s="598">
        <f>2508+1500</f>
        <v>4008</v>
      </c>
      <c r="G765" s="780">
        <f>2508+1500+1000</f>
        <v>5008</v>
      </c>
      <c r="H765" s="780">
        <v>646</v>
      </c>
      <c r="I765" s="562">
        <f>H765/G765</f>
        <v>0.12899361022364217</v>
      </c>
      <c r="J765" s="1536"/>
      <c r="K765" s="751"/>
    </row>
    <row r="766" spans="1:11" ht="12" customHeight="1">
      <c r="A766" s="840"/>
      <c r="B766" s="594" t="s">
        <v>89</v>
      </c>
      <c r="C766" s="598"/>
      <c r="D766" s="598"/>
      <c r="E766" s="598"/>
      <c r="F766" s="598"/>
      <c r="G766" s="780"/>
      <c r="H766" s="780"/>
      <c r="I766" s="562"/>
      <c r="J766" s="1528"/>
    </row>
    <row r="767" spans="1:11" ht="12" customHeight="1">
      <c r="A767" s="840"/>
      <c r="B767" s="594" t="s">
        <v>228</v>
      </c>
      <c r="C767" s="591">
        <v>2000</v>
      </c>
      <c r="D767" s="591">
        <v>2000</v>
      </c>
      <c r="E767" s="591">
        <v>2000</v>
      </c>
      <c r="F767" s="591">
        <v>2000</v>
      </c>
      <c r="G767" s="780">
        <f>2000-1000</f>
        <v>1000</v>
      </c>
      <c r="H767" s="780">
        <v>0</v>
      </c>
      <c r="I767" s="562">
        <f>H767/G767</f>
        <v>0</v>
      </c>
      <c r="J767" s="1528"/>
      <c r="K767" s="751"/>
    </row>
    <row r="768" spans="1:11" ht="12" customHeight="1">
      <c r="A768" s="840"/>
      <c r="B768" s="566" t="s">
        <v>197</v>
      </c>
      <c r="C768" s="591"/>
      <c r="D768" s="591"/>
      <c r="E768" s="591"/>
      <c r="F768" s="591"/>
      <c r="G768" s="591"/>
      <c r="H768" s="591"/>
      <c r="I768" s="548"/>
      <c r="J768" s="1528"/>
    </row>
    <row r="769" spans="1:10" ht="12" customHeight="1" thickBot="1">
      <c r="A769" s="840"/>
      <c r="B769" s="566" t="s">
        <v>59</v>
      </c>
      <c r="C769" s="602"/>
      <c r="D769" s="602"/>
      <c r="E769" s="602"/>
      <c r="F769" s="602"/>
      <c r="G769" s="602"/>
      <c r="H769" s="602"/>
      <c r="I769" s="578"/>
      <c r="J769" s="826"/>
    </row>
    <row r="770" spans="1:10" ht="12" customHeight="1" thickBot="1">
      <c r="A770" s="1498"/>
      <c r="B770" s="576" t="s">
        <v>97</v>
      </c>
      <c r="C770" s="601">
        <f t="shared" ref="C770:H770" si="206">SUM(C763:C769)</f>
        <v>5000</v>
      </c>
      <c r="D770" s="601">
        <f t="shared" si="206"/>
        <v>5508</v>
      </c>
      <c r="E770" s="601">
        <f t="shared" si="206"/>
        <v>7008</v>
      </c>
      <c r="F770" s="601">
        <f t="shared" si="206"/>
        <v>7008</v>
      </c>
      <c r="G770" s="601">
        <f t="shared" si="206"/>
        <v>7008</v>
      </c>
      <c r="H770" s="601">
        <f t="shared" si="206"/>
        <v>646</v>
      </c>
      <c r="I770" s="553">
        <f>H770/G770</f>
        <v>9.2180365296803651E-2</v>
      </c>
      <c r="J770" s="1574"/>
    </row>
    <row r="771" spans="1:10" ht="12" customHeight="1">
      <c r="A771" s="838">
        <v>3415</v>
      </c>
      <c r="B771" s="589" t="s">
        <v>814</v>
      </c>
      <c r="C771" s="544"/>
      <c r="D771" s="544"/>
      <c r="E771" s="544"/>
      <c r="F771" s="544"/>
      <c r="G771" s="544"/>
      <c r="H771" s="544"/>
      <c r="I771" s="560"/>
      <c r="J771" s="1542"/>
    </row>
    <row r="772" spans="1:10" ht="12" customHeight="1">
      <c r="A772" s="840"/>
      <c r="B772" s="590" t="s">
        <v>84</v>
      </c>
      <c r="C772" s="591"/>
      <c r="D772" s="591"/>
      <c r="E772" s="591"/>
      <c r="F772" s="591"/>
      <c r="G772" s="591"/>
      <c r="H772" s="591"/>
      <c r="I772" s="560"/>
      <c r="J772" s="1514" t="s">
        <v>944</v>
      </c>
    </row>
    <row r="773" spans="1:10" ht="12" customHeight="1">
      <c r="A773" s="840"/>
      <c r="B773" s="592" t="s">
        <v>231</v>
      </c>
      <c r="C773" s="591"/>
      <c r="D773" s="591"/>
      <c r="E773" s="591"/>
      <c r="F773" s="591"/>
      <c r="G773" s="591"/>
      <c r="H773" s="591"/>
      <c r="I773" s="545"/>
      <c r="J773" s="1514"/>
    </row>
    <row r="774" spans="1:10" ht="12" customHeight="1">
      <c r="A774" s="840"/>
      <c r="B774" s="593" t="s">
        <v>222</v>
      </c>
      <c r="C774" s="598">
        <v>600</v>
      </c>
      <c r="D774" s="598">
        <v>600</v>
      </c>
      <c r="E774" s="598">
        <v>600</v>
      </c>
      <c r="F774" s="598">
        <v>600</v>
      </c>
      <c r="G774" s="598">
        <v>600</v>
      </c>
      <c r="H774" s="598">
        <v>0</v>
      </c>
      <c r="I774" s="562">
        <f>H774/G774</f>
        <v>0</v>
      </c>
      <c r="J774" s="1536"/>
    </row>
    <row r="775" spans="1:10" ht="12" customHeight="1">
      <c r="A775" s="840"/>
      <c r="B775" s="594" t="s">
        <v>89</v>
      </c>
      <c r="C775" s="598"/>
      <c r="D775" s="598"/>
      <c r="E775" s="598"/>
      <c r="F775" s="598"/>
      <c r="G775" s="598"/>
      <c r="H775" s="598"/>
      <c r="I775" s="562"/>
      <c r="J775" s="1528"/>
    </row>
    <row r="776" spans="1:10" ht="12" customHeight="1">
      <c r="A776" s="840"/>
      <c r="B776" s="594" t="s">
        <v>228</v>
      </c>
      <c r="C776" s="591">
        <v>7400</v>
      </c>
      <c r="D776" s="591">
        <v>7400</v>
      </c>
      <c r="E776" s="591">
        <v>7400</v>
      </c>
      <c r="F776" s="591">
        <v>7400</v>
      </c>
      <c r="G776" s="591">
        <v>7400</v>
      </c>
      <c r="H776" s="591">
        <v>5500</v>
      </c>
      <c r="I776" s="562">
        <f>H776/G776</f>
        <v>0.7432432432432432</v>
      </c>
      <c r="J776" s="1528"/>
    </row>
    <row r="777" spans="1:10" ht="12" customHeight="1">
      <c r="A777" s="840"/>
      <c r="B777" s="594" t="s">
        <v>197</v>
      </c>
      <c r="C777" s="591">
        <v>1400</v>
      </c>
      <c r="D777" s="591">
        <v>1400</v>
      </c>
      <c r="E777" s="591">
        <v>1400</v>
      </c>
      <c r="F777" s="591">
        <v>1400</v>
      </c>
      <c r="G777" s="591">
        <v>1400</v>
      </c>
      <c r="H777" s="591">
        <v>0</v>
      </c>
      <c r="I777" s="562">
        <f>H777/G777</f>
        <v>0</v>
      </c>
      <c r="J777" s="1532"/>
    </row>
    <row r="778" spans="1:10" ht="12" customHeight="1" thickBot="1">
      <c r="A778" s="840"/>
      <c r="B778" s="566" t="s">
        <v>213</v>
      </c>
      <c r="C778" s="531"/>
      <c r="D778" s="531"/>
      <c r="E778" s="531"/>
      <c r="F778" s="531"/>
      <c r="G778" s="531"/>
      <c r="H778" s="531"/>
      <c r="I778" s="578"/>
      <c r="J778" s="826"/>
    </row>
    <row r="779" spans="1:10" ht="12" customHeight="1" thickBot="1">
      <c r="A779" s="1498"/>
      <c r="B779" s="576" t="s">
        <v>97</v>
      </c>
      <c r="C779" s="596">
        <f t="shared" ref="C779:H779" si="207">C772+C773+C774+C775+C776+C777+C778</f>
        <v>9400</v>
      </c>
      <c r="D779" s="596">
        <f t="shared" si="207"/>
        <v>9400</v>
      </c>
      <c r="E779" s="596">
        <f t="shared" si="207"/>
        <v>9400</v>
      </c>
      <c r="F779" s="596">
        <f t="shared" si="207"/>
        <v>9400</v>
      </c>
      <c r="G779" s="596">
        <f t="shared" si="207"/>
        <v>9400</v>
      </c>
      <c r="H779" s="596">
        <f t="shared" si="207"/>
        <v>5500</v>
      </c>
      <c r="I779" s="553">
        <f>H779/G779</f>
        <v>0.58510638297872342</v>
      </c>
      <c r="J779" s="1574"/>
    </row>
    <row r="780" spans="1:10" ht="12" customHeight="1">
      <c r="A780" s="838">
        <v>3416</v>
      </c>
      <c r="B780" s="589" t="s">
        <v>126</v>
      </c>
      <c r="C780" s="544"/>
      <c r="D780" s="544"/>
      <c r="E780" s="544"/>
      <c r="F780" s="544"/>
      <c r="G780" s="544"/>
      <c r="H780" s="544"/>
      <c r="I780" s="560"/>
      <c r="J780" s="1542"/>
    </row>
    <row r="781" spans="1:10" ht="12" customHeight="1">
      <c r="A781" s="840"/>
      <c r="B781" s="590" t="s">
        <v>84</v>
      </c>
      <c r="C781" s="591"/>
      <c r="D781" s="591"/>
      <c r="E781" s="591"/>
      <c r="F781" s="591"/>
      <c r="G781" s="591"/>
      <c r="H781" s="591"/>
      <c r="I781" s="560"/>
      <c r="J781" s="1514"/>
    </row>
    <row r="782" spans="1:10" ht="12" customHeight="1">
      <c r="A782" s="840"/>
      <c r="B782" s="592" t="s">
        <v>231</v>
      </c>
      <c r="C782" s="591"/>
      <c r="D782" s="591"/>
      <c r="E782" s="591"/>
      <c r="F782" s="591"/>
      <c r="G782" s="591"/>
      <c r="H782" s="591"/>
      <c r="I782" s="560"/>
      <c r="J782" s="1528"/>
    </row>
    <row r="783" spans="1:10" ht="12" customHeight="1">
      <c r="A783" s="840"/>
      <c r="B783" s="593" t="s">
        <v>222</v>
      </c>
      <c r="C783" s="591"/>
      <c r="D783" s="591"/>
      <c r="E783" s="591"/>
      <c r="F783" s="591"/>
      <c r="G783" s="591"/>
      <c r="H783" s="591"/>
      <c r="I783" s="545"/>
      <c r="J783" s="1514" t="s">
        <v>944</v>
      </c>
    </row>
    <row r="784" spans="1:10" ht="12" customHeight="1">
      <c r="A784" s="840"/>
      <c r="B784" s="594" t="s">
        <v>89</v>
      </c>
      <c r="C784" s="591"/>
      <c r="D784" s="591"/>
      <c r="E784" s="591"/>
      <c r="F784" s="591"/>
      <c r="G784" s="591"/>
      <c r="H784" s="591"/>
      <c r="I784" s="548"/>
      <c r="J784" s="1536"/>
    </row>
    <row r="785" spans="1:11" ht="12" customHeight="1">
      <c r="A785" s="840"/>
      <c r="B785" s="594" t="s">
        <v>228</v>
      </c>
      <c r="C785" s="591">
        <v>20000</v>
      </c>
      <c r="D785" s="591">
        <v>20000</v>
      </c>
      <c r="E785" s="591">
        <v>20000</v>
      </c>
      <c r="F785" s="591">
        <v>20000</v>
      </c>
      <c r="G785" s="591">
        <v>20000</v>
      </c>
      <c r="H785" s="591">
        <v>20000</v>
      </c>
      <c r="I785" s="562">
        <f>H785/G785</f>
        <v>1</v>
      </c>
      <c r="J785" s="1529"/>
    </row>
    <row r="786" spans="1:11" ht="12" customHeight="1" thickBot="1">
      <c r="A786" s="840"/>
      <c r="B786" s="566" t="s">
        <v>59</v>
      </c>
      <c r="C786" s="531"/>
      <c r="D786" s="531"/>
      <c r="E786" s="531"/>
      <c r="F786" s="531"/>
      <c r="G786" s="531"/>
      <c r="H786" s="531"/>
      <c r="I786" s="578"/>
      <c r="J786" s="1541"/>
    </row>
    <row r="787" spans="1:11" ht="12" customHeight="1" thickBot="1">
      <c r="A787" s="1498"/>
      <c r="B787" s="576" t="s">
        <v>97</v>
      </c>
      <c r="C787" s="596">
        <f t="shared" ref="C787:D787" si="208">SUM(C781:C786)</f>
        <v>20000</v>
      </c>
      <c r="D787" s="596">
        <f t="shared" si="208"/>
        <v>20000</v>
      </c>
      <c r="E787" s="596">
        <f t="shared" ref="E787:F787" si="209">SUM(E781:E786)</f>
        <v>20000</v>
      </c>
      <c r="F787" s="596">
        <f t="shared" si="209"/>
        <v>20000</v>
      </c>
      <c r="G787" s="596">
        <f t="shared" ref="G787:H787" si="210">SUM(G781:G786)</f>
        <v>20000</v>
      </c>
      <c r="H787" s="596">
        <f t="shared" si="210"/>
        <v>20000</v>
      </c>
      <c r="I787" s="553">
        <f>H787/G787</f>
        <v>1</v>
      </c>
      <c r="J787" s="1574"/>
    </row>
    <row r="788" spans="1:11" ht="12" customHeight="1">
      <c r="A788" s="838">
        <v>3420</v>
      </c>
      <c r="B788" s="636" t="s">
        <v>113</v>
      </c>
      <c r="C788" s="544">
        <f t="shared" ref="C788:H788" si="211">SUM(C804+C813+C829+C837+C845+C853+C796+C821)</f>
        <v>129800</v>
      </c>
      <c r="D788" s="544">
        <f t="shared" si="211"/>
        <v>159156</v>
      </c>
      <c r="E788" s="544">
        <f t="shared" si="211"/>
        <v>158296</v>
      </c>
      <c r="F788" s="544">
        <f t="shared" si="211"/>
        <v>160996</v>
      </c>
      <c r="G788" s="544">
        <f t="shared" si="211"/>
        <v>160996</v>
      </c>
      <c r="H788" s="544">
        <f t="shared" si="211"/>
        <v>113640</v>
      </c>
      <c r="I788" s="977">
        <f>H788/G788</f>
        <v>0.70585604611294694</v>
      </c>
      <c r="J788" s="1542"/>
      <c r="K788" s="12"/>
    </row>
    <row r="789" spans="1:11" ht="12" customHeight="1">
      <c r="A789" s="838">
        <v>3421</v>
      </c>
      <c r="B789" s="589" t="s">
        <v>306</v>
      </c>
      <c r="C789" s="544"/>
      <c r="D789" s="544"/>
      <c r="E789" s="544"/>
      <c r="F789" s="544"/>
      <c r="G789" s="544"/>
      <c r="H789" s="544"/>
      <c r="I789" s="560"/>
      <c r="J789" s="1534"/>
    </row>
    <row r="790" spans="1:11" ht="12" customHeight="1">
      <c r="A790" s="840"/>
      <c r="B790" s="590" t="s">
        <v>84</v>
      </c>
      <c r="C790" s="591">
        <v>1700</v>
      </c>
      <c r="D790" s="591">
        <f>1700+1800</f>
        <v>3500</v>
      </c>
      <c r="E790" s="591">
        <f>1700+1800</f>
        <v>3500</v>
      </c>
      <c r="F790" s="591">
        <f>1700+1800</f>
        <v>3500</v>
      </c>
      <c r="G790" s="127">
        <f>1700+1800+5100</f>
        <v>8600</v>
      </c>
      <c r="H790" s="127">
        <v>3048</v>
      </c>
      <c r="I790" s="562">
        <f>H790/G790</f>
        <v>0.35441860465116282</v>
      </c>
      <c r="J790" s="1529"/>
      <c r="K790" s="751"/>
    </row>
    <row r="791" spans="1:11" ht="12" customHeight="1">
      <c r="A791" s="840"/>
      <c r="B791" s="592" t="s">
        <v>231</v>
      </c>
      <c r="C791" s="591">
        <v>800</v>
      </c>
      <c r="D791" s="591">
        <f>800+252</f>
        <v>1052</v>
      </c>
      <c r="E791" s="591">
        <f>800+252</f>
        <v>1052</v>
      </c>
      <c r="F791" s="591">
        <f>800+252</f>
        <v>1052</v>
      </c>
      <c r="G791" s="127">
        <f>800+252+700</f>
        <v>1752</v>
      </c>
      <c r="H791" s="127">
        <v>925</v>
      </c>
      <c r="I791" s="562">
        <f>H791/G791</f>
        <v>0.52796803652968038</v>
      </c>
      <c r="J791" s="1514" t="s">
        <v>944</v>
      </c>
      <c r="K791" s="751"/>
    </row>
    <row r="792" spans="1:11" ht="12" customHeight="1">
      <c r="A792" s="840"/>
      <c r="B792" s="593" t="s">
        <v>222</v>
      </c>
      <c r="C792" s="591">
        <v>35500</v>
      </c>
      <c r="D792" s="591">
        <f>35500+5500</f>
        <v>41000</v>
      </c>
      <c r="E792" s="591">
        <f>41000-4693</f>
        <v>36307</v>
      </c>
      <c r="F792" s="591">
        <f>41000-4693-2350-3200</f>
        <v>30757</v>
      </c>
      <c r="G792" s="127">
        <f>41000-4693-2350-3200-5800</f>
        <v>24957</v>
      </c>
      <c r="H792" s="127">
        <v>9302</v>
      </c>
      <c r="I792" s="562">
        <f>H792/G792</f>
        <v>0.37272108025804385</v>
      </c>
      <c r="J792" s="1504" t="s">
        <v>399</v>
      </c>
      <c r="K792" s="751"/>
    </row>
    <row r="793" spans="1:11" ht="12" customHeight="1">
      <c r="A793" s="840"/>
      <c r="B793" s="594" t="s">
        <v>89</v>
      </c>
      <c r="C793" s="591"/>
      <c r="D793" s="591"/>
      <c r="E793" s="591"/>
      <c r="F793" s="591"/>
      <c r="G793" s="591"/>
      <c r="H793" s="591"/>
      <c r="I793" s="548"/>
      <c r="J793" s="1589"/>
    </row>
    <row r="794" spans="1:11" ht="12" customHeight="1">
      <c r="A794" s="840"/>
      <c r="B794" s="594" t="s">
        <v>228</v>
      </c>
      <c r="C794" s="591"/>
      <c r="D794" s="591"/>
      <c r="E794" s="591"/>
      <c r="F794" s="591">
        <v>500</v>
      </c>
      <c r="G794" s="591">
        <v>500</v>
      </c>
      <c r="H794" s="591">
        <v>500</v>
      </c>
      <c r="I794" s="562">
        <f>H794/G794</f>
        <v>1</v>
      </c>
      <c r="J794" s="1535"/>
    </row>
    <row r="795" spans="1:11" ht="12" customHeight="1" thickBot="1">
      <c r="A795" s="840"/>
      <c r="B795" s="566" t="s">
        <v>197</v>
      </c>
      <c r="C795" s="602">
        <v>12000</v>
      </c>
      <c r="D795" s="602">
        <f>12000+13894</f>
        <v>25894</v>
      </c>
      <c r="E795" s="531">
        <f>25894+4693</f>
        <v>30587</v>
      </c>
      <c r="F795" s="531">
        <f>25894+4693+1850</f>
        <v>32437</v>
      </c>
      <c r="G795" s="531">
        <f>25894+4693+1850</f>
        <v>32437</v>
      </c>
      <c r="H795" s="531">
        <v>30587</v>
      </c>
      <c r="I795" s="562">
        <f>H795/G795</f>
        <v>0.94296636557018221</v>
      </c>
      <c r="J795" s="826"/>
    </row>
    <row r="796" spans="1:11" ht="12" customHeight="1" thickBot="1">
      <c r="A796" s="1498"/>
      <c r="B796" s="576" t="s">
        <v>97</v>
      </c>
      <c r="C796" s="596">
        <f t="shared" ref="C796:D796" si="212">SUM(C790:C795)</f>
        <v>50000</v>
      </c>
      <c r="D796" s="596">
        <f t="shared" si="212"/>
        <v>71446</v>
      </c>
      <c r="E796" s="596">
        <f t="shared" ref="E796:F796" si="213">SUM(E790:E795)</f>
        <v>71446</v>
      </c>
      <c r="F796" s="596">
        <f t="shared" si="213"/>
        <v>68246</v>
      </c>
      <c r="G796" s="596">
        <f t="shared" ref="G796:H796" si="214">SUM(G790:G795)</f>
        <v>68246</v>
      </c>
      <c r="H796" s="596">
        <f t="shared" si="214"/>
        <v>44362</v>
      </c>
      <c r="I796" s="553">
        <f>H796/G796</f>
        <v>0.65003077103419982</v>
      </c>
      <c r="J796" s="475"/>
      <c r="K796" s="12"/>
    </row>
    <row r="797" spans="1:11" ht="12" customHeight="1">
      <c r="A797" s="838">
        <v>3422</v>
      </c>
      <c r="B797" s="589" t="s">
        <v>779</v>
      </c>
      <c r="C797" s="544"/>
      <c r="D797" s="544"/>
      <c r="E797" s="544"/>
      <c r="F797" s="544"/>
      <c r="G797" s="544"/>
      <c r="H797" s="544"/>
      <c r="I797" s="652"/>
      <c r="J797" s="1548" t="s">
        <v>945</v>
      </c>
    </row>
    <row r="798" spans="1:11" ht="12" customHeight="1">
      <c r="A798" s="840"/>
      <c r="B798" s="590" t="s">
        <v>84</v>
      </c>
      <c r="C798" s="591">
        <v>4000</v>
      </c>
      <c r="D798" s="591">
        <f>4000+68</f>
        <v>4068</v>
      </c>
      <c r="E798" s="591">
        <f>4000+68</f>
        <v>4068</v>
      </c>
      <c r="F798" s="591">
        <f>4000+68-1000</f>
        <v>3068</v>
      </c>
      <c r="G798" s="591">
        <f>4000+68-1000</f>
        <v>3068</v>
      </c>
      <c r="H798" s="591">
        <v>2636</v>
      </c>
      <c r="I798" s="562">
        <f>H798/G798</f>
        <v>0.85919165580182533</v>
      </c>
      <c r="J798" s="1514"/>
    </row>
    <row r="799" spans="1:11" ht="12" customHeight="1">
      <c r="A799" s="840"/>
      <c r="B799" s="592" t="s">
        <v>231</v>
      </c>
      <c r="C799" s="591">
        <v>2900</v>
      </c>
      <c r="D799" s="591">
        <f>2900+423</f>
        <v>3323</v>
      </c>
      <c r="E799" s="591">
        <f>3323-500</f>
        <v>2823</v>
      </c>
      <c r="F799" s="591">
        <f>3323-500-1000</f>
        <v>1823</v>
      </c>
      <c r="G799" s="591">
        <f>3323-500-1000</f>
        <v>1823</v>
      </c>
      <c r="H799" s="591">
        <v>1034</v>
      </c>
      <c r="I799" s="562">
        <f>H799/G799</f>
        <v>0.56719692814042788</v>
      </c>
      <c r="J799" s="1548"/>
    </row>
    <row r="800" spans="1:11" ht="12" customHeight="1">
      <c r="A800" s="840"/>
      <c r="B800" s="593" t="s">
        <v>222</v>
      </c>
      <c r="C800" s="591">
        <v>8800</v>
      </c>
      <c r="D800" s="591">
        <f>8800+2311</f>
        <v>11111</v>
      </c>
      <c r="E800" s="591">
        <f>11111+500</f>
        <v>11611</v>
      </c>
      <c r="F800" s="591">
        <f>11111+500+2000</f>
        <v>13611</v>
      </c>
      <c r="G800" s="591">
        <f>11111+500+2000</f>
        <v>13611</v>
      </c>
      <c r="H800" s="591">
        <v>8177</v>
      </c>
      <c r="I800" s="562">
        <f>H800/G800</f>
        <v>0.60076408787010505</v>
      </c>
      <c r="J800" s="1529"/>
    </row>
    <row r="801" spans="1:11" ht="12" customHeight="1">
      <c r="A801" s="840"/>
      <c r="B801" s="594" t="s">
        <v>89</v>
      </c>
      <c r="C801" s="591"/>
      <c r="D801" s="591"/>
      <c r="E801" s="591"/>
      <c r="F801" s="591"/>
      <c r="G801" s="591"/>
      <c r="H801" s="591"/>
      <c r="I801" s="548"/>
      <c r="J801" s="1590"/>
    </row>
    <row r="802" spans="1:11" ht="12" customHeight="1">
      <c r="A802" s="840"/>
      <c r="B802" s="594" t="s">
        <v>228</v>
      </c>
      <c r="C802" s="591"/>
      <c r="D802" s="591"/>
      <c r="E802" s="591"/>
      <c r="F802" s="591"/>
      <c r="G802" s="591"/>
      <c r="H802" s="591"/>
      <c r="I802" s="548"/>
      <c r="J802" s="1536"/>
    </row>
    <row r="803" spans="1:11" ht="12" customHeight="1" thickBot="1">
      <c r="A803" s="840"/>
      <c r="B803" s="566" t="s">
        <v>11</v>
      </c>
      <c r="C803" s="602"/>
      <c r="D803" s="602"/>
      <c r="E803" s="531"/>
      <c r="F803" s="531"/>
      <c r="G803" s="531"/>
      <c r="H803" s="531"/>
      <c r="I803" s="548"/>
      <c r="J803" s="826"/>
    </row>
    <row r="804" spans="1:11" ht="12" customHeight="1" thickBot="1">
      <c r="A804" s="1498"/>
      <c r="B804" s="576" t="s">
        <v>97</v>
      </c>
      <c r="C804" s="596">
        <f t="shared" ref="C804:D804" si="215">SUM(C798:C803)</f>
        <v>15700</v>
      </c>
      <c r="D804" s="596">
        <f t="shared" si="215"/>
        <v>18502</v>
      </c>
      <c r="E804" s="596">
        <f t="shared" ref="E804:F804" si="216">SUM(E798:E803)</f>
        <v>18502</v>
      </c>
      <c r="F804" s="596">
        <f t="shared" si="216"/>
        <v>18502</v>
      </c>
      <c r="G804" s="596">
        <f t="shared" ref="G804:H804" si="217">SUM(G798:G803)</f>
        <v>18502</v>
      </c>
      <c r="H804" s="596">
        <f t="shared" si="217"/>
        <v>11847</v>
      </c>
      <c r="I804" s="553">
        <f>H804/G804</f>
        <v>0.64030915576694414</v>
      </c>
      <c r="J804" s="475"/>
    </row>
    <row r="805" spans="1:11" ht="12" customHeight="1">
      <c r="A805" s="838">
        <v>3423</v>
      </c>
      <c r="B805" s="589" t="s">
        <v>102</v>
      </c>
      <c r="C805" s="544"/>
      <c r="D805" s="544"/>
      <c r="E805" s="544"/>
      <c r="F805" s="544"/>
      <c r="G805" s="544"/>
      <c r="H805" s="544"/>
      <c r="I805" s="560"/>
      <c r="J805" s="1528"/>
    </row>
    <row r="806" spans="1:11" ht="12" customHeight="1">
      <c r="A806" s="840"/>
      <c r="B806" s="590" t="s">
        <v>84</v>
      </c>
      <c r="C806" s="591">
        <v>4100</v>
      </c>
      <c r="D806" s="591">
        <f>4100+1144</f>
        <v>5244</v>
      </c>
      <c r="E806" s="591">
        <f>4100+1144</f>
        <v>5244</v>
      </c>
      <c r="F806" s="591">
        <f>4100+1144+4550</f>
        <v>9794</v>
      </c>
      <c r="G806" s="591">
        <f>4100+1144+4550-2000</f>
        <v>7794</v>
      </c>
      <c r="H806" s="127">
        <v>7610</v>
      </c>
      <c r="I806" s="562">
        <f>H806/G806</f>
        <v>0.97639209648447522</v>
      </c>
      <c r="J806" s="1528"/>
      <c r="K806" s="751"/>
    </row>
    <row r="807" spans="1:11" ht="12" customHeight="1">
      <c r="A807" s="840"/>
      <c r="B807" s="592" t="s">
        <v>231</v>
      </c>
      <c r="C807" s="591">
        <v>2300</v>
      </c>
      <c r="D807" s="591">
        <f>2300+1370</f>
        <v>3670</v>
      </c>
      <c r="E807" s="591">
        <f>2300+1370</f>
        <v>3670</v>
      </c>
      <c r="F807" s="591">
        <f>2300+1370+900</f>
        <v>4570</v>
      </c>
      <c r="G807" s="591">
        <f>2300+1370+900-1000</f>
        <v>3570</v>
      </c>
      <c r="H807" s="127">
        <v>2771</v>
      </c>
      <c r="I807" s="562">
        <f>H807/G807</f>
        <v>0.77619047619047621</v>
      </c>
      <c r="J807" s="1529"/>
      <c r="K807" s="751"/>
    </row>
    <row r="808" spans="1:11" ht="12" customHeight="1">
      <c r="A808" s="840"/>
      <c r="B808" s="593" t="s">
        <v>222</v>
      </c>
      <c r="C808" s="591">
        <v>11600</v>
      </c>
      <c r="D808" s="591">
        <f>11600+275</f>
        <v>11875</v>
      </c>
      <c r="E808" s="591">
        <f>11875-860</f>
        <v>11015</v>
      </c>
      <c r="F808" s="591">
        <f>11875-860-1000+450</f>
        <v>10465</v>
      </c>
      <c r="G808" s="591">
        <f>11875-860-1000+450</f>
        <v>10465</v>
      </c>
      <c r="H808" s="127">
        <v>6075</v>
      </c>
      <c r="I808" s="562">
        <f>H808/G808</f>
        <v>0.58050645007166746</v>
      </c>
      <c r="J808" s="1537"/>
      <c r="K808" s="751"/>
    </row>
    <row r="809" spans="1:11" ht="12" customHeight="1">
      <c r="A809" s="840"/>
      <c r="B809" s="594" t="s">
        <v>89</v>
      </c>
      <c r="C809" s="591"/>
      <c r="D809" s="591"/>
      <c r="E809" s="591"/>
      <c r="F809" s="591"/>
      <c r="G809" s="591"/>
      <c r="H809" s="127"/>
      <c r="I809" s="548"/>
      <c r="J809" s="1528"/>
    </row>
    <row r="810" spans="1:11" ht="12" customHeight="1">
      <c r="A810" s="840"/>
      <c r="B810" s="594" t="s">
        <v>228</v>
      </c>
      <c r="C810" s="591">
        <v>2000</v>
      </c>
      <c r="D810" s="591">
        <v>2000</v>
      </c>
      <c r="E810" s="591">
        <v>2000</v>
      </c>
      <c r="F810" s="591">
        <f>2000-1000</f>
        <v>1000</v>
      </c>
      <c r="G810" s="591">
        <f>2000-1000</f>
        <v>1000</v>
      </c>
      <c r="H810" s="127">
        <v>1000</v>
      </c>
      <c r="I810" s="562">
        <f>H810/G810</f>
        <v>1</v>
      </c>
      <c r="J810" s="1528"/>
    </row>
    <row r="811" spans="1:11" ht="12" customHeight="1">
      <c r="A811" s="840"/>
      <c r="B811" s="566" t="s">
        <v>11</v>
      </c>
      <c r="C811" s="664"/>
      <c r="D811" s="664"/>
      <c r="E811" s="664"/>
      <c r="F811" s="664"/>
      <c r="G811" s="664"/>
      <c r="H811" s="978"/>
      <c r="I811" s="545"/>
      <c r="J811" s="1532"/>
    </row>
    <row r="812" spans="1:11" ht="12" customHeight="1" thickBot="1">
      <c r="A812" s="840"/>
      <c r="B812" s="566" t="s">
        <v>213</v>
      </c>
      <c r="C812" s="602"/>
      <c r="D812" s="602"/>
      <c r="E812" s="602"/>
      <c r="F812" s="602">
        <v>2000</v>
      </c>
      <c r="G812" s="602">
        <f>2000+3000</f>
        <v>5000</v>
      </c>
      <c r="H812" s="782">
        <v>2000</v>
      </c>
      <c r="I812" s="578"/>
      <c r="J812" s="826"/>
      <c r="K812" s="751"/>
    </row>
    <row r="813" spans="1:11" ht="12.75" customHeight="1" thickBot="1">
      <c r="A813" s="1498"/>
      <c r="B813" s="576" t="s">
        <v>97</v>
      </c>
      <c r="C813" s="601">
        <f t="shared" ref="C813:H813" si="218">SUM(C806:C812)</f>
        <v>20000</v>
      </c>
      <c r="D813" s="601">
        <f t="shared" si="218"/>
        <v>22789</v>
      </c>
      <c r="E813" s="601">
        <f t="shared" si="218"/>
        <v>21929</v>
      </c>
      <c r="F813" s="601">
        <f t="shared" si="218"/>
        <v>27829</v>
      </c>
      <c r="G813" s="601">
        <f t="shared" si="218"/>
        <v>27829</v>
      </c>
      <c r="H813" s="601">
        <f t="shared" si="218"/>
        <v>19456</v>
      </c>
      <c r="I813" s="553">
        <f>H813/G813</f>
        <v>0.69912681016206113</v>
      </c>
      <c r="J813" s="475"/>
      <c r="K813" s="12"/>
    </row>
    <row r="814" spans="1:11" ht="12.75" customHeight="1">
      <c r="A814" s="838">
        <v>3424</v>
      </c>
      <c r="B814" s="589" t="s">
        <v>778</v>
      </c>
      <c r="C814" s="544"/>
      <c r="D814" s="544"/>
      <c r="E814" s="544"/>
      <c r="F814" s="544"/>
      <c r="G814" s="544"/>
      <c r="H814" s="544"/>
      <c r="I814" s="560"/>
      <c r="J814" s="1548" t="s">
        <v>945</v>
      </c>
    </row>
    <row r="815" spans="1:11" ht="12.75" customHeight="1">
      <c r="A815" s="840"/>
      <c r="B815" s="590" t="s">
        <v>84</v>
      </c>
      <c r="C815" s="591">
        <v>24000</v>
      </c>
      <c r="D815" s="591">
        <f>24000+1213</f>
        <v>25213</v>
      </c>
      <c r="E815" s="591">
        <f>24000+1213</f>
        <v>25213</v>
      </c>
      <c r="F815" s="591">
        <f>24000+1213-1000</f>
        <v>24213</v>
      </c>
      <c r="G815" s="127">
        <f>24000+1213-1000+300</f>
        <v>24513</v>
      </c>
      <c r="H815" s="127">
        <v>23974</v>
      </c>
      <c r="I815" s="562">
        <f>H815/G815</f>
        <v>0.9780116672785869</v>
      </c>
      <c r="J815" s="1514"/>
      <c r="K815" s="751"/>
    </row>
    <row r="816" spans="1:11" ht="12.75" customHeight="1">
      <c r="A816" s="840"/>
      <c r="B816" s="592" t="s">
        <v>231</v>
      </c>
      <c r="C816" s="591">
        <v>3600</v>
      </c>
      <c r="D816" s="591">
        <f>3600+1063</f>
        <v>4663</v>
      </c>
      <c r="E816" s="591">
        <f>3600+1063</f>
        <v>4663</v>
      </c>
      <c r="F816" s="591">
        <f>3600+1063-150</f>
        <v>4513</v>
      </c>
      <c r="G816" s="127">
        <f>3600+1063-150</f>
        <v>4513</v>
      </c>
      <c r="H816" s="127">
        <v>1791</v>
      </c>
      <c r="I816" s="562">
        <f>H816/G816</f>
        <v>0.39685353423443387</v>
      </c>
      <c r="J816" s="1548"/>
    </row>
    <row r="817" spans="1:11" ht="12.75" customHeight="1">
      <c r="A817" s="840"/>
      <c r="B817" s="593" t="s">
        <v>222</v>
      </c>
      <c r="C817" s="591">
        <v>3000</v>
      </c>
      <c r="D817" s="591">
        <f>3000+43</f>
        <v>3043</v>
      </c>
      <c r="E817" s="591">
        <f>3000+43</f>
        <v>3043</v>
      </c>
      <c r="F817" s="591">
        <f>3000+43+1150</f>
        <v>4193</v>
      </c>
      <c r="G817" s="127">
        <f>3000+43+1150-500</f>
        <v>3693</v>
      </c>
      <c r="H817" s="127">
        <v>1210</v>
      </c>
      <c r="I817" s="562">
        <f>H817/G817</f>
        <v>0.32764689953966963</v>
      </c>
      <c r="J817" s="1529"/>
      <c r="K817" s="751"/>
    </row>
    <row r="818" spans="1:11" ht="12.75" customHeight="1">
      <c r="A818" s="840"/>
      <c r="B818" s="594" t="s">
        <v>89</v>
      </c>
      <c r="C818" s="591"/>
      <c r="D818" s="591"/>
      <c r="E818" s="591"/>
      <c r="F818" s="591"/>
      <c r="G818" s="127"/>
      <c r="H818" s="127"/>
      <c r="I818" s="548"/>
      <c r="J818" s="1590"/>
    </row>
    <row r="819" spans="1:11" ht="12.75" customHeight="1">
      <c r="A819" s="840"/>
      <c r="B819" s="594" t="s">
        <v>228</v>
      </c>
      <c r="C819" s="591"/>
      <c r="D819" s="591"/>
      <c r="E819" s="591"/>
      <c r="F819" s="591"/>
      <c r="G819" s="127"/>
      <c r="H819" s="127"/>
      <c r="I819" s="548"/>
      <c r="J819" s="1536"/>
    </row>
    <row r="820" spans="1:11" ht="12.75" customHeight="1" thickBot="1">
      <c r="A820" s="840"/>
      <c r="B820" s="566" t="s">
        <v>11</v>
      </c>
      <c r="C820" s="602"/>
      <c r="D820" s="602"/>
      <c r="E820" s="602"/>
      <c r="F820" s="602"/>
      <c r="G820" s="782">
        <v>200</v>
      </c>
      <c r="H820" s="782">
        <v>0</v>
      </c>
      <c r="I820" s="578"/>
      <c r="J820" s="826"/>
      <c r="K820" s="751"/>
    </row>
    <row r="821" spans="1:11" ht="12.75" thickBot="1">
      <c r="A821" s="1498"/>
      <c r="B821" s="576" t="s">
        <v>97</v>
      </c>
      <c r="C821" s="596">
        <f t="shared" ref="C821:D821" si="219">SUM(C815:C820)</f>
        <v>30600</v>
      </c>
      <c r="D821" s="596">
        <f t="shared" si="219"/>
        <v>32919</v>
      </c>
      <c r="E821" s="596">
        <f t="shared" ref="E821:F821" si="220">SUM(E815:E820)</f>
        <v>32919</v>
      </c>
      <c r="F821" s="596">
        <f t="shared" si="220"/>
        <v>32919</v>
      </c>
      <c r="G821" s="596">
        <f t="shared" ref="G821:H821" si="221">SUM(G815:G820)</f>
        <v>32919</v>
      </c>
      <c r="H821" s="596">
        <f t="shared" si="221"/>
        <v>26975</v>
      </c>
      <c r="I821" s="553">
        <f>H821/G821</f>
        <v>0.81943558431301078</v>
      </c>
      <c r="J821" s="475"/>
    </row>
    <row r="822" spans="1:11">
      <c r="A822" s="838">
        <v>3428</v>
      </c>
      <c r="B822" s="589" t="s">
        <v>7</v>
      </c>
      <c r="C822" s="544"/>
      <c r="D822" s="544"/>
      <c r="E822" s="544"/>
      <c r="F822" s="544"/>
      <c r="G822" s="544"/>
      <c r="H822" s="544"/>
      <c r="I822" s="560"/>
      <c r="J822" s="1528"/>
    </row>
    <row r="823" spans="1:11" ht="12.75" customHeight="1">
      <c r="A823" s="840"/>
      <c r="B823" s="590" t="s">
        <v>84</v>
      </c>
      <c r="C823" s="591"/>
      <c r="D823" s="591"/>
      <c r="E823" s="591"/>
      <c r="F823" s="591"/>
      <c r="G823" s="591"/>
      <c r="H823" s="591"/>
      <c r="I823" s="560"/>
      <c r="J823" s="1528"/>
    </row>
    <row r="824" spans="1:11" ht="12.75" customHeight="1">
      <c r="A824" s="840"/>
      <c r="B824" s="592" t="s">
        <v>231</v>
      </c>
      <c r="C824" s="591"/>
      <c r="D824" s="591"/>
      <c r="E824" s="591"/>
      <c r="F824" s="591"/>
      <c r="G824" s="591"/>
      <c r="H824" s="591"/>
      <c r="I824" s="545"/>
      <c r="J824" s="1528"/>
    </row>
    <row r="825" spans="1:11" ht="12.75" customHeight="1">
      <c r="A825" s="840"/>
      <c r="B825" s="593" t="s">
        <v>222</v>
      </c>
      <c r="C825" s="591">
        <v>3000</v>
      </c>
      <c r="D825" s="591">
        <v>3000</v>
      </c>
      <c r="E825" s="591">
        <v>3000</v>
      </c>
      <c r="F825" s="591">
        <v>3000</v>
      </c>
      <c r="G825" s="591">
        <v>3000</v>
      </c>
      <c r="H825" s="591">
        <v>3000</v>
      </c>
      <c r="I825" s="562">
        <f>H825/G825</f>
        <v>1</v>
      </c>
      <c r="J825" s="1548" t="s">
        <v>945</v>
      </c>
    </row>
    <row r="826" spans="1:11" ht="12.75" customHeight="1">
      <c r="A826" s="840"/>
      <c r="B826" s="594" t="s">
        <v>89</v>
      </c>
      <c r="C826" s="591"/>
      <c r="D826" s="591"/>
      <c r="E826" s="591"/>
      <c r="F826" s="591"/>
      <c r="G826" s="591"/>
      <c r="H826" s="591"/>
      <c r="I826" s="548"/>
      <c r="J826" s="1529"/>
    </row>
    <row r="827" spans="1:11" ht="12.75" customHeight="1">
      <c r="A827" s="840"/>
      <c r="B827" s="594" t="s">
        <v>228</v>
      </c>
      <c r="C827" s="591"/>
      <c r="D827" s="591"/>
      <c r="E827" s="591"/>
      <c r="F827" s="591"/>
      <c r="G827" s="591"/>
      <c r="H827" s="591"/>
      <c r="I827" s="548"/>
      <c r="J827" s="1528"/>
    </row>
    <row r="828" spans="1:11" ht="12.75" customHeight="1" thickBot="1">
      <c r="A828" s="840"/>
      <c r="B828" s="566" t="s">
        <v>59</v>
      </c>
      <c r="C828" s="531"/>
      <c r="D828" s="531"/>
      <c r="E828" s="531"/>
      <c r="F828" s="531"/>
      <c r="G828" s="531"/>
      <c r="H828" s="531"/>
      <c r="I828" s="578"/>
      <c r="J828" s="826"/>
    </row>
    <row r="829" spans="1:11" ht="12.75" customHeight="1" thickBot="1">
      <c r="A829" s="1498"/>
      <c r="B829" s="576" t="s">
        <v>97</v>
      </c>
      <c r="C829" s="596">
        <f t="shared" ref="C829:D829" si="222">SUM(C823:C828)</f>
        <v>3000</v>
      </c>
      <c r="D829" s="596">
        <f t="shared" si="222"/>
        <v>3000</v>
      </c>
      <c r="E829" s="596">
        <f t="shared" ref="E829:F829" si="223">SUM(E823:E828)</f>
        <v>3000</v>
      </c>
      <c r="F829" s="596">
        <f t="shared" si="223"/>
        <v>3000</v>
      </c>
      <c r="G829" s="596">
        <f t="shared" ref="G829:H829" si="224">SUM(G823:G828)</f>
        <v>3000</v>
      </c>
      <c r="H829" s="596">
        <f t="shared" si="224"/>
        <v>3000</v>
      </c>
      <c r="I829" s="553">
        <f>H829/G829</f>
        <v>1</v>
      </c>
      <c r="J829" s="475"/>
    </row>
    <row r="830" spans="1:11" ht="12.75" customHeight="1">
      <c r="A830" s="1518">
        <v>3429</v>
      </c>
      <c r="B830" s="582" t="s">
        <v>17</v>
      </c>
      <c r="C830" s="564"/>
      <c r="D830" s="564"/>
      <c r="E830" s="564"/>
      <c r="F830" s="564"/>
      <c r="G830" s="564"/>
      <c r="H830" s="564"/>
      <c r="I830" s="560"/>
      <c r="J830" s="1545"/>
    </row>
    <row r="831" spans="1:11" ht="12.75" customHeight="1">
      <c r="A831" s="842"/>
      <c r="B831" s="573" t="s">
        <v>84</v>
      </c>
      <c r="C831" s="559"/>
      <c r="D831" s="559"/>
      <c r="E831" s="559"/>
      <c r="F831" s="559"/>
      <c r="G831" s="559"/>
      <c r="H831" s="559"/>
      <c r="I831" s="560"/>
      <c r="J831" s="1545"/>
    </row>
    <row r="832" spans="1:11" ht="12.75" customHeight="1">
      <c r="A832" s="842"/>
      <c r="B832" s="558" t="s">
        <v>231</v>
      </c>
      <c r="C832" s="559"/>
      <c r="D832" s="559"/>
      <c r="E832" s="559"/>
      <c r="F832" s="559"/>
      <c r="G832" s="559"/>
      <c r="H832" s="559"/>
      <c r="I832" s="628"/>
      <c r="J832" s="1545"/>
    </row>
    <row r="833" spans="1:10" ht="12.75" customHeight="1">
      <c r="A833" s="842"/>
      <c r="B833" s="561" t="s">
        <v>222</v>
      </c>
      <c r="C833" s="559">
        <v>2500</v>
      </c>
      <c r="D833" s="559">
        <v>2500</v>
      </c>
      <c r="E833" s="559">
        <v>2500</v>
      </c>
      <c r="F833" s="559">
        <v>2500</v>
      </c>
      <c r="G833" s="559">
        <v>2500</v>
      </c>
      <c r="H833" s="559">
        <v>0</v>
      </c>
      <c r="I833" s="562">
        <f>H833/G833</f>
        <v>0</v>
      </c>
      <c r="J833" s="1548" t="s">
        <v>945</v>
      </c>
    </row>
    <row r="834" spans="1:10" ht="12.75" customHeight="1">
      <c r="A834" s="842"/>
      <c r="B834" s="563" t="s">
        <v>89</v>
      </c>
      <c r="C834" s="559"/>
      <c r="D834" s="559"/>
      <c r="E834" s="559"/>
      <c r="F834" s="559"/>
      <c r="G834" s="559"/>
      <c r="H834" s="559"/>
      <c r="I834" s="548"/>
      <c r="J834" s="1528"/>
    </row>
    <row r="835" spans="1:10" ht="12.75" customHeight="1">
      <c r="A835" s="842"/>
      <c r="B835" s="563" t="s">
        <v>228</v>
      </c>
      <c r="C835" s="559"/>
      <c r="D835" s="559"/>
      <c r="E835" s="559"/>
      <c r="F835" s="559"/>
      <c r="G835" s="559"/>
      <c r="H835" s="559"/>
      <c r="I835" s="548"/>
      <c r="J835" s="1545"/>
    </row>
    <row r="836" spans="1:10" ht="12.75" customHeight="1" thickBot="1">
      <c r="A836" s="842"/>
      <c r="B836" s="566" t="s">
        <v>59</v>
      </c>
      <c r="C836" s="569"/>
      <c r="D836" s="577"/>
      <c r="E836" s="577"/>
      <c r="F836" s="577"/>
      <c r="G836" s="577"/>
      <c r="H836" s="577"/>
      <c r="I836" s="578"/>
      <c r="J836" s="1591"/>
    </row>
    <row r="837" spans="1:10" ht="12.75" customHeight="1" thickBot="1">
      <c r="A837" s="1516"/>
      <c r="B837" s="576" t="s">
        <v>97</v>
      </c>
      <c r="C837" s="571">
        <f t="shared" ref="C837:D837" si="225">SUM(C831:C836)</f>
        <v>2500</v>
      </c>
      <c r="D837" s="638">
        <f t="shared" si="225"/>
        <v>2500</v>
      </c>
      <c r="E837" s="638">
        <f t="shared" ref="E837:F837" si="226">SUM(E831:E836)</f>
        <v>2500</v>
      </c>
      <c r="F837" s="638">
        <f t="shared" si="226"/>
        <v>2500</v>
      </c>
      <c r="G837" s="638">
        <f t="shared" ref="G837:H837" si="227">SUM(G831:G836)</f>
        <v>2500</v>
      </c>
      <c r="H837" s="638">
        <f t="shared" si="227"/>
        <v>0</v>
      </c>
      <c r="I837" s="553">
        <f>H837/G837</f>
        <v>0</v>
      </c>
      <c r="J837" s="1592"/>
    </row>
    <row r="838" spans="1:10" ht="12.75" customHeight="1">
      <c r="A838" s="1518">
        <v>3431</v>
      </c>
      <c r="B838" s="582" t="s">
        <v>124</v>
      </c>
      <c r="C838" s="564"/>
      <c r="D838" s="564"/>
      <c r="E838" s="564"/>
      <c r="F838" s="564"/>
      <c r="G838" s="564"/>
      <c r="H838" s="564"/>
      <c r="I838" s="560"/>
      <c r="J838" s="1545"/>
    </row>
    <row r="839" spans="1:10" ht="12.75" customHeight="1">
      <c r="A839" s="842"/>
      <c r="B839" s="573" t="s">
        <v>84</v>
      </c>
      <c r="C839" s="559"/>
      <c r="D839" s="559"/>
      <c r="E839" s="559"/>
      <c r="F839" s="559"/>
      <c r="G839" s="559"/>
      <c r="H839" s="559"/>
      <c r="I839" s="560"/>
      <c r="J839" s="1545"/>
    </row>
    <row r="840" spans="1:10" ht="12.75" customHeight="1">
      <c r="A840" s="842"/>
      <c r="B840" s="558" t="s">
        <v>231</v>
      </c>
      <c r="C840" s="559"/>
      <c r="D840" s="559"/>
      <c r="E840" s="559"/>
      <c r="F840" s="559"/>
      <c r="G840" s="559"/>
      <c r="H840" s="559"/>
      <c r="I840" s="545"/>
      <c r="J840" s="1545"/>
    </row>
    <row r="841" spans="1:10" ht="12.75" customHeight="1">
      <c r="A841" s="842"/>
      <c r="B841" s="561" t="s">
        <v>222</v>
      </c>
      <c r="C841" s="559"/>
      <c r="D841" s="559"/>
      <c r="E841" s="559"/>
      <c r="F841" s="559"/>
      <c r="G841" s="559"/>
      <c r="H841" s="559"/>
      <c r="I841" s="548"/>
      <c r="J841" s="1548" t="s">
        <v>945</v>
      </c>
    </row>
    <row r="842" spans="1:10" ht="12.75" customHeight="1">
      <c r="A842" s="842"/>
      <c r="B842" s="563" t="s">
        <v>89</v>
      </c>
      <c r="C842" s="559"/>
      <c r="D842" s="559"/>
      <c r="E842" s="559"/>
      <c r="F842" s="559"/>
      <c r="G842" s="559"/>
      <c r="H842" s="559"/>
      <c r="I842" s="548"/>
      <c r="J842" s="1545"/>
    </row>
    <row r="843" spans="1:10" ht="12.75" customHeight="1">
      <c r="A843" s="842"/>
      <c r="B843" s="563" t="s">
        <v>228</v>
      </c>
      <c r="C843" s="559"/>
      <c r="D843" s="559"/>
      <c r="E843" s="559"/>
      <c r="F843" s="559"/>
      <c r="G843" s="559"/>
      <c r="H843" s="559"/>
      <c r="I843" s="548"/>
      <c r="J843" s="1545"/>
    </row>
    <row r="844" spans="1:10" ht="12.75" customHeight="1" thickBot="1">
      <c r="A844" s="842"/>
      <c r="B844" s="566" t="s">
        <v>59</v>
      </c>
      <c r="C844" s="569"/>
      <c r="D844" s="569"/>
      <c r="E844" s="569"/>
      <c r="F844" s="569"/>
      <c r="G844" s="569"/>
      <c r="H844" s="569"/>
      <c r="I844" s="578"/>
      <c r="J844" s="1591"/>
    </row>
    <row r="845" spans="1:10" ht="12.75" customHeight="1" thickBot="1">
      <c r="A845" s="1516"/>
      <c r="B845" s="576" t="s">
        <v>97</v>
      </c>
      <c r="C845" s="571"/>
      <c r="D845" s="571"/>
      <c r="E845" s="571"/>
      <c r="F845" s="571"/>
      <c r="G845" s="571"/>
      <c r="H845" s="571"/>
      <c r="I845" s="626"/>
      <c r="J845" s="1592"/>
    </row>
    <row r="846" spans="1:10" ht="12.75" customHeight="1">
      <c r="A846" s="1518">
        <v>3432</v>
      </c>
      <c r="B846" s="582" t="s">
        <v>292</v>
      </c>
      <c r="C846" s="564"/>
      <c r="D846" s="564"/>
      <c r="E846" s="564"/>
      <c r="F846" s="564"/>
      <c r="G846" s="564"/>
      <c r="H846" s="564"/>
      <c r="I846" s="560"/>
      <c r="J846" s="1545"/>
    </row>
    <row r="847" spans="1:10" ht="12.75" customHeight="1">
      <c r="A847" s="842"/>
      <c r="B847" s="573" t="s">
        <v>84</v>
      </c>
      <c r="C847" s="559"/>
      <c r="D847" s="559"/>
      <c r="E847" s="559"/>
      <c r="F847" s="559"/>
      <c r="G847" s="559"/>
      <c r="H847" s="559"/>
      <c r="I847" s="545"/>
      <c r="J847" s="1545"/>
    </row>
    <row r="848" spans="1:10" ht="12.75" customHeight="1">
      <c r="A848" s="842"/>
      <c r="B848" s="558" t="s">
        <v>231</v>
      </c>
      <c r="C848" s="559"/>
      <c r="D848" s="559"/>
      <c r="E848" s="559"/>
      <c r="F848" s="559"/>
      <c r="G848" s="559"/>
      <c r="H848" s="559"/>
      <c r="I848" s="548"/>
      <c r="J848" s="1536"/>
    </row>
    <row r="849" spans="1:10" ht="12.75" customHeight="1">
      <c r="A849" s="842"/>
      <c r="B849" s="561" t="s">
        <v>222</v>
      </c>
      <c r="C849" s="559">
        <v>8000</v>
      </c>
      <c r="D849" s="559">
        <v>8000</v>
      </c>
      <c r="E849" s="559">
        <v>8000</v>
      </c>
      <c r="F849" s="559">
        <v>8000</v>
      </c>
      <c r="G849" s="559">
        <v>8000</v>
      </c>
      <c r="H849" s="559">
        <v>8000</v>
      </c>
      <c r="I849" s="562">
        <f>H849/G849</f>
        <v>1</v>
      </c>
      <c r="J849" s="1548" t="s">
        <v>945</v>
      </c>
    </row>
    <row r="850" spans="1:10" ht="12.75" customHeight="1">
      <c r="A850" s="842"/>
      <c r="B850" s="563" t="s">
        <v>89</v>
      </c>
      <c r="C850" s="559"/>
      <c r="D850" s="559"/>
      <c r="E850" s="559"/>
      <c r="F850" s="559"/>
      <c r="G850" s="559"/>
      <c r="H850" s="559"/>
      <c r="I850" s="548"/>
      <c r="J850" s="1528"/>
    </row>
    <row r="851" spans="1:10" ht="12.75" customHeight="1">
      <c r="A851" s="842"/>
      <c r="B851" s="563" t="s">
        <v>228</v>
      </c>
      <c r="C851" s="559"/>
      <c r="D851" s="559"/>
      <c r="E851" s="559"/>
      <c r="F851" s="559"/>
      <c r="G851" s="559"/>
      <c r="H851" s="559"/>
      <c r="I851" s="548"/>
      <c r="J851" s="1545"/>
    </row>
    <row r="852" spans="1:10" ht="12.75" customHeight="1" thickBot="1">
      <c r="A852" s="842"/>
      <c r="B852" s="566" t="s">
        <v>59</v>
      </c>
      <c r="C852" s="569"/>
      <c r="D852" s="569"/>
      <c r="E852" s="569"/>
      <c r="F852" s="569"/>
      <c r="G852" s="569"/>
      <c r="H852" s="569"/>
      <c r="I852" s="578"/>
      <c r="J852" s="1591"/>
    </row>
    <row r="853" spans="1:10" ht="14.25" customHeight="1" thickBot="1">
      <c r="A853" s="1516"/>
      <c r="B853" s="576" t="s">
        <v>97</v>
      </c>
      <c r="C853" s="571">
        <f t="shared" ref="C853:D853" si="228">SUM(C847:C852)</f>
        <v>8000</v>
      </c>
      <c r="D853" s="571">
        <f t="shared" si="228"/>
        <v>8000</v>
      </c>
      <c r="E853" s="571">
        <f t="shared" ref="E853:F853" si="229">SUM(E847:E852)</f>
        <v>8000</v>
      </c>
      <c r="F853" s="571">
        <f t="shared" si="229"/>
        <v>8000</v>
      </c>
      <c r="G853" s="571">
        <f t="shared" ref="G853:H853" si="230">SUM(G847:G852)</f>
        <v>8000</v>
      </c>
      <c r="H853" s="571">
        <f t="shared" si="230"/>
        <v>8000</v>
      </c>
      <c r="I853" s="553">
        <f>H853/G853</f>
        <v>1</v>
      </c>
      <c r="J853" s="1592"/>
    </row>
    <row r="854" spans="1:10" ht="12.75" hidden="1" customHeight="1">
      <c r="A854" s="1518">
        <v>3433</v>
      </c>
      <c r="B854" s="582" t="s">
        <v>810</v>
      </c>
      <c r="C854" s="564"/>
      <c r="D854" s="564"/>
      <c r="E854" s="564"/>
      <c r="F854" s="564"/>
      <c r="G854" s="564"/>
      <c r="H854" s="564"/>
      <c r="I854" s="560" t="e">
        <f t="shared" ref="I854:I869" si="231">SUM(G854/G854)</f>
        <v>#DIV/0!</v>
      </c>
      <c r="J854" s="1545"/>
    </row>
    <row r="855" spans="1:10" ht="12.75" hidden="1" customHeight="1">
      <c r="A855" s="842"/>
      <c r="B855" s="573" t="s">
        <v>84</v>
      </c>
      <c r="C855" s="559"/>
      <c r="D855" s="559"/>
      <c r="E855" s="559"/>
      <c r="F855" s="559"/>
      <c r="G855" s="559"/>
      <c r="H855" s="559"/>
      <c r="I855" s="560" t="e">
        <f t="shared" si="231"/>
        <v>#DIV/0!</v>
      </c>
      <c r="J855" s="1545"/>
    </row>
    <row r="856" spans="1:10" ht="12.75" hidden="1" customHeight="1">
      <c r="A856" s="842"/>
      <c r="B856" s="558" t="s">
        <v>231</v>
      </c>
      <c r="C856" s="559"/>
      <c r="D856" s="559"/>
      <c r="E856" s="559"/>
      <c r="F856" s="559"/>
      <c r="G856" s="559"/>
      <c r="H856" s="559"/>
      <c r="I856" s="560" t="e">
        <f t="shared" si="231"/>
        <v>#DIV/0!</v>
      </c>
      <c r="J856" s="1536"/>
    </row>
    <row r="857" spans="1:10" ht="12.75" hidden="1" customHeight="1">
      <c r="A857" s="842"/>
      <c r="B857" s="561" t="s">
        <v>222</v>
      </c>
      <c r="C857" s="559"/>
      <c r="D857" s="559"/>
      <c r="E857" s="559"/>
      <c r="F857" s="559"/>
      <c r="G857" s="559"/>
      <c r="H857" s="559"/>
      <c r="I857" s="560" t="e">
        <f t="shared" si="231"/>
        <v>#DIV/0!</v>
      </c>
      <c r="J857" s="1554"/>
    </row>
    <row r="858" spans="1:10" ht="12.75" hidden="1" customHeight="1">
      <c r="A858" s="842"/>
      <c r="B858" s="563" t="s">
        <v>89</v>
      </c>
      <c r="C858" s="559"/>
      <c r="D858" s="559"/>
      <c r="E858" s="559"/>
      <c r="F858" s="559"/>
      <c r="G858" s="559"/>
      <c r="H858" s="559"/>
      <c r="I858" s="560" t="e">
        <f t="shared" si="231"/>
        <v>#DIV/0!</v>
      </c>
      <c r="J858" s="1528"/>
    </row>
    <row r="859" spans="1:10" ht="12.75" hidden="1" customHeight="1">
      <c r="A859" s="842"/>
      <c r="B859" s="563" t="s">
        <v>228</v>
      </c>
      <c r="C859" s="559"/>
      <c r="D859" s="559"/>
      <c r="E859" s="559"/>
      <c r="F859" s="559"/>
      <c r="G859" s="559"/>
      <c r="H859" s="559"/>
      <c r="I859" s="560" t="e">
        <f t="shared" si="231"/>
        <v>#DIV/0!</v>
      </c>
      <c r="J859" s="1545"/>
    </row>
    <row r="860" spans="1:10" ht="12.75" hidden="1" customHeight="1" thickBot="1">
      <c r="A860" s="842"/>
      <c r="B860" s="566" t="s">
        <v>59</v>
      </c>
      <c r="C860" s="569"/>
      <c r="D860" s="569"/>
      <c r="E860" s="569"/>
      <c r="F860" s="569"/>
      <c r="G860" s="569"/>
      <c r="H860" s="569"/>
      <c r="I860" s="560" t="e">
        <f t="shared" si="231"/>
        <v>#DIV/0!</v>
      </c>
      <c r="J860" s="1591"/>
    </row>
    <row r="861" spans="1:10" ht="12.75" hidden="1" customHeight="1" thickBot="1">
      <c r="A861" s="1516"/>
      <c r="B861" s="576" t="s">
        <v>97</v>
      </c>
      <c r="C861" s="571"/>
      <c r="D861" s="565"/>
      <c r="E861" s="565"/>
      <c r="F861" s="565"/>
      <c r="G861" s="565"/>
      <c r="H861" s="565"/>
      <c r="I861" s="560" t="e">
        <f t="shared" si="231"/>
        <v>#DIV/0!</v>
      </c>
      <c r="J861" s="1592"/>
    </row>
    <row r="862" spans="1:10" ht="12.75" hidden="1" customHeight="1">
      <c r="A862" s="1518">
        <v>3433</v>
      </c>
      <c r="B862" s="665" t="s">
        <v>810</v>
      </c>
      <c r="C862" s="666"/>
      <c r="D862" s="564"/>
      <c r="E862" s="564"/>
      <c r="F862" s="564"/>
      <c r="G862" s="564"/>
      <c r="H862" s="564"/>
      <c r="I862" s="560" t="e">
        <f t="shared" si="231"/>
        <v>#DIV/0!</v>
      </c>
      <c r="J862" s="474"/>
    </row>
    <row r="863" spans="1:10" ht="12.75" hidden="1" customHeight="1">
      <c r="A863" s="842"/>
      <c r="B863" s="573" t="s">
        <v>84</v>
      </c>
      <c r="C863" s="559"/>
      <c r="D863" s="559"/>
      <c r="E863" s="559"/>
      <c r="F863" s="559"/>
      <c r="G863" s="559"/>
      <c r="H863" s="559"/>
      <c r="I863" s="560" t="e">
        <f t="shared" si="231"/>
        <v>#DIV/0!</v>
      </c>
      <c r="J863" s="1545"/>
    </row>
    <row r="864" spans="1:10" ht="12.75" hidden="1" customHeight="1">
      <c r="A864" s="842"/>
      <c r="B864" s="558" t="s">
        <v>231</v>
      </c>
      <c r="C864" s="559"/>
      <c r="D864" s="559"/>
      <c r="E864" s="559"/>
      <c r="F864" s="559"/>
      <c r="G864" s="559"/>
      <c r="H864" s="559"/>
      <c r="I864" s="560" t="e">
        <f t="shared" si="231"/>
        <v>#DIV/0!</v>
      </c>
      <c r="J864" s="1536"/>
    </row>
    <row r="865" spans="1:12" ht="12.75" hidden="1" customHeight="1">
      <c r="A865" s="842"/>
      <c r="B865" s="561" t="s">
        <v>222</v>
      </c>
      <c r="C865" s="559"/>
      <c r="D865" s="559"/>
      <c r="E865" s="559"/>
      <c r="F865" s="559"/>
      <c r="G865" s="559"/>
      <c r="H865" s="559"/>
      <c r="I865" s="560" t="e">
        <f t="shared" si="231"/>
        <v>#DIV/0!</v>
      </c>
      <c r="J865" s="1554"/>
    </row>
    <row r="866" spans="1:12" ht="12.75" hidden="1" customHeight="1">
      <c r="A866" s="842"/>
      <c r="B866" s="563" t="s">
        <v>89</v>
      </c>
      <c r="C866" s="559"/>
      <c r="D866" s="559"/>
      <c r="E866" s="559"/>
      <c r="F866" s="559"/>
      <c r="G866" s="559"/>
      <c r="H866" s="559"/>
      <c r="I866" s="560" t="e">
        <f t="shared" si="231"/>
        <v>#DIV/0!</v>
      </c>
      <c r="J866" s="1528"/>
    </row>
    <row r="867" spans="1:12" ht="12.75" hidden="1" customHeight="1">
      <c r="A867" s="842"/>
      <c r="B867" s="563" t="s">
        <v>228</v>
      </c>
      <c r="C867" s="559"/>
      <c r="D867" s="559"/>
      <c r="E867" s="559"/>
      <c r="F867" s="559"/>
      <c r="G867" s="559"/>
      <c r="H867" s="559"/>
      <c r="I867" s="560" t="e">
        <f t="shared" si="231"/>
        <v>#DIV/0!</v>
      </c>
      <c r="J867" s="1545"/>
    </row>
    <row r="868" spans="1:12" ht="12.75" hidden="1" customHeight="1" thickBot="1">
      <c r="A868" s="842"/>
      <c r="B868" s="566" t="s">
        <v>59</v>
      </c>
      <c r="C868" s="569"/>
      <c r="D868" s="569"/>
      <c r="E868" s="569"/>
      <c r="F868" s="569"/>
      <c r="G868" s="569"/>
      <c r="H868" s="569"/>
      <c r="I868" s="560" t="e">
        <f t="shared" si="231"/>
        <v>#DIV/0!</v>
      </c>
      <c r="J868" s="1591"/>
    </row>
    <row r="869" spans="1:12" ht="12.75" hidden="1" customHeight="1" thickBot="1">
      <c r="A869" s="1516"/>
      <c r="B869" s="576" t="s">
        <v>97</v>
      </c>
      <c r="C869" s="571"/>
      <c r="D869" s="565"/>
      <c r="E869" s="565"/>
      <c r="F869" s="565"/>
      <c r="G869" s="565"/>
      <c r="H869" s="565"/>
      <c r="I869" s="560" t="e">
        <f t="shared" si="231"/>
        <v>#DIV/0!</v>
      </c>
      <c r="J869" s="1592"/>
    </row>
    <row r="870" spans="1:12" ht="12.75" customHeight="1">
      <c r="A870" s="1518">
        <v>3433</v>
      </c>
      <c r="B870" s="667" t="s">
        <v>810</v>
      </c>
      <c r="C870" s="564"/>
      <c r="D870" s="564"/>
      <c r="E870" s="564"/>
      <c r="F870" s="564"/>
      <c r="G870" s="564"/>
      <c r="H870" s="564"/>
      <c r="I870" s="560"/>
      <c r="J870" s="1548"/>
    </row>
    <row r="871" spans="1:12" ht="12.75" customHeight="1">
      <c r="A871" s="842"/>
      <c r="B871" s="558" t="s">
        <v>84</v>
      </c>
      <c r="C871" s="559"/>
      <c r="D871" s="559"/>
      <c r="E871" s="559"/>
      <c r="F871" s="559"/>
      <c r="G871" s="559"/>
      <c r="H871" s="559"/>
      <c r="I871" s="560"/>
      <c r="J871" s="1543"/>
    </row>
    <row r="872" spans="1:12" ht="12.75" customHeight="1">
      <c r="A872" s="842"/>
      <c r="B872" s="558" t="s">
        <v>231</v>
      </c>
      <c r="C872" s="559"/>
      <c r="D872" s="559"/>
      <c r="E872" s="559"/>
      <c r="F872" s="559"/>
      <c r="G872" s="559"/>
      <c r="H872" s="559"/>
      <c r="I872" s="545"/>
      <c r="J872" s="1543"/>
    </row>
    <row r="873" spans="1:12" ht="12.75" customHeight="1">
      <c r="A873" s="842"/>
      <c r="B873" s="561" t="s">
        <v>222</v>
      </c>
      <c r="C873" s="559">
        <v>0</v>
      </c>
      <c r="D873" s="559">
        <f>28692+30000</f>
        <v>58692</v>
      </c>
      <c r="E873" s="559">
        <f>58692-2068</f>
        <v>56624</v>
      </c>
      <c r="F873" s="559">
        <f>58692-2068+14000</f>
        <v>70624</v>
      </c>
      <c r="G873" s="559">
        <f>58692-2068+14000</f>
        <v>70624</v>
      </c>
      <c r="H873" s="559">
        <v>47935</v>
      </c>
      <c r="I873" s="562">
        <f>H873/G873</f>
        <v>0.67873527412777523</v>
      </c>
      <c r="J873" s="1530"/>
      <c r="L873" s="12"/>
    </row>
    <row r="874" spans="1:12" ht="12.75" customHeight="1">
      <c r="A874" s="842"/>
      <c r="B874" s="563" t="s">
        <v>89</v>
      </c>
      <c r="C874" s="559"/>
      <c r="D874" s="559"/>
      <c r="E874" s="559"/>
      <c r="F874" s="559"/>
      <c r="G874" s="559"/>
      <c r="H874" s="559"/>
      <c r="I874" s="548"/>
      <c r="J874" s="1530"/>
    </row>
    <row r="875" spans="1:12" ht="12.75" customHeight="1">
      <c r="A875" s="842"/>
      <c r="B875" s="563" t="s">
        <v>228</v>
      </c>
      <c r="C875" s="559"/>
      <c r="D875" s="559"/>
      <c r="E875" s="559"/>
      <c r="F875" s="559"/>
      <c r="G875" s="559"/>
      <c r="H875" s="559"/>
      <c r="I875" s="548"/>
      <c r="J875" s="1545"/>
    </row>
    <row r="876" spans="1:12" ht="12.75" customHeight="1">
      <c r="A876" s="842"/>
      <c r="B876" s="563" t="s">
        <v>197</v>
      </c>
      <c r="C876" s="567"/>
      <c r="D876" s="567"/>
      <c r="E876" s="567">
        <v>2068</v>
      </c>
      <c r="F876" s="567">
        <v>2068</v>
      </c>
      <c r="G876" s="567">
        <v>2068</v>
      </c>
      <c r="H876" s="567">
        <v>2067</v>
      </c>
      <c r="I876" s="562">
        <f>H876/G876</f>
        <v>0.99951644100580272</v>
      </c>
      <c r="J876" s="1593"/>
    </row>
    <row r="877" spans="1:12" ht="12.75" customHeight="1" thickBot="1">
      <c r="A877" s="842"/>
      <c r="B877" s="566" t="s">
        <v>59</v>
      </c>
      <c r="C877" s="569"/>
      <c r="D877" s="569"/>
      <c r="E877" s="569"/>
      <c r="F877" s="569"/>
      <c r="G877" s="569"/>
      <c r="H877" s="569"/>
      <c r="I877" s="578"/>
      <c r="J877" s="1591"/>
    </row>
    <row r="878" spans="1:12" ht="12.75" customHeight="1" thickBot="1">
      <c r="A878" s="1516"/>
      <c r="B878" s="576" t="s">
        <v>97</v>
      </c>
      <c r="C878" s="571">
        <f t="shared" ref="C878:H878" si="232">SUM(C873:C877)</f>
        <v>0</v>
      </c>
      <c r="D878" s="571">
        <f t="shared" si="232"/>
        <v>58692</v>
      </c>
      <c r="E878" s="571">
        <f t="shared" si="232"/>
        <v>58692</v>
      </c>
      <c r="F878" s="571">
        <f t="shared" si="232"/>
        <v>72692</v>
      </c>
      <c r="G878" s="571">
        <f t="shared" si="232"/>
        <v>72692</v>
      </c>
      <c r="H878" s="571">
        <f t="shared" si="232"/>
        <v>50002</v>
      </c>
      <c r="I878" s="553">
        <f>H878/G878</f>
        <v>0.68786111263963023</v>
      </c>
      <c r="J878" s="1592"/>
    </row>
    <row r="879" spans="1:12" ht="12.75" customHeight="1">
      <c r="A879" s="1518">
        <v>3434</v>
      </c>
      <c r="B879" s="667" t="s">
        <v>1054</v>
      </c>
      <c r="C879" s="559"/>
      <c r="D879" s="559"/>
      <c r="E879" s="559"/>
      <c r="F879" s="559"/>
      <c r="G879" s="559"/>
      <c r="H879" s="559"/>
      <c r="I879" s="548"/>
      <c r="J879" s="1594"/>
    </row>
    <row r="880" spans="1:12" ht="12.75" customHeight="1">
      <c r="A880" s="1518"/>
      <c r="B880" s="558" t="s">
        <v>84</v>
      </c>
      <c r="C880" s="559"/>
      <c r="D880" s="559"/>
      <c r="E880" s="559"/>
      <c r="F880" s="559"/>
      <c r="G880" s="559"/>
      <c r="H880" s="559"/>
      <c r="I880" s="548"/>
      <c r="J880" s="1543"/>
    </row>
    <row r="881" spans="1:10" ht="12.75" customHeight="1">
      <c r="A881" s="1518"/>
      <c r="B881" s="558" t="s">
        <v>231</v>
      </c>
      <c r="C881" s="559"/>
      <c r="D881" s="559"/>
      <c r="E881" s="559"/>
      <c r="F881" s="559"/>
      <c r="G881" s="559"/>
      <c r="H881" s="559"/>
      <c r="I881" s="548"/>
      <c r="J881" s="1543"/>
    </row>
    <row r="882" spans="1:10" ht="12.75" customHeight="1">
      <c r="A882" s="1518"/>
      <c r="B882" s="561" t="s">
        <v>222</v>
      </c>
      <c r="C882" s="559"/>
      <c r="D882" s="559"/>
      <c r="E882" s="559"/>
      <c r="F882" s="559"/>
      <c r="G882" s="559"/>
      <c r="H882" s="559"/>
      <c r="I882" s="548"/>
      <c r="J882" s="1530"/>
    </row>
    <row r="883" spans="1:10" ht="12.75" customHeight="1">
      <c r="A883" s="1518"/>
      <c r="B883" s="563" t="s">
        <v>89</v>
      </c>
      <c r="C883" s="559"/>
      <c r="D883" s="559"/>
      <c r="E883" s="559"/>
      <c r="F883" s="559"/>
      <c r="G883" s="559"/>
      <c r="H883" s="559"/>
      <c r="I883" s="548"/>
      <c r="J883" s="1530"/>
    </row>
    <row r="884" spans="1:10" ht="12.75" customHeight="1">
      <c r="A884" s="1518"/>
      <c r="B884" s="563" t="s">
        <v>228</v>
      </c>
      <c r="C884" s="559"/>
      <c r="D884" s="559">
        <v>3000</v>
      </c>
      <c r="E884" s="559">
        <v>3000</v>
      </c>
      <c r="F884" s="559">
        <v>3000</v>
      </c>
      <c r="G884" s="559">
        <v>3000</v>
      </c>
      <c r="H884" s="559">
        <v>0</v>
      </c>
      <c r="I884" s="562">
        <f>H884/G884</f>
        <v>0</v>
      </c>
      <c r="J884" s="1530"/>
    </row>
    <row r="885" spans="1:10" ht="12.75" customHeight="1">
      <c r="A885" s="1518"/>
      <c r="B885" s="563" t="s">
        <v>197</v>
      </c>
      <c r="C885" s="559"/>
      <c r="D885" s="559"/>
      <c r="E885" s="559"/>
      <c r="F885" s="559"/>
      <c r="G885" s="559"/>
      <c r="H885" s="559"/>
      <c r="I885" s="548"/>
      <c r="J885" s="1545"/>
    </row>
    <row r="886" spans="1:10" ht="12.75" customHeight="1" thickBot="1">
      <c r="A886" s="1518"/>
      <c r="B886" s="566" t="s">
        <v>59</v>
      </c>
      <c r="C886" s="569"/>
      <c r="D886" s="569"/>
      <c r="E886" s="569"/>
      <c r="F886" s="569"/>
      <c r="G886" s="569"/>
      <c r="H886" s="569"/>
      <c r="I886" s="578"/>
      <c r="J886" s="1591"/>
    </row>
    <row r="887" spans="1:10" ht="12.75" customHeight="1" thickBot="1">
      <c r="A887" s="1518"/>
      <c r="B887" s="576" t="s">
        <v>97</v>
      </c>
      <c r="C887" s="571"/>
      <c r="D887" s="571">
        <f>SUM(D882:D886)</f>
        <v>3000</v>
      </c>
      <c r="E887" s="571">
        <f>SUM(E882:E886)</f>
        <v>3000</v>
      </c>
      <c r="F887" s="571">
        <f>SUM(F882:F886)</f>
        <v>3000</v>
      </c>
      <c r="G887" s="571">
        <f>SUM(G882:G886)</f>
        <v>3000</v>
      </c>
      <c r="H887" s="571">
        <f>SUM(H882:H886)</f>
        <v>0</v>
      </c>
      <c r="I887" s="553">
        <f>H887/G887</f>
        <v>0</v>
      </c>
      <c r="J887" s="1592"/>
    </row>
    <row r="888" spans="1:10" ht="12.75" customHeight="1">
      <c r="A888" s="1518">
        <v>3451</v>
      </c>
      <c r="B888" s="582" t="s">
        <v>96</v>
      </c>
      <c r="C888" s="564"/>
      <c r="D888" s="564"/>
      <c r="E888" s="564"/>
      <c r="F888" s="564"/>
      <c r="G888" s="564"/>
      <c r="H888" s="564"/>
      <c r="I888" s="560"/>
      <c r="J888" s="1593"/>
    </row>
    <row r="889" spans="1:10" ht="12.75" customHeight="1">
      <c r="A889" s="842"/>
      <c r="B889" s="573" t="s">
        <v>84</v>
      </c>
      <c r="C889" s="559"/>
      <c r="D889" s="559"/>
      <c r="E889" s="559"/>
      <c r="F889" s="559"/>
      <c r="G889" s="559"/>
      <c r="H889" s="559"/>
      <c r="I889" s="560"/>
      <c r="J889" s="1545"/>
    </row>
    <row r="890" spans="1:10" ht="12.75" customHeight="1">
      <c r="A890" s="842"/>
      <c r="B890" s="558" t="s">
        <v>231</v>
      </c>
      <c r="C890" s="559"/>
      <c r="D890" s="559"/>
      <c r="E890" s="559"/>
      <c r="F890" s="559"/>
      <c r="G890" s="559"/>
      <c r="H890" s="559"/>
      <c r="I890" s="560"/>
      <c r="J890" s="1543"/>
    </row>
    <row r="891" spans="1:10" ht="12.75" customHeight="1">
      <c r="A891" s="842"/>
      <c r="B891" s="561" t="s">
        <v>222</v>
      </c>
      <c r="C891" s="559">
        <v>4500</v>
      </c>
      <c r="D891" s="559">
        <f>4500+1308</f>
        <v>5808</v>
      </c>
      <c r="E891" s="559">
        <f>4500+1308</f>
        <v>5808</v>
      </c>
      <c r="F891" s="559">
        <f>4500+1308</f>
        <v>5808</v>
      </c>
      <c r="G891" s="559">
        <f>4500+1308</f>
        <v>5808</v>
      </c>
      <c r="H891" s="559">
        <v>3231</v>
      </c>
      <c r="I891" s="562">
        <f>H891/G891</f>
        <v>0.55630165289256195</v>
      </c>
      <c r="J891" s="1530"/>
    </row>
    <row r="892" spans="1:10" ht="12.75" customHeight="1">
      <c r="A892" s="842"/>
      <c r="B892" s="563" t="s">
        <v>89</v>
      </c>
      <c r="C892" s="559"/>
      <c r="D892" s="559"/>
      <c r="E892" s="559"/>
      <c r="F892" s="559"/>
      <c r="G892" s="559"/>
      <c r="H892" s="559"/>
      <c r="I892" s="560"/>
      <c r="J892" s="1530"/>
    </row>
    <row r="893" spans="1:10" ht="12.75" customHeight="1">
      <c r="A893" s="842"/>
      <c r="B893" s="563" t="s">
        <v>228</v>
      </c>
      <c r="C893" s="559"/>
      <c r="D893" s="559"/>
      <c r="E893" s="559"/>
      <c r="F893" s="559"/>
      <c r="G893" s="559"/>
      <c r="H893" s="559"/>
      <c r="I893" s="560"/>
      <c r="J893" s="1545"/>
    </row>
    <row r="894" spans="1:10" ht="12.75" customHeight="1" thickBot="1">
      <c r="A894" s="842"/>
      <c r="B894" s="566" t="s">
        <v>59</v>
      </c>
      <c r="C894" s="569"/>
      <c r="D894" s="569"/>
      <c r="E894" s="569"/>
      <c r="F894" s="569"/>
      <c r="G894" s="569"/>
      <c r="H894" s="569"/>
      <c r="I894" s="575"/>
      <c r="J894" s="1591"/>
    </row>
    <row r="895" spans="1:10" ht="12.75" customHeight="1" thickBot="1">
      <c r="A895" s="1516"/>
      <c r="B895" s="576" t="s">
        <v>97</v>
      </c>
      <c r="C895" s="571">
        <f t="shared" ref="C895:D895" si="233">SUM(C889:C894)</f>
        <v>4500</v>
      </c>
      <c r="D895" s="571">
        <f t="shared" si="233"/>
        <v>5808</v>
      </c>
      <c r="E895" s="571">
        <f t="shared" ref="E895:F895" si="234">SUM(E889:E894)</f>
        <v>5808</v>
      </c>
      <c r="F895" s="571">
        <f t="shared" si="234"/>
        <v>5808</v>
      </c>
      <c r="G895" s="571">
        <f t="shared" ref="G895:H895" si="235">SUM(G889:G894)</f>
        <v>5808</v>
      </c>
      <c r="H895" s="571">
        <f t="shared" si="235"/>
        <v>3231</v>
      </c>
      <c r="I895" s="553">
        <f>H895/G895</f>
        <v>0.55630165289256195</v>
      </c>
      <c r="J895" s="1592"/>
    </row>
    <row r="896" spans="1:10" ht="12" customHeight="1">
      <c r="A896" s="819">
        <v>3600</v>
      </c>
      <c r="B896" s="589" t="s">
        <v>33</v>
      </c>
      <c r="C896" s="544"/>
      <c r="D896" s="544"/>
      <c r="E896" s="544"/>
      <c r="F896" s="544"/>
      <c r="G896" s="544"/>
      <c r="H896" s="544"/>
      <c r="I896" s="560"/>
      <c r="J896" s="1534"/>
    </row>
    <row r="897" spans="1:12" ht="12" customHeight="1">
      <c r="A897" s="819"/>
      <c r="B897" s="668" t="s">
        <v>46</v>
      </c>
      <c r="C897" s="544"/>
      <c r="D897" s="544"/>
      <c r="E897" s="544"/>
      <c r="F897" s="544"/>
      <c r="G897" s="544"/>
      <c r="H897" s="544"/>
      <c r="I897" s="545"/>
      <c r="J897" s="1534"/>
    </row>
    <row r="898" spans="1:12" ht="12" customHeight="1">
      <c r="A898" s="847"/>
      <c r="B898" s="590" t="s">
        <v>84</v>
      </c>
      <c r="C898" s="591">
        <f>SUM(C57+C65+C75+C85+C101+C128+C136+C144+C152+C169+C177+C186+C194+C230+C241+C249+C257+C265+C285+C293+C301+C320+C333+C342+C350+C385+C467+C475+C529+C537+C569+C593+C601+C609+C627+C635+C643+C651+C659+C683+C701+C709+C717+C754+C763+C772+C781+C798+C806+C823+C831+C839+C847+C889+C202+C790+C394+C421+C376+C815)+C275+C403+C412+C160+C485+C871</f>
        <v>346934</v>
      </c>
      <c r="D898" s="591">
        <f>SUM(D57+D65+D75+D85+D101+D128+D136+D144+D152+D169+D177+D186+D194+D230+D241+D249+D257+D265+D285+D293+D301+D320+D333+D342+D350+D385+D448+D457+D467+D475+D529+D537+D569+D593+D601+D609+D627+D635+D643+D651+D659+D683+D701+D709+D717+D754+D763+D772+D781+D798+D806+D823+D831+D839+D847+D889+D202+D790+D394+D421+D376+D815)+D275+D403+D412+D160+D485+D871</f>
        <v>357226</v>
      </c>
      <c r="E898" s="591">
        <f>SUM(E57+E65+E75+E85+E101+E128+E136+E144+E152+E169+E177+E186+E194+E230+E241+E249+E257+E265+E285+E293+E301+E320+E333+E342+E350+E385+E448+E457+E467+E475+E529+E537+E569+E593+E601+E609+E627+E635+E643+E651+E659+E683+E701+E709+E717+E754+E763+E772+E781+E798+E806+E823+E831+E839+E847+E889+E202+E790+E394+E421+E376+E815)+E275+E403+E412+E160+E485+E871</f>
        <v>407736</v>
      </c>
      <c r="F898" s="591">
        <f>SUM(F57+F65+F75+F85+F101+F128+F136+F144+F152+F169+F177+F186+F194+F230+F241+F249+F257+F265+F285+F293+F301+F320+F333+F342+F350+F385+F448+F457+F467+F475+F529+F537+F569+F593+F601+F609+F627+F635+F643+F651+F659+F683+F701+F709+F717+F754+F763+F772+F781+F798+F806+F823+F831+F839+F847+F889+F202+F790+F394+F421+F376+F815)+F275+F403+F412+F160+F485+F871</f>
        <v>399286</v>
      </c>
      <c r="G898" s="591">
        <f>SUM(G57+G65+G75+G85+G101+G128+G136+G144+G152+G169+G177+G186+G194+G230+G241+G249+G257+G265+G285+G293+G301+G320+G333+G342+G350+G385+G448+G457+G467+G475+G529+G537+G569+G593+G601+G609+G627+G635+G643+G651+G659+G683+G701+G709+G717+G754+G763+G772+G781+G798+G806+G823+G831+G839+G847+G889+G202+G790+G394+G421+G376+G815)+G275+G403+G412+G160+G485+G871+G47</f>
        <v>384721</v>
      </c>
      <c r="H898" s="591">
        <f>SUM(H57+H65+H75+H85+H101+H128+H136+H144+H152+H169+H177+H186+H194+H230+H241+H249+H257+H265+H285+H293+H301+H320+H333+H342+H350+H385+H448+H457+H467+H475+H529+H537+H569+H593+H601+H609+H627+H635+H643+H651+H659+H683+H701+H709+H717+H754+H763+H772+H781+H798+H806+H823+H831+H839+H847+H889+H202+H790+H394+H421+H376+H815)+H275+H403+H412+H160+H485+H871+H47</f>
        <v>354606</v>
      </c>
      <c r="I898" s="562">
        <f t="shared" ref="I898:I903" si="236">H898/G898</f>
        <v>0.92172249500287218</v>
      </c>
      <c r="J898" s="1535"/>
    </row>
    <row r="899" spans="1:12" ht="12" customHeight="1">
      <c r="A899" s="847"/>
      <c r="B899" s="594" t="s">
        <v>80</v>
      </c>
      <c r="C899" s="591">
        <f>SUM(C58+C66+C76+C86+C102+C129+C137+C145+C153+C170+C178+C187+C195+C231+C242+C250+C258+C266+C286+C294+C302+C321+C334+C343+C351+C386+C468+C476+C530+C538+C570+C594+C602+C610+C628+C636+C644+C652+C660+C684+C702+C710+C718+C755+C764+C773+C782+C799+C807+C824+C832+C840+C848+C890+C203+C791+C395+C422)+C377+C816+C276+C404+C413+C161+C486+C872</f>
        <v>51887</v>
      </c>
      <c r="D899" s="591">
        <f>SUM(D58+D66+D76+D86+D102+D129+D137+D145+D153+D170+D178+D187+D195+D231+D242+D250+D258+D266+D286+D294+D302+D321+D334+D343+D351+D386+D449+D458+D468+D476+D530+D538+D570+D594+D602+D610+D628+D636+D644+D652+D660+D684+D702+D710+D718+D755+D764+D773+D782+D799+D807+D824+D832+D840+D848+D890+D203+D791+D395+D422)+D377+D816+D276+D404+D413+D161+D486+D872</f>
        <v>59760</v>
      </c>
      <c r="E899" s="591">
        <f>SUM(E58+E66+E76+E86+E102+E129+E137+E145+E153+E170+E178+E187+E195+E231+E242+E250+E258+E266+E286+E294+E302+E321+E334+E343+E351+E386+E449+E458+E468+E476+E530+E538+E570+E594+E602+E610+E628+E636+E644+E652+E660+E684+E702+E710+E718+E755+E764+E773+E782+E799+E807+E824+E832+E840+E848+E890+E203+E791+E395+E422)+E377+E816+E276+E404+E413+E161+E486+E872</f>
        <v>65773</v>
      </c>
      <c r="F899" s="591">
        <f>SUM(F58+F66+F76+F86+F102+F129+F137+F145+F153+F170+F178+F187+F195+F231+F242+F250+F258+F266+F286+F294+F302+F321+F334+F343+F351+F386+F449+F458+F468+F476+F530+F538+F570+F594+F602+F610+F628+F636+F644+F652+F660+F684+F702+F710+F718+F755+F764+F773+F782+F799+F807+F824+F832+F840+F848+F890+F203+F791+F395+F422)+F377+F816+F276+F404+F413+F161+F486+F872</f>
        <v>62283</v>
      </c>
      <c r="G899" s="591">
        <f>SUM(G58+G66+G76+G86+G102+G129+G137+G145+G153+G170+G178+G187+G195+G231+G242+G250+G258+G266+G286+G294+G302+G321+G334+G343+G351+G386+G449+G458+G468+G476+G530+G538+G570+G594+G602+G610+G628+G636+G644+G652+G660+G684+G702+G710+G718+G755+G764+G773+G782+G799+G807+G824+G832+G840+G848+G890+G203+G791+G395+G422+G377+G816)+G276+G404+G413+G161+G486+G872+G48</f>
        <v>60002</v>
      </c>
      <c r="H899" s="591">
        <f>SUM(H58+H66+H76+H86+H102+H129+H137+H145+H153+H170+H178+H187+H195+H231+H242+H250+H258+H266+H286+H294+H302+H321+H334+H343+H351+H386+H449+H458+H468+H476+H530+H538+H570+H594+H602+H610+H628+H636+H644+H652+H660+H684+H702+H710+H718+H755+H764+H773+H782+H799+H807+H824+H832+H840+H848+H890+H203+H791+H395+H422+H377+H816)+H276+H404+H413+H161+H486+H872+H48</f>
        <v>47583</v>
      </c>
      <c r="I899" s="562">
        <f t="shared" si="236"/>
        <v>0.79302356588113732</v>
      </c>
      <c r="J899" s="1535"/>
    </row>
    <row r="900" spans="1:12" ht="12" customHeight="1">
      <c r="A900" s="847"/>
      <c r="B900" s="594" t="s">
        <v>230</v>
      </c>
      <c r="C900" s="591">
        <f>SUM(C59+C67+C77+C87+C103+C130+C138+C146+C154+C171+C179+C188+C196+C232+C243+C251+C259+C267+C287+C295+C303+C312+C322+C335+C344+C352+C387+C469+C477+C531+C539+C571+C595+C603+C611+C629+C637+C645+C653+C661+C685+C703+C711+C719+C756+C765+C774+C783+C800+C808+C825+C833+C841+C849+C891+C669+C547+C563+C204+C496+C113+C792+C95+C13+C121+C213+C21+C579+C677+C378+C277+C31+C40+C362)+C694+C396+C423+C49+C620+C817+C857+C587+C405+C414+C162+C865+C514+C222+C487+C873+C459</f>
        <v>4529943</v>
      </c>
      <c r="D900" s="591">
        <f>SUM(D59+D67+D77+D87+D103+D130+D138+D146+D154+D171+D179+D188+D196+D232+D243+D251+D259+D267+D287+D295+D303+D312+D322+D335+D344+D352+D387+D396+D450+D469+D477+D531+D539+D571+D595+D603+D611+D629+D637+D645+D653+D661+D685+D703+D711+D719+D756+D765+D774+D783+D800+D808+D825+D833+D841+D849+D891+D669+D547+D563+D204+D496+D113+D792+D95+D13+D121+D213+D21+D579+D677+D378+D277+D31+D40+D362)+D694+D423+D49+D620+D817+D857+D587+D405+D414+D162+D865+D514+D222+D487+D873+D459</f>
        <v>5275177</v>
      </c>
      <c r="E900" s="591">
        <f>SUM(E59+E67+E77+E87+E103+E130+E138+E146+E154+E171+E179+E188+E196+E232+E243+E251+E259+E267+E287+E295+E303+E312+E322+E335+E344+E352+E387+E396+E450+E469+E477+E531+E539+E571+E595+E603+E611+E629+E637+E645+E653+E661+E685+E703+E711+E719+E756+E765+E774+E783+E800+E808+E825+E833+E841+E849+E891+E669+E547+E563+E204+E496+E113+E792+E95+E13+E121+E213+E21+E579+E677+E378+E277+E31+E40+E362)+E694+E423+E49+E620+E817+E857+E587+E405+E414+E162+E865+E514+E222+E487+E873+E459</f>
        <v>5342331</v>
      </c>
      <c r="F900" s="591">
        <f>SUM(F59+F67+F77+F87+F103+F130+F138+F146+F154+F171+F179+F188+F196+F232+F243+F251+F259+F267+F287+F295+F303+F312+F322+F335+F344+F352+F387+F396+F450+F469+F477+F531+F539+F571+F595+F603+F611+F629+F637+F645+F653+F661+F685+F703+F711+F719+F756+F765+F774+F783+F800+F808+F825+F833+F841+F849+F891+F669+F547+F563+F204+F496+F113+F792+F95+F13+F121+F213+F21+F579+F677+F378+F277+F31+F40+F362)+F694+F423+F49+F620+F817+F857+F587+F405+F414+F162+F865+F514+F222+F487+F873+F459</f>
        <v>5481061</v>
      </c>
      <c r="G900" s="591">
        <f>SUM(G59+G67+G77+G87+G103+G130+G138+G146+G154+G171+G179+G188+G196+G232+G243+G251+G259+G267+G287+G295+G303+G312+G322+G335+G344+G352+G387+G396+G450+G469+G477+G531+G539+G571+G595+G603+G611+G629+G637+G645+G653+G661+G685+G703+G711+G719+G756+G765+G774+G783+G800+G808+G825+G833+G841+G849+G891+G669+G547+G563+G204+G496+G113+G792+G95+G13+G121+G213+G21+G579+G677+G378+G277+G31+G40+G362)+G694+G423+G49+G620+G817+G857+G587+G405+G414+G162+G865+G514+G222+G487+G873+G459+G432+G441</f>
        <v>5477686</v>
      </c>
      <c r="H900" s="591">
        <f>SUM(H59+H67+H77+H87+H103+H130+H138+H146+H154+H171+H179+H188+H196+H232+H243+H251+H259+H267+H287+H295+H303+H312+H322+H335+H344+H352+H387+H396+H450+H469+H477+H531+H539+H571+H595+H603+H611+H629+H637+H645+H653+H661+H685+H703+H711+H719+H756+H765+H774+H783+H800+H808+H825+H833+H841+H849+H891+H669+H547+H563+H204+H496+H113+H792+H95+H13+H121+H213+H21+H579+H677+H378+H277+H31+H40+H362)+H694+H423+H49+H620+H817+H857+H587+H405+H414+H162+H865+H514+H222+H487+H873+H459+H432+H441</f>
        <v>4471654</v>
      </c>
      <c r="I900" s="562">
        <f t="shared" si="236"/>
        <v>0.81633996545256515</v>
      </c>
      <c r="J900" s="1535"/>
    </row>
    <row r="901" spans="1:12" ht="12" customHeight="1">
      <c r="A901" s="847"/>
      <c r="B901" s="592" t="s">
        <v>89</v>
      </c>
      <c r="C901" s="591">
        <f t="shared" ref="C901:H901" si="237">SUM(C60+C68+C78+C88+C104+C131+C139+C147+C155+C172+C180+C189+C197+C233+C244+C252+C260+C268+C288+C296+C304+C325+C336+C345+C353+C388+C470+C478+C532+C540+C572+C596+C604+C612+C630+C638+C646+C654+C662+C686+C704+C712+C720+C757+C766+C775+C784+C801+C809+C826+C834+C842+C850+C892+C497+C506+C548+C556+C564+C580+C524)+C163+C397+C406+C415+C424+C490+C874</f>
        <v>205000</v>
      </c>
      <c r="D901" s="591">
        <f t="shared" si="237"/>
        <v>262952</v>
      </c>
      <c r="E901" s="591">
        <f t="shared" si="237"/>
        <v>264999</v>
      </c>
      <c r="F901" s="591">
        <f t="shared" si="237"/>
        <v>269999</v>
      </c>
      <c r="G901" s="591">
        <f t="shared" si="237"/>
        <v>269999</v>
      </c>
      <c r="H901" s="591">
        <f t="shared" si="237"/>
        <v>212420</v>
      </c>
      <c r="I901" s="562">
        <f t="shared" si="236"/>
        <v>0.78674365460612816</v>
      </c>
      <c r="J901" s="1535"/>
    </row>
    <row r="902" spans="1:12" ht="12" customHeight="1" thickBot="1">
      <c r="A902" s="847"/>
      <c r="B902" s="669" t="s">
        <v>228</v>
      </c>
      <c r="C902" s="531">
        <f>SUM(C61+C69+C79+C89+C105+C132+C140+C148+C156+C173+C181+C190+C198+C234+C245+C253+C261+C269+C289+C297+C305+C326+C337+C346+C389+C471+C479+C507+C533+C541+C573+C597+C605+C613+C631+C639+C647+C655+C663+C687+C705+C713+C721+C758+C767+C776+C785+C802+C810+C827+C835+C843+C851+C893+C206+C794)+C731+C425+C164+C740+C416+C398+C407+C489+C875+C749+C279</f>
        <v>75600</v>
      </c>
      <c r="D902" s="531">
        <f>SUM(D61+D69+D79+D89+D105+D132+D140+D148+D156+D173+D181+D190+D198+D234+D245+D253+D261+D269+D289+D297+D305+D326+D337+D346+D389+D452+D461+D471+D479+D507+D533+D541+D573+D597+D605+D613+D631+D639+D647+D655+D663+D687+D705+D713+D721+D758+D767+D776+D785+D802+D810+D827+D835+D843+D851+D893+D206+D794)+D731+D425+D164+D740+D416+D398+D407+D489+D875+D749+D279+D884</f>
        <v>122988</v>
      </c>
      <c r="E902" s="531">
        <f>SUM(E61+E69+E79+E89+E105+E132+E140+E148+E156+E173+E181+E190+E198+E234+E245+E253+E261+E269+E289+E297+E305+E326+E337+E346+E389+E452+E461+E471+E479+E507+E533+E541+E573+E597+E605+E613+E631+E639+E647+E655+E663+E687+E705+E713+E721+E758+E767+E776+E785+E802+E810+E827+E835+E843+E851+E893+E206+E794)+E731+E425+E164+E740+E416+E398+E407+E489+E875+E749+E279+E884+E23</f>
        <v>128231</v>
      </c>
      <c r="F902" s="531">
        <f>SUM(F61+F69+F79+F89+F105+F132+F140+F148+F156+F173+F181+F190+F198+F234+F245+F253+F261+F269+F289+F297+F305+F326+F337+F346+F389+F452+F461+F471+F479+F507+F533+F541+F573+F597+F605+F613+F631+F639+F647+F655+F663+F687+F705+F713+F721+F758+F767+F776+F785+F802+F810+F827+F835+F843+F851+F893+F206+F794)+F731+F425+F164+F740+F416+F398+F407+F489+F875+F749+F279+F884+F23</f>
        <v>145701</v>
      </c>
      <c r="G902" s="531">
        <f>SUM(G61+G69+G79+G89+G105+G132+G140+G148+G156+G173+G181+G190+G198+G234+G245+G253+G261+G269+G289+G297+G305+G326+G337+G346+G389+G452+G461+G471+G479+G507+G533+G541+G573+G597+G605+G613+G631+G639+G647+G655+G663+G687+G705+G713+G721+G758+G767+G776+G785+G802+G810+G827+G835+G843+G851+G893+G206+G794)+G731+G425+G164+G740+G416+G398+G407+G489+G875+G749+G279+G884+G23</f>
        <v>146951</v>
      </c>
      <c r="H902" s="531">
        <f>SUM(H61+H69+H79+H89+H105+H132+H140+H148+H156+H173+H181+H190+H198+H234+H245+H253+H261+H269+H289+H297+H305+H326+H337+H346+H389+H452+H461+H471+H479+H507+H533+H541+H573+H597+H605+H613+H631+H639+H647+H655+H663+H687+H705+H713+H721+H758+H767+H776+H785+H802+H810+H827+H835+H843+H851+H893+H206+H794)+H731+H425+H164+H740+H416+H398+H407+H489+H875+H749+H279+H884+H23</f>
        <v>116110</v>
      </c>
      <c r="I902" s="562">
        <f t="shared" si="236"/>
        <v>0.79012732135201524</v>
      </c>
      <c r="J902" s="1552"/>
    </row>
    <row r="903" spans="1:12" ht="12" customHeight="1" thickBot="1">
      <c r="A903" s="847"/>
      <c r="B903" s="670" t="s">
        <v>37</v>
      </c>
      <c r="C903" s="671">
        <f t="shared" ref="C903:H903" si="238">SUM(C898:C902)</f>
        <v>5209364</v>
      </c>
      <c r="D903" s="671">
        <f t="shared" si="238"/>
        <v>6078103</v>
      </c>
      <c r="E903" s="671">
        <f t="shared" si="238"/>
        <v>6209070</v>
      </c>
      <c r="F903" s="671">
        <f t="shared" si="238"/>
        <v>6358330</v>
      </c>
      <c r="G903" s="671">
        <f t="shared" si="238"/>
        <v>6339359</v>
      </c>
      <c r="H903" s="671">
        <f t="shared" si="238"/>
        <v>5202373</v>
      </c>
      <c r="I903" s="553">
        <f t="shared" si="236"/>
        <v>0.82064653539892596</v>
      </c>
      <c r="J903" s="475"/>
    </row>
    <row r="904" spans="1:12" ht="12" customHeight="1">
      <c r="A904" s="847"/>
      <c r="B904" s="672" t="s">
        <v>47</v>
      </c>
      <c r="C904" s="591"/>
      <c r="D904" s="591"/>
      <c r="E904" s="591"/>
      <c r="F904" s="591"/>
      <c r="G904" s="591"/>
      <c r="H904" s="591"/>
      <c r="I904" s="560"/>
      <c r="J904" s="1534"/>
    </row>
    <row r="905" spans="1:12" ht="12" customHeight="1">
      <c r="A905" s="847"/>
      <c r="B905" s="594" t="s">
        <v>192</v>
      </c>
      <c r="C905" s="591">
        <f>SUM(C53+C62+C246+C271+C759+C355+C803+C116+C207+C706+C182+C722+C106+C306+C777+C795+C25+C390+C98+C281)+C44+C262+C426+C768+C399+C35+C216+C225+C365+C408+C417+C820+C876+C811+C462</f>
        <v>26400</v>
      </c>
      <c r="D905" s="591">
        <f>SUM(D53+D62+D246+D271+D759+D355+D803+D116+D207+D706+D182+D722+D106+D306+D777+D795+D25+D390+D98+D281)+D44+D262+D426+D768+D399+D35+D216+D225+D365+D408+D417+D453+D820+D876+D811+D462</f>
        <v>79904</v>
      </c>
      <c r="E905" s="591">
        <f>SUM(E53+E62+E246+E271+E759+E355+E803+E116+E207+E706+E182+E722+E106+E306+E777+E795+E25+E390+E98+E281)+E44+E262+E426+E768+E399+E35+E216+E225+E365+E408+E417+E453+E820+E876+E811+E462</f>
        <v>98264</v>
      </c>
      <c r="F905" s="591">
        <f>SUM(F53+F62+F246+F271+F759+F355+F803+F116+F207+F706+F182+F722+F106+F306+F777+F795+F25+F390+F98+F281)+F44+F262+F426+F768+F399+F35+F216+F225+F365+F408+F417+F453+F820+F876+F811+F462</f>
        <v>120986</v>
      </c>
      <c r="G905" s="591">
        <f>SUM(G53+G62+G246+G271+G759+G355+G803+G116+G207+G706+G182+G722+G106+G306+G777+G795+G25+G390+G98+G281)+G44+G262+G426+G768+G399+G35+G216+G225+G365+G408+G417+G453+G820+G876+G811+G462+G70</f>
        <v>141171</v>
      </c>
      <c r="H905" s="591">
        <f>SUM(H53+H62+H246+H271+H759+H355+H803+H116+H207+H706+H182+H722+H106+H306+H777+H795+H25+H390+H98+H281)+H44+H262+H426+H768+H399+H35+H216+H225+H365+H408+H417+H453+H820+H876+H811+H462+H70</f>
        <v>41525</v>
      </c>
      <c r="I905" s="562">
        <f>H905/G905</f>
        <v>0.29414681485574234</v>
      </c>
      <c r="J905" s="1535"/>
    </row>
    <row r="906" spans="1:12" ht="12" customHeight="1">
      <c r="A906" s="847"/>
      <c r="B906" s="594" t="s">
        <v>193</v>
      </c>
      <c r="C906" s="591">
        <f t="shared" ref="C906:H906" si="239">SUM(C107)</f>
        <v>0</v>
      </c>
      <c r="D906" s="591">
        <f t="shared" si="239"/>
        <v>0</v>
      </c>
      <c r="E906" s="591">
        <f t="shared" si="239"/>
        <v>0</v>
      </c>
      <c r="F906" s="591">
        <f t="shared" si="239"/>
        <v>0</v>
      </c>
      <c r="G906" s="591">
        <f t="shared" si="239"/>
        <v>0</v>
      </c>
      <c r="H906" s="591">
        <f t="shared" si="239"/>
        <v>0</v>
      </c>
      <c r="I906" s="562"/>
      <c r="J906" s="1535"/>
    </row>
    <row r="907" spans="1:12" ht="12" customHeight="1" thickBot="1">
      <c r="A907" s="847"/>
      <c r="B907" s="669" t="s">
        <v>249</v>
      </c>
      <c r="C907" s="531">
        <f>SUM(C90+C254+C191+C472+C272+C812+C183+C391+C778+C208+C307+C108)+C199+C760+C282+C165+C71</f>
        <v>1463129</v>
      </c>
      <c r="D907" s="531">
        <f>SUM(D90+D254+D191+D472+D272+D812+D183+D391+D778+D208+D307+D108)+D199+D760+D282+D165+D71</f>
        <v>1852229</v>
      </c>
      <c r="E907" s="531">
        <f>SUM(E90+E254+E191+E472+E272+E812+E183+E391+E778+E208+E307+E108)+E199+E760+E282+E165+E71</f>
        <v>1859669</v>
      </c>
      <c r="F907" s="531">
        <f>SUM(F90+F254+F191+F472+F272+F812+F183+F391+F778+F208+F307+F108)+F199+F760+F282+F165+F71+F26</f>
        <v>2061437</v>
      </c>
      <c r="G907" s="531">
        <f>SUM(G90+G254+G191+G472+G272+G812+G183+G391+G778+G208+G307+G108)+G199+G760+G282+G165+G71+G26</f>
        <v>2062437</v>
      </c>
      <c r="H907" s="531">
        <f>SUM(H90+H254+H191+H472+H272+H812+H183+H391+H778+H208+H307+H108)+H199+H760+H282+H165+H71+H26</f>
        <v>1505123</v>
      </c>
      <c r="I907" s="562">
        <f>H907/G907</f>
        <v>0.72977889748874758</v>
      </c>
      <c r="J907" s="1552"/>
    </row>
    <row r="908" spans="1:12" ht="12" customHeight="1" thickBot="1">
      <c r="A908" s="847"/>
      <c r="B908" s="670" t="s">
        <v>43</v>
      </c>
      <c r="C908" s="671">
        <f t="shared" ref="C908:D908" si="240">SUM(C905:C907)</f>
        <v>1489529</v>
      </c>
      <c r="D908" s="671">
        <f t="shared" si="240"/>
        <v>1932133</v>
      </c>
      <c r="E908" s="671">
        <f t="shared" ref="E908:F908" si="241">SUM(E905:E907)</f>
        <v>1957933</v>
      </c>
      <c r="F908" s="671">
        <f t="shared" si="241"/>
        <v>2182423</v>
      </c>
      <c r="G908" s="671">
        <f t="shared" ref="G908:H908" si="242">SUM(G905:G907)</f>
        <v>2203608</v>
      </c>
      <c r="H908" s="671">
        <f t="shared" si="242"/>
        <v>1546648</v>
      </c>
      <c r="I908" s="553">
        <f>H908/G908</f>
        <v>0.70187075015156963</v>
      </c>
      <c r="J908" s="475"/>
    </row>
    <row r="909" spans="1:12" ht="12.75" customHeight="1" thickBot="1">
      <c r="A909" s="898"/>
      <c r="B909" s="610" t="s">
        <v>200</v>
      </c>
      <c r="C909" s="673">
        <f t="shared" ref="C909:H909" si="243">SUM(C908+C903)</f>
        <v>6698893</v>
      </c>
      <c r="D909" s="674">
        <f t="shared" si="243"/>
        <v>8010236</v>
      </c>
      <c r="E909" s="674">
        <f t="shared" si="243"/>
        <v>8167003</v>
      </c>
      <c r="F909" s="674">
        <f t="shared" si="243"/>
        <v>8540753</v>
      </c>
      <c r="G909" s="674">
        <f t="shared" si="243"/>
        <v>8542967</v>
      </c>
      <c r="H909" s="674">
        <f t="shared" si="243"/>
        <v>6749021</v>
      </c>
      <c r="I909" s="553">
        <f>H909/G909</f>
        <v>0.79000902145589469</v>
      </c>
      <c r="J909" s="475"/>
      <c r="L909" s="12"/>
    </row>
    <row r="911" spans="1:12">
      <c r="F911" s="753"/>
      <c r="G911" s="753"/>
      <c r="H911" s="753"/>
    </row>
    <row r="912" spans="1:12">
      <c r="F912" s="753"/>
      <c r="G912" s="753"/>
      <c r="H912" s="753"/>
    </row>
    <row r="913" spans="6:8">
      <c r="G913" s="753"/>
      <c r="H913" s="753"/>
    </row>
    <row r="914" spans="6:8">
      <c r="F914" s="753"/>
      <c r="G914" s="753"/>
      <c r="H914" s="753"/>
    </row>
    <row r="915" spans="6:8">
      <c r="F915" s="753"/>
      <c r="G915" s="753"/>
      <c r="H915" s="753"/>
    </row>
    <row r="916" spans="6:8">
      <c r="G916" s="753"/>
      <c r="H916" s="753"/>
    </row>
    <row r="917" spans="6:8">
      <c r="G917" s="753"/>
      <c r="H917" s="753"/>
    </row>
    <row r="918" spans="6:8">
      <c r="G918" s="753"/>
      <c r="H918" s="753"/>
    </row>
  </sheetData>
  <mergeCells count="9">
    <mergeCell ref="A1:J1"/>
    <mergeCell ref="A2:J2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.59055118110236227" right="0" top="0.59055118110236227" bottom="0" header="0.19685039370078741" footer="0"/>
  <pageSetup paperSize="9" scale="70" firstPageNumber="25" orientation="landscape" useFirstPageNumber="1" r:id="rId1"/>
  <headerFooter alignWithMargins="0">
    <oddFooter>&amp;C&amp;P. oldal</oddFooter>
  </headerFooter>
  <rowBreaks count="16" manualBreakCount="16">
    <brk id="54" max="16383" man="1"/>
    <brk id="109" max="16383" man="1"/>
    <brk id="166" max="16383" man="1"/>
    <brk id="218" max="16383" man="1"/>
    <brk id="273" max="16383" man="1"/>
    <brk id="317" max="16383" man="1"/>
    <brk id="374" max="8" man="1"/>
    <brk id="410" max="16383" man="1"/>
    <brk id="464" max="16383" man="1"/>
    <brk id="510" max="16383" man="1"/>
    <brk id="567" max="16383" man="1"/>
    <brk id="625" max="16383" man="1"/>
    <brk id="681" max="16383" man="1"/>
    <brk id="723" max="16383" man="1"/>
    <brk id="796" max="16383" man="1"/>
    <brk id="83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75"/>
  <sheetViews>
    <sheetView topLeftCell="A40" zoomScale="90" zoomScaleNormal="90" zoomScaleSheetLayoutView="100" workbookViewId="0">
      <selection activeCell="J4" sqref="J4"/>
    </sheetView>
  </sheetViews>
  <sheetFormatPr defaultColWidth="9.140625" defaultRowHeight="12.95" customHeight="1"/>
  <cols>
    <col min="1" max="1" width="6.85546875" style="6" customWidth="1"/>
    <col min="2" max="2" width="51" style="6" customWidth="1"/>
    <col min="3" max="8" width="13.7109375" style="7" customWidth="1"/>
    <col min="9" max="9" width="9.42578125" style="7" customWidth="1"/>
    <col min="10" max="10" width="52.85546875" style="6" customWidth="1"/>
    <col min="11" max="11" width="13.42578125" style="6" bestFit="1" customWidth="1"/>
    <col min="12" max="16384" width="9.140625" style="6"/>
  </cols>
  <sheetData>
    <row r="2" spans="1:11" ht="12.95" customHeight="1">
      <c r="A2" s="1785" t="s">
        <v>1124</v>
      </c>
      <c r="B2" s="1784"/>
      <c r="C2" s="1784"/>
      <c r="D2" s="1784"/>
      <c r="E2" s="1784"/>
      <c r="F2" s="1784"/>
      <c r="G2" s="1784"/>
      <c r="H2" s="1784"/>
      <c r="I2" s="1784"/>
      <c r="J2" s="1784"/>
    </row>
    <row r="3" spans="1:11" ht="12.95" customHeight="1">
      <c r="A3" s="1783" t="s">
        <v>960</v>
      </c>
      <c r="B3" s="1784"/>
      <c r="C3" s="1784"/>
      <c r="D3" s="1784"/>
      <c r="E3" s="1784"/>
      <c r="F3" s="1784"/>
      <c r="G3" s="1784"/>
      <c r="H3" s="1784"/>
      <c r="I3" s="1784"/>
      <c r="J3" s="1784"/>
    </row>
    <row r="4" spans="1:11" ht="20.45" customHeight="1" thickBot="1">
      <c r="C4" s="32"/>
      <c r="D4" s="32"/>
      <c r="E4" s="32"/>
      <c r="F4" s="32"/>
      <c r="G4" s="32"/>
      <c r="H4" s="32"/>
      <c r="I4" s="32"/>
      <c r="J4" s="1401" t="s">
        <v>1353</v>
      </c>
    </row>
    <row r="5" spans="1:11" ht="12.95" customHeight="1">
      <c r="A5" s="880"/>
      <c r="B5" s="881"/>
      <c r="C5" s="1750" t="s">
        <v>1017</v>
      </c>
      <c r="D5" s="1750" t="s">
        <v>1062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50" t="s">
        <v>1122</v>
      </c>
      <c r="J5" s="818" t="s">
        <v>400</v>
      </c>
    </row>
    <row r="6" spans="1:11" ht="12.75">
      <c r="A6" s="882" t="s">
        <v>217</v>
      </c>
      <c r="B6" s="45" t="s">
        <v>105</v>
      </c>
      <c r="C6" s="1765"/>
      <c r="D6" s="1765"/>
      <c r="E6" s="1765"/>
      <c r="F6" s="1765"/>
      <c r="G6" s="1765"/>
      <c r="H6" s="1767"/>
      <c r="I6" s="1765"/>
      <c r="J6" s="820" t="s">
        <v>106</v>
      </c>
    </row>
    <row r="7" spans="1:11" ht="13.5" thickBot="1">
      <c r="A7" s="883"/>
      <c r="B7" s="884"/>
      <c r="C7" s="1766"/>
      <c r="D7" s="1766"/>
      <c r="E7" s="1766"/>
      <c r="F7" s="1766"/>
      <c r="G7" s="1766"/>
      <c r="H7" s="1751"/>
      <c r="I7" s="1766"/>
      <c r="J7" s="822"/>
    </row>
    <row r="8" spans="1:11" ht="15" customHeight="1" thickBot="1">
      <c r="A8" s="885" t="s">
        <v>120</v>
      </c>
      <c r="B8" s="886" t="s">
        <v>121</v>
      </c>
      <c r="C8" s="886" t="s">
        <v>122</v>
      </c>
      <c r="D8" s="886" t="s">
        <v>419</v>
      </c>
      <c r="E8" s="407" t="s">
        <v>420</v>
      </c>
      <c r="F8" s="407" t="s">
        <v>429</v>
      </c>
      <c r="G8" s="407" t="s">
        <v>455</v>
      </c>
      <c r="H8" s="407" t="s">
        <v>378</v>
      </c>
      <c r="I8" s="407" t="s">
        <v>379</v>
      </c>
      <c r="J8" s="475" t="s">
        <v>456</v>
      </c>
    </row>
    <row r="9" spans="1:11" ht="12.75" customHeight="1">
      <c r="A9" s="1598"/>
      <c r="B9" s="43" t="s">
        <v>205</v>
      </c>
      <c r="C9" s="203"/>
      <c r="D9" s="203"/>
      <c r="E9" s="203"/>
      <c r="F9" s="203"/>
      <c r="G9" s="203"/>
      <c r="H9" s="203"/>
      <c r="I9" s="203"/>
      <c r="J9" s="878"/>
    </row>
    <row r="10" spans="1:11" ht="12.75" customHeight="1" thickBot="1">
      <c r="A10" s="840">
        <v>3911</v>
      </c>
      <c r="B10" s="22" t="s">
        <v>137</v>
      </c>
      <c r="C10" s="734">
        <v>25000</v>
      </c>
      <c r="D10" s="734">
        <f>25000+979</f>
        <v>25979</v>
      </c>
      <c r="E10" s="734">
        <f>25979</f>
        <v>25979</v>
      </c>
      <c r="F10" s="734">
        <f>25979</f>
        <v>25979</v>
      </c>
      <c r="G10" s="734">
        <f>25979</f>
        <v>25979</v>
      </c>
      <c r="H10" s="734">
        <v>22802</v>
      </c>
      <c r="I10" s="145">
        <f>H10/G10</f>
        <v>0.87770891874206092</v>
      </c>
      <c r="J10" s="1599"/>
    </row>
    <row r="11" spans="1:11" ht="12.75" customHeight="1" thickBot="1">
      <c r="A11" s="451">
        <v>3910</v>
      </c>
      <c r="B11" s="23" t="s">
        <v>130</v>
      </c>
      <c r="C11" s="201">
        <f t="shared" ref="C11:H11" si="0">SUM(C10:C10)</f>
        <v>25000</v>
      </c>
      <c r="D11" s="201">
        <f t="shared" si="0"/>
        <v>25979</v>
      </c>
      <c r="E11" s="201">
        <f t="shared" si="0"/>
        <v>25979</v>
      </c>
      <c r="F11" s="201">
        <f t="shared" si="0"/>
        <v>25979</v>
      </c>
      <c r="G11" s="201">
        <f t="shared" si="0"/>
        <v>25979</v>
      </c>
      <c r="H11" s="201">
        <f t="shared" si="0"/>
        <v>22802</v>
      </c>
      <c r="I11" s="468">
        <f>H11/G11</f>
        <v>0.87770891874206092</v>
      </c>
      <c r="J11" s="469"/>
    </row>
    <row r="12" spans="1:11" s="9" customFormat="1" ht="12.75" customHeight="1">
      <c r="A12" s="838"/>
      <c r="B12" s="24" t="s">
        <v>204</v>
      </c>
      <c r="C12" s="889"/>
      <c r="D12" s="889"/>
      <c r="E12" s="889"/>
      <c r="F12" s="889"/>
      <c r="G12" s="889"/>
      <c r="H12" s="889"/>
      <c r="I12" s="890"/>
      <c r="J12" s="839"/>
    </row>
    <row r="13" spans="1:11" s="9" customFormat="1" ht="12.75" customHeight="1">
      <c r="A13" s="840">
        <v>3923</v>
      </c>
      <c r="B13" s="22" t="s">
        <v>856</v>
      </c>
      <c r="C13" s="22">
        <v>5000</v>
      </c>
      <c r="D13" s="22">
        <v>5000</v>
      </c>
      <c r="E13" s="22">
        <v>5000</v>
      </c>
      <c r="F13" s="22">
        <v>5000</v>
      </c>
      <c r="G13" s="22">
        <v>5000</v>
      </c>
      <c r="H13" s="22">
        <v>5000</v>
      </c>
      <c r="I13" s="145">
        <f t="shared" ref="I13:I23" si="1">H13/G13</f>
        <v>1</v>
      </c>
      <c r="J13" s="839"/>
    </row>
    <row r="14" spans="1:11" s="9" customFormat="1" ht="12.75" customHeight="1">
      <c r="A14" s="840">
        <v>3924</v>
      </c>
      <c r="B14" s="22" t="s">
        <v>397</v>
      </c>
      <c r="C14" s="734">
        <v>24000</v>
      </c>
      <c r="D14" s="734">
        <v>24000</v>
      </c>
      <c r="E14" s="734">
        <v>24000</v>
      </c>
      <c r="F14" s="734">
        <v>24000</v>
      </c>
      <c r="G14" s="734">
        <v>24000</v>
      </c>
      <c r="H14" s="734">
        <v>23250</v>
      </c>
      <c r="I14" s="145">
        <f t="shared" si="1"/>
        <v>0.96875</v>
      </c>
      <c r="J14" s="834"/>
    </row>
    <row r="15" spans="1:11" s="9" customFormat="1" ht="12.75" customHeight="1">
      <c r="A15" s="1600">
        <v>3925</v>
      </c>
      <c r="B15" s="516" t="s">
        <v>14</v>
      </c>
      <c r="C15" s="735">
        <v>204900</v>
      </c>
      <c r="D15" s="735">
        <v>204900</v>
      </c>
      <c r="E15" s="735">
        <v>204900</v>
      </c>
      <c r="F15" s="735">
        <v>204900</v>
      </c>
      <c r="G15" s="735">
        <v>204900</v>
      </c>
      <c r="H15" s="734">
        <v>204900</v>
      </c>
      <c r="I15" s="507">
        <f t="shared" si="1"/>
        <v>1</v>
      </c>
      <c r="J15" s="1601" t="s">
        <v>1013</v>
      </c>
    </row>
    <row r="16" spans="1:11" s="9" customFormat="1" ht="12.75" customHeight="1">
      <c r="A16" s="1600">
        <v>3926</v>
      </c>
      <c r="B16" s="516" t="s">
        <v>763</v>
      </c>
      <c r="C16" s="735">
        <v>2000</v>
      </c>
      <c r="D16" s="735">
        <v>2000</v>
      </c>
      <c r="E16" s="735">
        <v>2000</v>
      </c>
      <c r="F16" s="735">
        <v>2000</v>
      </c>
      <c r="G16" s="735">
        <v>2000</v>
      </c>
      <c r="H16" s="734">
        <v>0</v>
      </c>
      <c r="I16" s="507">
        <f t="shared" si="1"/>
        <v>0</v>
      </c>
      <c r="J16" s="1601"/>
      <c r="K16" s="752"/>
    </row>
    <row r="17" spans="1:11" s="9" customFormat="1" ht="12.75" customHeight="1">
      <c r="A17" s="1600">
        <v>3927</v>
      </c>
      <c r="B17" s="516" t="s">
        <v>398</v>
      </c>
      <c r="C17" s="735">
        <v>5000</v>
      </c>
      <c r="D17" s="735">
        <f>5000+5000</f>
        <v>10000</v>
      </c>
      <c r="E17" s="735">
        <f>10000</f>
        <v>10000</v>
      </c>
      <c r="F17" s="735">
        <f>10000+1500</f>
        <v>11500</v>
      </c>
      <c r="G17" s="735">
        <f>10000+1500</f>
        <v>11500</v>
      </c>
      <c r="H17" s="734">
        <v>11500</v>
      </c>
      <c r="I17" s="507">
        <f t="shared" si="1"/>
        <v>1</v>
      </c>
      <c r="J17" s="1602" t="s">
        <v>937</v>
      </c>
    </row>
    <row r="18" spans="1:11" s="9" customFormat="1" ht="12.75" customHeight="1">
      <c r="A18" s="1600">
        <v>3928</v>
      </c>
      <c r="B18" s="516" t="s">
        <v>112</v>
      </c>
      <c r="C18" s="506">
        <f t="shared" ref="C18:H18" si="2">SUM(C22+C19)</f>
        <v>222000</v>
      </c>
      <c r="D18" s="506">
        <f t="shared" si="2"/>
        <v>418415</v>
      </c>
      <c r="E18" s="506">
        <f t="shared" si="2"/>
        <v>418415</v>
      </c>
      <c r="F18" s="506">
        <f t="shared" si="2"/>
        <v>418415</v>
      </c>
      <c r="G18" s="506">
        <f t="shared" si="2"/>
        <v>418415</v>
      </c>
      <c r="H18" s="16">
        <f t="shared" si="2"/>
        <v>191836</v>
      </c>
      <c r="I18" s="507">
        <f t="shared" si="1"/>
        <v>0.45848260698110727</v>
      </c>
      <c r="J18" s="1602" t="s">
        <v>950</v>
      </c>
    </row>
    <row r="19" spans="1:11" s="9" customFormat="1" ht="12.75" customHeight="1">
      <c r="A19" s="1600"/>
      <c r="B19" s="521" t="s">
        <v>52</v>
      </c>
      <c r="C19" s="526">
        <f t="shared" ref="C19:H19" si="3">SUM(C20:C21)</f>
        <v>22000</v>
      </c>
      <c r="D19" s="526">
        <f t="shared" si="3"/>
        <v>28431</v>
      </c>
      <c r="E19" s="526">
        <f t="shared" si="3"/>
        <v>28431</v>
      </c>
      <c r="F19" s="526">
        <f t="shared" si="3"/>
        <v>28431</v>
      </c>
      <c r="G19" s="526">
        <f t="shared" si="3"/>
        <v>28431</v>
      </c>
      <c r="H19" s="198">
        <f t="shared" si="3"/>
        <v>10989</v>
      </c>
      <c r="I19" s="507">
        <f t="shared" si="1"/>
        <v>0.38651471984805319</v>
      </c>
      <c r="J19" s="1603"/>
    </row>
    <row r="20" spans="1:11" s="9" customFormat="1" ht="12.75" customHeight="1">
      <c r="A20" s="1600"/>
      <c r="B20" s="521" t="s">
        <v>235</v>
      </c>
      <c r="C20" s="736">
        <v>14000</v>
      </c>
      <c r="D20" s="736">
        <f>14000+1431</f>
        <v>15431</v>
      </c>
      <c r="E20" s="736">
        <f>15431</f>
        <v>15431</v>
      </c>
      <c r="F20" s="736">
        <f>15431</f>
        <v>15431</v>
      </c>
      <c r="G20" s="736">
        <f>15431</f>
        <v>15431</v>
      </c>
      <c r="H20" s="1595">
        <v>6695</v>
      </c>
      <c r="I20" s="507">
        <f t="shared" si="1"/>
        <v>0.43386689132266215</v>
      </c>
      <c r="J20" s="1604"/>
    </row>
    <row r="21" spans="1:11" s="9" customFormat="1" ht="12.75" customHeight="1">
      <c r="A21" s="1600"/>
      <c r="B21" s="521" t="s">
        <v>376</v>
      </c>
      <c r="C21" s="736">
        <v>8000</v>
      </c>
      <c r="D21" s="736">
        <f>8000+5000</f>
        <v>13000</v>
      </c>
      <c r="E21" s="736">
        <f>13000</f>
        <v>13000</v>
      </c>
      <c r="F21" s="736">
        <f>13000</f>
        <v>13000</v>
      </c>
      <c r="G21" s="736">
        <f>13000</f>
        <v>13000</v>
      </c>
      <c r="H21" s="1595">
        <v>4294</v>
      </c>
      <c r="I21" s="507">
        <f t="shared" si="1"/>
        <v>0.3303076923076923</v>
      </c>
      <c r="J21" s="1605"/>
    </row>
    <row r="22" spans="1:11" s="9" customFormat="1" ht="12.75" customHeight="1" thickBot="1">
      <c r="A22" s="1600"/>
      <c r="B22" s="521" t="s">
        <v>300</v>
      </c>
      <c r="C22" s="736">
        <v>200000</v>
      </c>
      <c r="D22" s="736">
        <f>200000+189984</f>
        <v>389984</v>
      </c>
      <c r="E22" s="736">
        <f>389984</f>
        <v>389984</v>
      </c>
      <c r="F22" s="736">
        <f>389984</f>
        <v>389984</v>
      </c>
      <c r="G22" s="736">
        <f>389984</f>
        <v>389984</v>
      </c>
      <c r="H22" s="1595">
        <v>180847</v>
      </c>
      <c r="I22" s="507">
        <f t="shared" si="1"/>
        <v>0.46372928120128004</v>
      </c>
      <c r="J22" s="1605"/>
    </row>
    <row r="23" spans="1:11" s="9" customFormat="1" ht="12.75" customHeight="1" thickBot="1">
      <c r="A23" s="887">
        <v>3920</v>
      </c>
      <c r="B23" s="552" t="s">
        <v>130</v>
      </c>
      <c r="C23" s="741">
        <f t="shared" ref="C23:H23" si="4">C13+C14+C15+C16+C17+C18</f>
        <v>462900</v>
      </c>
      <c r="D23" s="741">
        <f t="shared" si="4"/>
        <v>664315</v>
      </c>
      <c r="E23" s="741">
        <f t="shared" si="4"/>
        <v>664315</v>
      </c>
      <c r="F23" s="741">
        <f t="shared" si="4"/>
        <v>665815</v>
      </c>
      <c r="G23" s="741">
        <f t="shared" si="4"/>
        <v>665815</v>
      </c>
      <c r="H23" s="747">
        <f t="shared" si="4"/>
        <v>436486</v>
      </c>
      <c r="I23" s="553">
        <f t="shared" si="1"/>
        <v>0.65556648618610269</v>
      </c>
      <c r="J23" s="888"/>
    </row>
    <row r="24" spans="1:11" s="9" customFormat="1" ht="12.75" customHeight="1">
      <c r="A24" s="1606"/>
      <c r="B24" s="546" t="s">
        <v>95</v>
      </c>
      <c r="C24" s="738"/>
      <c r="D24" s="738"/>
      <c r="E24" s="738"/>
      <c r="F24" s="738"/>
      <c r="G24" s="738"/>
      <c r="H24" s="889"/>
      <c r="I24" s="891"/>
      <c r="J24" s="1607"/>
    </row>
    <row r="25" spans="1:11" s="9" customFormat="1" ht="12.75" customHeight="1">
      <c r="A25" s="1608">
        <v>3931</v>
      </c>
      <c r="B25" s="535" t="s">
        <v>115</v>
      </c>
      <c r="C25" s="739">
        <v>2000</v>
      </c>
      <c r="D25" s="739">
        <v>2000</v>
      </c>
      <c r="E25" s="739">
        <v>2000</v>
      </c>
      <c r="F25" s="739">
        <v>2000</v>
      </c>
      <c r="G25" s="739">
        <v>2000</v>
      </c>
      <c r="H25" s="1596">
        <v>250</v>
      </c>
      <c r="I25" s="507">
        <f>H25/G25</f>
        <v>0.125</v>
      </c>
      <c r="J25" s="834" t="s">
        <v>945</v>
      </c>
    </row>
    <row r="26" spans="1:11" s="9" customFormat="1" ht="12.75" customHeight="1">
      <c r="A26" s="1608">
        <v>3932</v>
      </c>
      <c r="B26" s="535" t="s">
        <v>394</v>
      </c>
      <c r="C26" s="739">
        <v>15000</v>
      </c>
      <c r="D26" s="739">
        <v>15000</v>
      </c>
      <c r="E26" s="739">
        <v>15000</v>
      </c>
      <c r="F26" s="739">
        <v>15000</v>
      </c>
      <c r="G26" s="739">
        <v>15000</v>
      </c>
      <c r="H26" s="1596">
        <v>15000</v>
      </c>
      <c r="I26" s="507">
        <f>H26/G26</f>
        <v>1</v>
      </c>
      <c r="J26" s="834" t="s">
        <v>945</v>
      </c>
    </row>
    <row r="27" spans="1:11" s="9" customFormat="1" ht="12.75" hidden="1" customHeight="1">
      <c r="A27" s="1608">
        <v>3934</v>
      </c>
      <c r="B27" s="535" t="s">
        <v>848</v>
      </c>
      <c r="C27" s="739"/>
      <c r="D27" s="739"/>
      <c r="E27" s="739"/>
      <c r="F27" s="739"/>
      <c r="G27" s="739"/>
      <c r="H27" s="1596"/>
      <c r="I27" s="891" t="e">
        <f>SUM(G27/G27)</f>
        <v>#DIV/0!</v>
      </c>
      <c r="J27" s="834"/>
    </row>
    <row r="28" spans="1:11" s="9" customFormat="1" ht="12.75" customHeight="1" thickBot="1">
      <c r="A28" s="1608">
        <v>3935</v>
      </c>
      <c r="B28" s="535" t="s">
        <v>854</v>
      </c>
      <c r="C28" s="739"/>
      <c r="D28" s="740"/>
      <c r="E28" s="740"/>
      <c r="F28" s="740"/>
      <c r="G28" s="740"/>
      <c r="H28" s="1597"/>
      <c r="I28" s="892"/>
      <c r="J28" s="834"/>
    </row>
    <row r="29" spans="1:11" s="9" customFormat="1" ht="12.75" customHeight="1" thickBot="1">
      <c r="A29" s="887">
        <v>3930</v>
      </c>
      <c r="B29" s="552" t="s">
        <v>130</v>
      </c>
      <c r="C29" s="741">
        <f t="shared" ref="C29:H29" si="5">SUM(C25:C28)</f>
        <v>17000</v>
      </c>
      <c r="D29" s="737">
        <f t="shared" si="5"/>
        <v>17000</v>
      </c>
      <c r="E29" s="737">
        <f t="shared" si="5"/>
        <v>17000</v>
      </c>
      <c r="F29" s="737">
        <f t="shared" si="5"/>
        <v>17000</v>
      </c>
      <c r="G29" s="737">
        <f t="shared" si="5"/>
        <v>17000</v>
      </c>
      <c r="H29" s="748">
        <f t="shared" si="5"/>
        <v>15250</v>
      </c>
      <c r="I29" s="553">
        <f>H29/G29</f>
        <v>0.8970588235294118</v>
      </c>
      <c r="J29" s="888"/>
    </row>
    <row r="30" spans="1:11" ht="12.75" customHeight="1">
      <c r="A30" s="1606"/>
      <c r="B30" s="546" t="s">
        <v>35</v>
      </c>
      <c r="C30" s="893"/>
      <c r="D30" s="893"/>
      <c r="E30" s="893"/>
      <c r="F30" s="893"/>
      <c r="G30" s="893"/>
      <c r="H30" s="203"/>
      <c r="I30" s="891"/>
      <c r="J30" s="1609"/>
    </row>
    <row r="31" spans="1:11" ht="12.75" customHeight="1">
      <c r="A31" s="1600">
        <v>3941</v>
      </c>
      <c r="B31" s="516" t="s">
        <v>353</v>
      </c>
      <c r="C31" s="735">
        <f>1134000-60000</f>
        <v>1074000</v>
      </c>
      <c r="D31" s="735">
        <f>1074000+30000</f>
        <v>1104000</v>
      </c>
      <c r="E31" s="735">
        <f>1104000</f>
        <v>1104000</v>
      </c>
      <c r="F31" s="735">
        <f>1104000+15000</f>
        <v>1119000</v>
      </c>
      <c r="G31" s="735">
        <f>1104000+15000</f>
        <v>1119000</v>
      </c>
      <c r="H31" s="734">
        <v>1119000</v>
      </c>
      <c r="I31" s="507">
        <f>H31/G31</f>
        <v>1</v>
      </c>
      <c r="J31" s="1601" t="s">
        <v>951</v>
      </c>
      <c r="K31" s="500"/>
    </row>
    <row r="32" spans="1:11" ht="12.75" customHeight="1">
      <c r="A32" s="1600">
        <v>3943</v>
      </c>
      <c r="B32" s="516" t="s">
        <v>6</v>
      </c>
      <c r="C32" s="506">
        <v>1000</v>
      </c>
      <c r="D32" s="506">
        <v>1000</v>
      </c>
      <c r="E32" s="506">
        <f>E33+E34+E35</f>
        <v>1000</v>
      </c>
      <c r="F32" s="506">
        <f>F33+F34+F35</f>
        <v>1000</v>
      </c>
      <c r="G32" s="506">
        <f>G33+G34+G35</f>
        <v>1000</v>
      </c>
      <c r="H32" s="16">
        <f>H33+H34+H35</f>
        <v>500</v>
      </c>
      <c r="I32" s="507">
        <f>H32/G32</f>
        <v>0.5</v>
      </c>
      <c r="J32" s="834" t="s">
        <v>948</v>
      </c>
    </row>
    <row r="33" spans="1:11" ht="12.75" customHeight="1">
      <c r="A33" s="1600"/>
      <c r="B33" s="521" t="s">
        <v>301</v>
      </c>
      <c r="C33" s="736"/>
      <c r="D33" s="736"/>
      <c r="E33" s="736">
        <v>442</v>
      </c>
      <c r="F33" s="736">
        <v>442</v>
      </c>
      <c r="G33" s="736">
        <v>442</v>
      </c>
      <c r="H33" s="1595">
        <v>442</v>
      </c>
      <c r="I33" s="507">
        <f>H33/G33</f>
        <v>1</v>
      </c>
      <c r="J33" s="834"/>
    </row>
    <row r="34" spans="1:11" ht="12.75" customHeight="1">
      <c r="A34" s="1600"/>
      <c r="B34" s="521" t="s">
        <v>302</v>
      </c>
      <c r="C34" s="736"/>
      <c r="D34" s="736"/>
      <c r="E34" s="736">
        <v>58</v>
      </c>
      <c r="F34" s="736">
        <v>58</v>
      </c>
      <c r="G34" s="736">
        <v>58</v>
      </c>
      <c r="H34" s="1595">
        <v>58</v>
      </c>
      <c r="I34" s="507">
        <f>H34/G34</f>
        <v>1</v>
      </c>
      <c r="J34" s="834"/>
    </row>
    <row r="35" spans="1:11" ht="12.75" customHeight="1" thickBot="1">
      <c r="A35" s="1600"/>
      <c r="B35" s="521" t="s">
        <v>300</v>
      </c>
      <c r="C35" s="736">
        <v>1000</v>
      </c>
      <c r="D35" s="736">
        <v>1000</v>
      </c>
      <c r="E35" s="736">
        <f>1000-500</f>
        <v>500</v>
      </c>
      <c r="F35" s="736">
        <f>1000-500</f>
        <v>500</v>
      </c>
      <c r="G35" s="736">
        <f>1000-500</f>
        <v>500</v>
      </c>
      <c r="H35" s="1595">
        <v>0</v>
      </c>
      <c r="I35" s="507">
        <f>H35/G35</f>
        <v>0</v>
      </c>
      <c r="J35" s="834"/>
    </row>
    <row r="36" spans="1:11" ht="12.75" hidden="1" customHeight="1" thickBot="1">
      <c r="A36" s="1600">
        <v>3944</v>
      </c>
      <c r="B36" s="535" t="s">
        <v>841</v>
      </c>
      <c r="C36" s="739"/>
      <c r="D36" s="739"/>
      <c r="E36" s="739"/>
      <c r="F36" s="739"/>
      <c r="G36" s="739"/>
      <c r="H36" s="1596"/>
      <c r="I36" s="554" t="e">
        <f>SUM(G36/G36)</f>
        <v>#DIV/0!</v>
      </c>
      <c r="J36" s="834"/>
    </row>
    <row r="37" spans="1:11" s="9" customFormat="1" ht="12.75" customHeight="1" thickBot="1">
      <c r="A37" s="887">
        <v>3940</v>
      </c>
      <c r="B37" s="552" t="s">
        <v>128</v>
      </c>
      <c r="C37" s="741">
        <f t="shared" ref="C37:H37" si="6">SUM(C31:C32)+C36</f>
        <v>1075000</v>
      </c>
      <c r="D37" s="741">
        <f t="shared" si="6"/>
        <v>1105000</v>
      </c>
      <c r="E37" s="741">
        <f t="shared" si="6"/>
        <v>1105000</v>
      </c>
      <c r="F37" s="741">
        <f t="shared" si="6"/>
        <v>1120000</v>
      </c>
      <c r="G37" s="741">
        <f t="shared" si="6"/>
        <v>1120000</v>
      </c>
      <c r="H37" s="747">
        <f t="shared" si="6"/>
        <v>1119500</v>
      </c>
      <c r="I37" s="553">
        <f>H37/G37</f>
        <v>0.99955357142857137</v>
      </c>
      <c r="J37" s="1610"/>
    </row>
    <row r="38" spans="1:11" s="9" customFormat="1" ht="12.75" customHeight="1">
      <c r="A38" s="1611"/>
      <c r="B38" s="555" t="s">
        <v>34</v>
      </c>
      <c r="C38" s="742"/>
      <c r="D38" s="742"/>
      <c r="E38" s="742"/>
      <c r="F38" s="742"/>
      <c r="G38" s="742"/>
      <c r="H38" s="894"/>
      <c r="I38" s="554"/>
      <c r="J38" s="1612"/>
    </row>
    <row r="39" spans="1:11" s="9" customFormat="1" ht="12.75" customHeight="1">
      <c r="A39" s="1613">
        <v>3961</v>
      </c>
      <c r="B39" s="556" t="s">
        <v>304</v>
      </c>
      <c r="C39" s="743"/>
      <c r="D39" s="743">
        <v>313826</v>
      </c>
      <c r="E39" s="743">
        <v>313826</v>
      </c>
      <c r="F39" s="743">
        <v>313826</v>
      </c>
      <c r="G39" s="743">
        <v>313826</v>
      </c>
      <c r="H39" s="746">
        <v>313826</v>
      </c>
      <c r="I39" s="507">
        <f>H39/G39</f>
        <v>1</v>
      </c>
      <c r="J39" s="1614"/>
    </row>
    <row r="40" spans="1:11" s="9" customFormat="1" ht="12.75" customHeight="1">
      <c r="A40" s="1613">
        <v>3972</v>
      </c>
      <c r="B40" s="556" t="s">
        <v>721</v>
      </c>
      <c r="C40" s="743">
        <v>45000</v>
      </c>
      <c r="D40" s="743">
        <f>D41+D42+D43</f>
        <v>45950</v>
      </c>
      <c r="E40" s="743">
        <f>E41+E42+E43</f>
        <v>45950</v>
      </c>
      <c r="F40" s="743">
        <f>F41+F42+F43</f>
        <v>49150</v>
      </c>
      <c r="G40" s="743">
        <f>G41+G42+G43</f>
        <v>49150</v>
      </c>
      <c r="H40" s="746">
        <f>H41+H42+H43</f>
        <v>45688</v>
      </c>
      <c r="I40" s="507">
        <f>H40/G40</f>
        <v>0.92956256358087486</v>
      </c>
      <c r="J40" s="1615" t="s">
        <v>954</v>
      </c>
      <c r="K40" s="19"/>
    </row>
    <row r="41" spans="1:11" s="9" customFormat="1" ht="12.75" customHeight="1">
      <c r="A41" s="1613"/>
      <c r="B41" s="521" t="s">
        <v>235</v>
      </c>
      <c r="C41" s="743"/>
      <c r="D41" s="743"/>
      <c r="E41" s="743"/>
      <c r="F41" s="743"/>
      <c r="G41" s="743"/>
      <c r="H41" s="746"/>
      <c r="I41" s="507"/>
      <c r="J41" s="1615"/>
    </row>
    <row r="42" spans="1:11" s="9" customFormat="1" ht="12.75" customHeight="1">
      <c r="A42" s="1613"/>
      <c r="B42" s="526" t="s">
        <v>71</v>
      </c>
      <c r="C42" s="743"/>
      <c r="D42" s="744">
        <f>45000+950</f>
        <v>45950</v>
      </c>
      <c r="E42" s="744">
        <f>45000+950</f>
        <v>45950</v>
      </c>
      <c r="F42" s="744">
        <f>45000+950-250+3200</f>
        <v>48900</v>
      </c>
      <c r="G42" s="744">
        <f>45000+950-250+3200</f>
        <v>48900</v>
      </c>
      <c r="H42" s="745">
        <v>45438</v>
      </c>
      <c r="I42" s="507">
        <f>H42/G42</f>
        <v>0.92920245398773005</v>
      </c>
      <c r="J42" s="1615"/>
    </row>
    <row r="43" spans="1:11" s="9" customFormat="1" ht="12.75" customHeight="1">
      <c r="A43" s="1613"/>
      <c r="B43" s="557" t="s">
        <v>922</v>
      </c>
      <c r="C43" s="743"/>
      <c r="D43" s="743"/>
      <c r="E43" s="743"/>
      <c r="F43" s="743">
        <f>250</f>
        <v>250</v>
      </c>
      <c r="G43" s="743">
        <f>250</f>
        <v>250</v>
      </c>
      <c r="H43" s="746">
        <v>250</v>
      </c>
      <c r="I43" s="554"/>
      <c r="J43" s="1615"/>
    </row>
    <row r="44" spans="1:11" s="9" customFormat="1" ht="12.75" customHeight="1">
      <c r="A44" s="1613">
        <v>3973</v>
      </c>
      <c r="B44" s="556" t="s">
        <v>734</v>
      </c>
      <c r="C44" s="743">
        <v>5100</v>
      </c>
      <c r="D44" s="743">
        <f>D45+D46+D47</f>
        <v>6095</v>
      </c>
      <c r="E44" s="743">
        <f>E45+E46+E47</f>
        <v>6890</v>
      </c>
      <c r="F44" s="743">
        <f>F45+F46+F47</f>
        <v>6890</v>
      </c>
      <c r="G44" s="743">
        <f>G45+G46+G47</f>
        <v>6890</v>
      </c>
      <c r="H44" s="746">
        <f>H45+H46+H47</f>
        <v>5364</v>
      </c>
      <c r="I44" s="507">
        <f>H44/G44</f>
        <v>0.77851959361393319</v>
      </c>
      <c r="J44" s="1616"/>
    </row>
    <row r="45" spans="1:11" s="9" customFormat="1" ht="12.75" customHeight="1">
      <c r="A45" s="1613"/>
      <c r="B45" s="521" t="s">
        <v>301</v>
      </c>
      <c r="C45" s="744">
        <v>4513</v>
      </c>
      <c r="D45" s="744">
        <f>4513+812</f>
        <v>5325</v>
      </c>
      <c r="E45" s="744">
        <f>5325+700</f>
        <v>6025</v>
      </c>
      <c r="F45" s="744">
        <f>5325+700</f>
        <v>6025</v>
      </c>
      <c r="G45" s="744">
        <f>5325+700</f>
        <v>6025</v>
      </c>
      <c r="H45" s="745">
        <v>4786</v>
      </c>
      <c r="I45" s="507">
        <f>H45/G45</f>
        <v>0.79435684647302907</v>
      </c>
      <c r="J45" s="1616"/>
    </row>
    <row r="46" spans="1:11" s="9" customFormat="1" ht="12.75" customHeight="1">
      <c r="A46" s="842"/>
      <c r="B46" s="96" t="s">
        <v>302</v>
      </c>
      <c r="C46" s="745">
        <v>587</v>
      </c>
      <c r="D46" s="745">
        <f>587+183</f>
        <v>770</v>
      </c>
      <c r="E46" s="745">
        <f>770+95</f>
        <v>865</v>
      </c>
      <c r="F46" s="745">
        <f>770+95</f>
        <v>865</v>
      </c>
      <c r="G46" s="745">
        <f>770+95</f>
        <v>865</v>
      </c>
      <c r="H46" s="745">
        <v>578</v>
      </c>
      <c r="I46" s="145">
        <f>H46/G46</f>
        <v>0.66820809248554913</v>
      </c>
      <c r="J46" s="1616"/>
    </row>
    <row r="47" spans="1:11" s="9" customFormat="1" ht="12.75" customHeight="1">
      <c r="A47" s="842"/>
      <c r="B47" s="96" t="s">
        <v>235</v>
      </c>
      <c r="C47" s="745"/>
      <c r="D47" s="745"/>
      <c r="E47" s="745"/>
      <c r="F47" s="745"/>
      <c r="G47" s="745"/>
      <c r="H47" s="745"/>
      <c r="I47" s="145"/>
      <c r="J47" s="1616"/>
    </row>
    <row r="48" spans="1:11" s="9" customFormat="1" ht="12.75" customHeight="1" thickBot="1">
      <c r="A48" s="842">
        <v>3975</v>
      </c>
      <c r="B48" s="41" t="s">
        <v>764</v>
      </c>
      <c r="C48" s="746">
        <v>15000</v>
      </c>
      <c r="D48" s="746">
        <v>15000</v>
      </c>
      <c r="E48" s="746">
        <v>15000</v>
      </c>
      <c r="F48" s="746">
        <v>15000</v>
      </c>
      <c r="G48" s="746">
        <v>15000</v>
      </c>
      <c r="H48" s="746">
        <v>15000</v>
      </c>
      <c r="I48" s="145">
        <f>H48/G48</f>
        <v>1</v>
      </c>
      <c r="J48" s="1615"/>
    </row>
    <row r="49" spans="1:10" s="9" customFormat="1" ht="12.75" customHeight="1" thickBot="1">
      <c r="A49" s="1525">
        <v>3970</v>
      </c>
      <c r="B49" s="99" t="s">
        <v>111</v>
      </c>
      <c r="C49" s="202">
        <f t="shared" ref="C49:H49" si="7">C39+C40+C44+C48</f>
        <v>65100</v>
      </c>
      <c r="D49" s="202">
        <f t="shared" si="7"/>
        <v>380871</v>
      </c>
      <c r="E49" s="202">
        <f t="shared" si="7"/>
        <v>381666</v>
      </c>
      <c r="F49" s="202">
        <f t="shared" si="7"/>
        <v>384866</v>
      </c>
      <c r="G49" s="202">
        <f t="shared" si="7"/>
        <v>384866</v>
      </c>
      <c r="H49" s="202">
        <f t="shared" si="7"/>
        <v>379878</v>
      </c>
      <c r="I49" s="468">
        <f>H49/G49</f>
        <v>0.98703964496733931</v>
      </c>
      <c r="J49" s="1610"/>
    </row>
    <row r="50" spans="1:10" s="9" customFormat="1" ht="12.75" customHeight="1">
      <c r="A50" s="1526"/>
      <c r="B50" s="100" t="s">
        <v>203</v>
      </c>
      <c r="C50" s="894"/>
      <c r="D50" s="894"/>
      <c r="E50" s="894"/>
      <c r="F50" s="894"/>
      <c r="G50" s="894"/>
      <c r="H50" s="894"/>
      <c r="I50" s="890"/>
      <c r="J50" s="1607"/>
    </row>
    <row r="51" spans="1:10" s="9" customFormat="1" ht="12.75" customHeight="1">
      <c r="A51" s="842">
        <v>3989</v>
      </c>
      <c r="B51" s="41" t="s">
        <v>278</v>
      </c>
      <c r="C51" s="46">
        <v>6000</v>
      </c>
      <c r="D51" s="46">
        <v>6000</v>
      </c>
      <c r="E51" s="46">
        <v>6000</v>
      </c>
      <c r="F51" s="46">
        <v>6000</v>
      </c>
      <c r="G51" s="46">
        <v>6000</v>
      </c>
      <c r="H51" s="46">
        <v>5500</v>
      </c>
      <c r="I51" s="145">
        <f t="shared" ref="I51:I73" si="8">H51/G51</f>
        <v>0.91666666666666663</v>
      </c>
      <c r="J51" s="1615" t="s">
        <v>944</v>
      </c>
    </row>
    <row r="52" spans="1:10" s="9" customFormat="1" ht="12.75" customHeight="1">
      <c r="A52" s="842">
        <v>3987</v>
      </c>
      <c r="B52" s="44" t="s">
        <v>930</v>
      </c>
      <c r="C52" s="46">
        <v>900</v>
      </c>
      <c r="D52" s="46">
        <v>900</v>
      </c>
      <c r="E52" s="46">
        <v>900</v>
      </c>
      <c r="F52" s="46">
        <v>900</v>
      </c>
      <c r="G52" s="46">
        <v>900</v>
      </c>
      <c r="H52" s="46">
        <v>900</v>
      </c>
      <c r="I52" s="145">
        <f t="shared" si="8"/>
        <v>1</v>
      </c>
      <c r="J52" s="1615"/>
    </row>
    <row r="53" spans="1:10" s="9" customFormat="1" ht="12.75" customHeight="1">
      <c r="A53" s="842">
        <v>3988</v>
      </c>
      <c r="B53" s="44" t="s">
        <v>931</v>
      </c>
      <c r="C53" s="46">
        <v>900</v>
      </c>
      <c r="D53" s="46">
        <v>900</v>
      </c>
      <c r="E53" s="46">
        <v>900</v>
      </c>
      <c r="F53" s="46">
        <v>900</v>
      </c>
      <c r="G53" s="46">
        <v>900</v>
      </c>
      <c r="H53" s="46">
        <v>900</v>
      </c>
      <c r="I53" s="145">
        <f t="shared" si="8"/>
        <v>1</v>
      </c>
      <c r="J53" s="1615"/>
    </row>
    <row r="54" spans="1:10" s="9" customFormat="1" ht="12.75" customHeight="1">
      <c r="A54" s="832">
        <v>3990</v>
      </c>
      <c r="B54" s="44" t="s">
        <v>242</v>
      </c>
      <c r="C54" s="126">
        <v>1000</v>
      </c>
      <c r="D54" s="126">
        <v>1000</v>
      </c>
      <c r="E54" s="126">
        <v>1000</v>
      </c>
      <c r="F54" s="126">
        <v>1000</v>
      </c>
      <c r="G54" s="126">
        <v>1000</v>
      </c>
      <c r="H54" s="126">
        <v>1000</v>
      </c>
      <c r="I54" s="145">
        <f t="shared" si="8"/>
        <v>1</v>
      </c>
      <c r="J54" s="1617"/>
    </row>
    <row r="55" spans="1:10" s="9" customFormat="1" ht="12.75" customHeight="1">
      <c r="A55" s="832">
        <v>3991</v>
      </c>
      <c r="B55" s="44" t="s">
        <v>275</v>
      </c>
      <c r="C55" s="126">
        <v>4820</v>
      </c>
      <c r="D55" s="126">
        <f>4820+1205</f>
        <v>6025</v>
      </c>
      <c r="E55" s="126">
        <f>6025</f>
        <v>6025</v>
      </c>
      <c r="F55" s="126">
        <f>6025</f>
        <v>6025</v>
      </c>
      <c r="G55" s="126">
        <f>6025</f>
        <v>6025</v>
      </c>
      <c r="H55" s="126">
        <v>6025</v>
      </c>
      <c r="I55" s="145">
        <f t="shared" si="8"/>
        <v>1</v>
      </c>
      <c r="J55" s="1617"/>
    </row>
    <row r="56" spans="1:10" s="9" customFormat="1" ht="12.75" customHeight="1">
      <c r="A56" s="832">
        <v>3992</v>
      </c>
      <c r="B56" s="44" t="s">
        <v>243</v>
      </c>
      <c r="C56" s="126">
        <v>1400</v>
      </c>
      <c r="D56" s="126">
        <v>1400</v>
      </c>
      <c r="E56" s="126">
        <v>1400</v>
      </c>
      <c r="F56" s="126">
        <v>1400</v>
      </c>
      <c r="G56" s="126">
        <v>1400</v>
      </c>
      <c r="H56" s="126">
        <v>1400</v>
      </c>
      <c r="I56" s="145">
        <f t="shared" si="8"/>
        <v>1</v>
      </c>
      <c r="J56" s="1617"/>
    </row>
    <row r="57" spans="1:10" s="9" customFormat="1" ht="12.75" customHeight="1">
      <c r="A57" s="832">
        <v>3993</v>
      </c>
      <c r="B57" s="44" t="s">
        <v>244</v>
      </c>
      <c r="C57" s="126">
        <v>900</v>
      </c>
      <c r="D57" s="126">
        <v>900</v>
      </c>
      <c r="E57" s="126">
        <v>900</v>
      </c>
      <c r="F57" s="126">
        <v>900</v>
      </c>
      <c r="G57" s="126">
        <v>900</v>
      </c>
      <c r="H57" s="126">
        <v>900</v>
      </c>
      <c r="I57" s="145">
        <f t="shared" si="8"/>
        <v>1</v>
      </c>
      <c r="J57" s="1617"/>
    </row>
    <row r="58" spans="1:10" s="9" customFormat="1" ht="12.75" customHeight="1">
      <c r="A58" s="832">
        <v>3994</v>
      </c>
      <c r="B58" s="44" t="s">
        <v>73</v>
      </c>
      <c r="C58" s="126">
        <v>900</v>
      </c>
      <c r="D58" s="126">
        <v>900</v>
      </c>
      <c r="E58" s="126">
        <v>900</v>
      </c>
      <c r="F58" s="126">
        <v>900</v>
      </c>
      <c r="G58" s="126">
        <v>900</v>
      </c>
      <c r="H58" s="126">
        <v>900</v>
      </c>
      <c r="I58" s="145">
        <f t="shared" si="8"/>
        <v>1</v>
      </c>
      <c r="J58" s="1618"/>
    </row>
    <row r="59" spans="1:10" s="9" customFormat="1" ht="12.75" customHeight="1">
      <c r="A59" s="832">
        <v>3995</v>
      </c>
      <c r="B59" s="44" t="s">
        <v>74</v>
      </c>
      <c r="C59" s="126">
        <v>900</v>
      </c>
      <c r="D59" s="126">
        <f>900+225</f>
        <v>1125</v>
      </c>
      <c r="E59" s="126">
        <f>1125</f>
        <v>1125</v>
      </c>
      <c r="F59" s="126">
        <f>1125</f>
        <v>1125</v>
      </c>
      <c r="G59" s="126">
        <f>1125</f>
        <v>1125</v>
      </c>
      <c r="H59" s="126">
        <v>692</v>
      </c>
      <c r="I59" s="145">
        <f t="shared" si="8"/>
        <v>0.61511111111111116</v>
      </c>
      <c r="J59" s="1618"/>
    </row>
    <row r="60" spans="1:10" s="9" customFormat="1" ht="12.75" customHeight="1">
      <c r="A60" s="832">
        <v>3997</v>
      </c>
      <c r="B60" s="44" t="s">
        <v>75</v>
      </c>
      <c r="C60" s="126">
        <v>900</v>
      </c>
      <c r="D60" s="126">
        <v>900</v>
      </c>
      <c r="E60" s="126">
        <v>900</v>
      </c>
      <c r="F60" s="126">
        <v>900</v>
      </c>
      <c r="G60" s="126">
        <v>900</v>
      </c>
      <c r="H60" s="126">
        <v>900</v>
      </c>
      <c r="I60" s="145">
        <f t="shared" si="8"/>
        <v>1</v>
      </c>
      <c r="J60" s="1617"/>
    </row>
    <row r="61" spans="1:10" s="9" customFormat="1" ht="12.75" customHeight="1">
      <c r="A61" s="832">
        <v>3998</v>
      </c>
      <c r="B61" s="44" t="s">
        <v>76</v>
      </c>
      <c r="C61" s="126">
        <v>900</v>
      </c>
      <c r="D61" s="126">
        <f>900+225</f>
        <v>1125</v>
      </c>
      <c r="E61" s="126">
        <f>1125</f>
        <v>1125</v>
      </c>
      <c r="F61" s="126">
        <f>1125</f>
        <v>1125</v>
      </c>
      <c r="G61" s="126">
        <f>1125</f>
        <v>1125</v>
      </c>
      <c r="H61" s="126">
        <v>1125</v>
      </c>
      <c r="I61" s="145">
        <f t="shared" si="8"/>
        <v>1</v>
      </c>
      <c r="J61" s="1617"/>
    </row>
    <row r="62" spans="1:10" s="9" customFormat="1" ht="12.75" customHeight="1" thickBot="1">
      <c r="A62" s="1619">
        <v>3999</v>
      </c>
      <c r="B62" s="44" t="s">
        <v>77</v>
      </c>
      <c r="C62" s="126">
        <v>1000</v>
      </c>
      <c r="D62" s="126">
        <f>1000+250</f>
        <v>1250</v>
      </c>
      <c r="E62" s="126">
        <f>1250</f>
        <v>1250</v>
      </c>
      <c r="F62" s="126">
        <f>1250</f>
        <v>1250</v>
      </c>
      <c r="G62" s="126">
        <f>1250</f>
        <v>1250</v>
      </c>
      <c r="H62" s="126">
        <v>1250</v>
      </c>
      <c r="I62" s="145">
        <f t="shared" si="8"/>
        <v>1</v>
      </c>
      <c r="J62" s="1617"/>
    </row>
    <row r="63" spans="1:10" s="9" customFormat="1" ht="12.75" customHeight="1" thickBot="1">
      <c r="A63" s="451"/>
      <c r="B63" s="23" t="s">
        <v>111</v>
      </c>
      <c r="C63" s="747">
        <f t="shared" ref="C63:H63" si="9">SUM(C51:C62)</f>
        <v>20520</v>
      </c>
      <c r="D63" s="747">
        <f t="shared" si="9"/>
        <v>22425</v>
      </c>
      <c r="E63" s="747">
        <f t="shared" si="9"/>
        <v>22425</v>
      </c>
      <c r="F63" s="747">
        <f t="shared" si="9"/>
        <v>22425</v>
      </c>
      <c r="G63" s="747">
        <f t="shared" si="9"/>
        <v>22425</v>
      </c>
      <c r="H63" s="747">
        <f t="shared" si="9"/>
        <v>21492</v>
      </c>
      <c r="I63" s="468">
        <f t="shared" si="8"/>
        <v>0.95839464882943148</v>
      </c>
      <c r="J63" s="1610"/>
    </row>
    <row r="64" spans="1:10" s="9" customFormat="1" ht="12.75" customHeight="1" thickBot="1">
      <c r="A64" s="451">
        <v>3900</v>
      </c>
      <c r="B64" s="23" t="s">
        <v>107</v>
      </c>
      <c r="C64" s="748">
        <f t="shared" ref="C64:H64" si="10">C37+C23+C11+C29+C49+C63</f>
        <v>1665520</v>
      </c>
      <c r="D64" s="748">
        <f t="shared" si="10"/>
        <v>2215590</v>
      </c>
      <c r="E64" s="748">
        <f t="shared" si="10"/>
        <v>2216385</v>
      </c>
      <c r="F64" s="748">
        <f t="shared" si="10"/>
        <v>2236085</v>
      </c>
      <c r="G64" s="748">
        <f t="shared" si="10"/>
        <v>2236085</v>
      </c>
      <c r="H64" s="748">
        <f t="shared" si="10"/>
        <v>1995408</v>
      </c>
      <c r="I64" s="468">
        <f t="shared" si="8"/>
        <v>0.89236679285447562</v>
      </c>
      <c r="J64" s="1610"/>
    </row>
    <row r="65" spans="1:12" s="9" customFormat="1" ht="12.75" customHeight="1">
      <c r="A65" s="819"/>
      <c r="B65" s="41" t="s">
        <v>125</v>
      </c>
      <c r="C65" s="126">
        <f t="shared" ref="C65" si="11">SUM(C33)+C45</f>
        <v>4513</v>
      </c>
      <c r="D65" s="126">
        <f t="shared" ref="D65" si="12">SUM(D33)+D45</f>
        <v>5325</v>
      </c>
      <c r="E65" s="126">
        <f t="shared" ref="E65:F65" si="13">SUM(E33)+E45</f>
        <v>6467</v>
      </c>
      <c r="F65" s="126">
        <f t="shared" si="13"/>
        <v>6467</v>
      </c>
      <c r="G65" s="126">
        <f t="shared" ref="G65:H65" si="14">SUM(G33)+G45</f>
        <v>6467</v>
      </c>
      <c r="H65" s="126">
        <f t="shared" si="14"/>
        <v>5228</v>
      </c>
      <c r="I65" s="145">
        <f t="shared" si="8"/>
        <v>0.80841193752899332</v>
      </c>
      <c r="J65" s="839"/>
    </row>
    <row r="66" spans="1:12" s="9" customFormat="1" ht="12.75" customHeight="1">
      <c r="A66" s="819"/>
      <c r="B66" s="16" t="s">
        <v>80</v>
      </c>
      <c r="C66" s="126">
        <f t="shared" ref="C66" si="15">SUM(C34)+C46</f>
        <v>587</v>
      </c>
      <c r="D66" s="126">
        <f t="shared" ref="D66" si="16">SUM(D34)+D46</f>
        <v>770</v>
      </c>
      <c r="E66" s="126">
        <f t="shared" ref="E66:F66" si="17">SUM(E34)+E46</f>
        <v>923</v>
      </c>
      <c r="F66" s="126">
        <f t="shared" si="17"/>
        <v>923</v>
      </c>
      <c r="G66" s="126">
        <f t="shared" ref="G66:H66" si="18">SUM(G34)+G46</f>
        <v>923</v>
      </c>
      <c r="H66" s="126">
        <f t="shared" si="18"/>
        <v>636</v>
      </c>
      <c r="I66" s="145">
        <f t="shared" si="8"/>
        <v>0.68905742145178761</v>
      </c>
      <c r="J66" s="839"/>
    </row>
    <row r="67" spans="1:12" s="9" customFormat="1" ht="12.75" customHeight="1">
      <c r="A67" s="819"/>
      <c r="B67" s="41" t="s">
        <v>230</v>
      </c>
      <c r="C67" s="126">
        <f t="shared" ref="C67:H67" si="19">SUM(C20)+C41+C47</f>
        <v>14000</v>
      </c>
      <c r="D67" s="126">
        <f t="shared" si="19"/>
        <v>15431</v>
      </c>
      <c r="E67" s="126">
        <f t="shared" si="19"/>
        <v>15431</v>
      </c>
      <c r="F67" s="126">
        <f t="shared" si="19"/>
        <v>15431</v>
      </c>
      <c r="G67" s="126">
        <f t="shared" si="19"/>
        <v>15431</v>
      </c>
      <c r="H67" s="126">
        <f t="shared" si="19"/>
        <v>6695</v>
      </c>
      <c r="I67" s="145">
        <f t="shared" si="8"/>
        <v>0.43386689132266215</v>
      </c>
      <c r="J67" s="839"/>
    </row>
    <row r="68" spans="1:12" s="9" customFormat="1" ht="12.75" customHeight="1">
      <c r="A68" s="847"/>
      <c r="B68" s="16" t="s">
        <v>228</v>
      </c>
      <c r="C68" s="16">
        <f>SUM(C11+C23+C29+C37+C49+C63)-C72-C65-C66-C67-C71</f>
        <v>1405420</v>
      </c>
      <c r="D68" s="16">
        <f>SUM(D11+D23+D29+D37+D49+D63)-D65-D66-D67-D71-D72</f>
        <v>1752101</v>
      </c>
      <c r="E68" s="16">
        <f>SUM(E11+E23+E29+E37+E49+E63)-E65-E66-E67-E71-E72</f>
        <v>1752101</v>
      </c>
      <c r="F68" s="16">
        <f>SUM(F11+F23+F29+F37+F49+F63)-F65-F66-F67-F71-F72</f>
        <v>1770051</v>
      </c>
      <c r="G68" s="16">
        <f>SUM(G11+G23+G29+G37+G49+G63)-G65-G66-G67-G71-G72</f>
        <v>1772051</v>
      </c>
      <c r="H68" s="16">
        <f>SUM(H11+H23+H29+H37+H49+H63)-H65-H66-H67-H71-H72</f>
        <v>1763156</v>
      </c>
      <c r="I68" s="145">
        <f t="shared" si="8"/>
        <v>0.99498039277650585</v>
      </c>
      <c r="J68" s="839"/>
      <c r="K68" s="19"/>
    </row>
    <row r="69" spans="1:12" s="9" customFormat="1" ht="12.75" customHeight="1">
      <c r="A69" s="847"/>
      <c r="B69" s="198" t="s">
        <v>414</v>
      </c>
      <c r="C69" s="198">
        <f t="shared" ref="C69:H69" si="20">C14+C16+C25+C26+C63</f>
        <v>63520</v>
      </c>
      <c r="D69" s="198">
        <f t="shared" si="20"/>
        <v>65425</v>
      </c>
      <c r="E69" s="198">
        <f t="shared" si="20"/>
        <v>65425</v>
      </c>
      <c r="F69" s="198">
        <f t="shared" si="20"/>
        <v>65425</v>
      </c>
      <c r="G69" s="198">
        <f t="shared" si="20"/>
        <v>65425</v>
      </c>
      <c r="H69" s="198">
        <f t="shared" si="20"/>
        <v>59992</v>
      </c>
      <c r="I69" s="145">
        <f t="shared" si="8"/>
        <v>0.91695834925487196</v>
      </c>
      <c r="J69" s="839"/>
      <c r="L69" s="19"/>
    </row>
    <row r="70" spans="1:12" s="9" customFormat="1" ht="12.75" customHeight="1">
      <c r="A70" s="847"/>
      <c r="B70" s="198" t="s">
        <v>415</v>
      </c>
      <c r="C70" s="198">
        <f t="shared" ref="C70:H70" si="21">C68-C69</f>
        <v>1341900</v>
      </c>
      <c r="D70" s="198">
        <f t="shared" si="21"/>
        <v>1686676</v>
      </c>
      <c r="E70" s="198">
        <f t="shared" si="21"/>
        <v>1686676</v>
      </c>
      <c r="F70" s="198">
        <f t="shared" si="21"/>
        <v>1704626</v>
      </c>
      <c r="G70" s="198">
        <f t="shared" si="21"/>
        <v>1706626</v>
      </c>
      <c r="H70" s="198">
        <f t="shared" si="21"/>
        <v>1703164</v>
      </c>
      <c r="I70" s="145">
        <f t="shared" si="8"/>
        <v>0.99797143603812433</v>
      </c>
      <c r="J70" s="839"/>
    </row>
    <row r="71" spans="1:12" s="9" customFormat="1" ht="12.75" customHeight="1">
      <c r="A71" s="847"/>
      <c r="B71" s="16" t="s">
        <v>11</v>
      </c>
      <c r="C71" s="16">
        <f t="shared" ref="C71:H71" si="22">SUM(C21)</f>
        <v>8000</v>
      </c>
      <c r="D71" s="16">
        <f t="shared" si="22"/>
        <v>13000</v>
      </c>
      <c r="E71" s="16">
        <f t="shared" si="22"/>
        <v>13000</v>
      </c>
      <c r="F71" s="16">
        <f t="shared" si="22"/>
        <v>13000</v>
      </c>
      <c r="G71" s="16">
        <f t="shared" si="22"/>
        <v>13000</v>
      </c>
      <c r="H71" s="16">
        <f t="shared" si="22"/>
        <v>4294</v>
      </c>
      <c r="I71" s="145">
        <f t="shared" si="8"/>
        <v>0.3303076923076923</v>
      </c>
      <c r="J71" s="839"/>
    </row>
    <row r="72" spans="1:12" s="9" customFormat="1" ht="12.75" customHeight="1" thickBot="1">
      <c r="A72" s="847"/>
      <c r="B72" s="46" t="s">
        <v>413</v>
      </c>
      <c r="C72" s="16">
        <f>SUM(C10+C22+C35+C16+C17)+C43</f>
        <v>233000</v>
      </c>
      <c r="D72" s="16">
        <f>SUM(D10+D22+D35+D16+D17)+D43</f>
        <v>428963</v>
      </c>
      <c r="E72" s="16">
        <f>SUM(E10+E22+E35+E16+E17)+E43</f>
        <v>428463</v>
      </c>
      <c r="F72" s="16">
        <f>SUM(F10+F22+F35+F16+F17)+F43</f>
        <v>430213</v>
      </c>
      <c r="G72" s="16">
        <f>SUM(G10+G22+G35+G17)+G43</f>
        <v>428213</v>
      </c>
      <c r="H72" s="16">
        <f>SUM(H10+H22+H35+H17)+H43</f>
        <v>215399</v>
      </c>
      <c r="I72" s="145">
        <f t="shared" si="8"/>
        <v>0.50301835768647851</v>
      </c>
      <c r="J72" s="839"/>
    </row>
    <row r="73" spans="1:12" s="9" customFormat="1" ht="12.75" customHeight="1" thickBot="1">
      <c r="A73" s="1620"/>
      <c r="B73" s="384" t="s">
        <v>369</v>
      </c>
      <c r="C73" s="48">
        <f t="shared" ref="C73:H73" si="23">SUM(C11+C23+C29+C37+C49+C63)</f>
        <v>1665520</v>
      </c>
      <c r="D73" s="48">
        <f t="shared" si="23"/>
        <v>2215590</v>
      </c>
      <c r="E73" s="48">
        <f t="shared" si="23"/>
        <v>2216385</v>
      </c>
      <c r="F73" s="48">
        <f t="shared" si="23"/>
        <v>2236085</v>
      </c>
      <c r="G73" s="48">
        <f t="shared" si="23"/>
        <v>2236085</v>
      </c>
      <c r="H73" s="48">
        <f t="shared" si="23"/>
        <v>1995408</v>
      </c>
      <c r="I73" s="468">
        <f t="shared" si="8"/>
        <v>0.89236679285447562</v>
      </c>
      <c r="J73" s="1610"/>
      <c r="K73" s="19"/>
    </row>
    <row r="74" spans="1:12" ht="12.95" customHeight="1">
      <c r="A74" s="25"/>
      <c r="B74" s="21"/>
      <c r="C74" s="12"/>
      <c r="D74" s="12"/>
      <c r="E74" s="12"/>
      <c r="F74" s="12"/>
      <c r="G74" s="12"/>
      <c r="H74" s="12"/>
      <c r="I74" s="12"/>
      <c r="J74" s="21"/>
    </row>
    <row r="75" spans="1:12" ht="12.95" customHeight="1">
      <c r="A75" s="28"/>
    </row>
  </sheetData>
  <mergeCells count="9">
    <mergeCell ref="A3:J3"/>
    <mergeCell ref="A2:J2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0.39370078740157483" header="0.59055118110236227" footer="0"/>
  <pageSetup paperSize="9" scale="60" firstPageNumber="42" orientation="landscape" useFirstPageNumber="1" horizontalDpi="300" verticalDpi="300" r:id="rId1"/>
  <headerFooter alignWithMargins="0">
    <oddFooter>&amp;P. oldal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18"/>
  <sheetViews>
    <sheetView topLeftCell="A34" zoomScaleNormal="100" zoomScaleSheetLayoutView="90" workbookViewId="0">
      <selection activeCell="I92" sqref="I92:I95"/>
    </sheetView>
  </sheetViews>
  <sheetFormatPr defaultColWidth="9.140625" defaultRowHeight="12.95" customHeight="1"/>
  <cols>
    <col min="1" max="1" width="5.85546875" style="25" customWidth="1"/>
    <col min="2" max="2" width="56.7109375" style="21" customWidth="1"/>
    <col min="3" max="8" width="13.28515625" style="430" customWidth="1"/>
    <col min="9" max="9" width="9.5703125" style="430" customWidth="1"/>
    <col min="10" max="10" width="52.140625" style="21" customWidth="1"/>
    <col min="11" max="11" width="9.140625" style="21"/>
    <col min="12" max="12" width="11.28515625" style="21" customWidth="1"/>
    <col min="13" max="16384" width="9.140625" style="21"/>
  </cols>
  <sheetData>
    <row r="1" spans="1:10" s="11" customFormat="1" ht="12.95" customHeight="1">
      <c r="A1" s="1783" t="s">
        <v>1123</v>
      </c>
      <c r="B1" s="1784"/>
      <c r="C1" s="1784"/>
      <c r="D1" s="1784"/>
      <c r="E1" s="1784"/>
      <c r="F1" s="1784"/>
      <c r="G1" s="1784"/>
      <c r="H1" s="1784"/>
      <c r="I1" s="1784"/>
      <c r="J1" s="1784"/>
    </row>
    <row r="2" spans="1:10" s="11" customFormat="1" ht="12.95" customHeight="1">
      <c r="A2" s="1783" t="s">
        <v>959</v>
      </c>
      <c r="B2" s="1784"/>
      <c r="C2" s="1784"/>
      <c r="D2" s="1784"/>
      <c r="E2" s="1784"/>
      <c r="F2" s="1784"/>
      <c r="G2" s="1784"/>
      <c r="H2" s="1784"/>
      <c r="I2" s="1784"/>
      <c r="J2" s="1784"/>
    </row>
    <row r="3" spans="1:10" ht="22.15" customHeight="1" thickBot="1">
      <c r="C3" s="425"/>
      <c r="D3" s="425"/>
      <c r="E3" s="425"/>
      <c r="F3" s="425"/>
      <c r="G3" s="425"/>
      <c r="H3" s="425"/>
      <c r="I3" s="425"/>
      <c r="J3" s="1401" t="s">
        <v>1353</v>
      </c>
    </row>
    <row r="4" spans="1:10" ht="12.95" customHeight="1">
      <c r="A4" s="816"/>
      <c r="B4" s="817"/>
      <c r="C4" s="1750" t="s">
        <v>1017</v>
      </c>
      <c r="D4" s="1750" t="s">
        <v>1061</v>
      </c>
      <c r="E4" s="1750" t="s">
        <v>1084</v>
      </c>
      <c r="F4" s="1750" t="s">
        <v>1090</v>
      </c>
      <c r="G4" s="1750" t="s">
        <v>1120</v>
      </c>
      <c r="H4" s="1750" t="s">
        <v>1121</v>
      </c>
      <c r="I4" s="1750" t="s">
        <v>1122</v>
      </c>
      <c r="J4" s="818" t="s">
        <v>400</v>
      </c>
    </row>
    <row r="5" spans="1:10" ht="12" customHeight="1">
      <c r="A5" s="819" t="s">
        <v>217</v>
      </c>
      <c r="B5" s="448" t="s">
        <v>105</v>
      </c>
      <c r="C5" s="1767"/>
      <c r="D5" s="1767"/>
      <c r="E5" s="1765"/>
      <c r="F5" s="1765"/>
      <c r="G5" s="1765"/>
      <c r="H5" s="1767"/>
      <c r="I5" s="1765"/>
      <c r="J5" s="820" t="s">
        <v>106</v>
      </c>
    </row>
    <row r="6" spans="1:10" ht="12.75" customHeight="1" thickBot="1">
      <c r="A6" s="821"/>
      <c r="B6" s="129"/>
      <c r="C6" s="1751"/>
      <c r="D6" s="1751"/>
      <c r="E6" s="1766"/>
      <c r="F6" s="1766"/>
      <c r="G6" s="1766"/>
      <c r="H6" s="1751"/>
      <c r="I6" s="1766"/>
      <c r="J6" s="822"/>
    </row>
    <row r="7" spans="1:10" ht="12.95" customHeight="1" thickBot="1">
      <c r="A7" s="823" t="s">
        <v>120</v>
      </c>
      <c r="B7" s="824" t="s">
        <v>121</v>
      </c>
      <c r="C7" s="825" t="s">
        <v>122</v>
      </c>
      <c r="D7" s="825" t="s">
        <v>419</v>
      </c>
      <c r="E7" s="14" t="s">
        <v>420</v>
      </c>
      <c r="F7" s="411" t="s">
        <v>429</v>
      </c>
      <c r="G7" s="411" t="s">
        <v>455</v>
      </c>
      <c r="H7" s="411" t="s">
        <v>378</v>
      </c>
      <c r="I7" s="14" t="s">
        <v>379</v>
      </c>
      <c r="J7" s="826" t="s">
        <v>456</v>
      </c>
    </row>
    <row r="8" spans="1:10" ht="16.5" customHeight="1">
      <c r="A8" s="827"/>
      <c r="B8" s="815" t="s">
        <v>209</v>
      </c>
      <c r="C8" s="1"/>
      <c r="D8" s="1"/>
      <c r="E8" s="1"/>
      <c r="F8" s="1"/>
      <c r="G8" s="1"/>
      <c r="H8" s="1"/>
      <c r="I8" s="1"/>
      <c r="J8" s="828"/>
    </row>
    <row r="9" spans="1:10" ht="12">
      <c r="A9" s="819"/>
      <c r="B9" s="139" t="s">
        <v>201</v>
      </c>
      <c r="C9" s="413"/>
      <c r="D9" s="413"/>
      <c r="E9" s="413"/>
      <c r="F9" s="413"/>
      <c r="G9" s="413"/>
      <c r="H9" s="413"/>
      <c r="I9" s="413"/>
      <c r="J9" s="829"/>
    </row>
    <row r="10" spans="1:10" ht="12">
      <c r="A10" s="830">
        <v>4010</v>
      </c>
      <c r="B10" s="426" t="s">
        <v>914</v>
      </c>
      <c r="C10" s="412"/>
      <c r="D10" s="412"/>
      <c r="E10" s="412"/>
      <c r="F10" s="412"/>
      <c r="G10" s="412"/>
      <c r="H10" s="412"/>
      <c r="I10" s="412"/>
      <c r="J10" s="829"/>
    </row>
    <row r="11" spans="1:10" ht="12">
      <c r="A11" s="830">
        <v>4012</v>
      </c>
      <c r="B11" s="426" t="s">
        <v>372</v>
      </c>
      <c r="C11" s="412">
        <v>196947</v>
      </c>
      <c r="D11" s="412">
        <v>196947</v>
      </c>
      <c r="E11" s="412">
        <f>196947+40000</f>
        <v>236947</v>
      </c>
      <c r="F11" s="412">
        <f>196947+40000</f>
        <v>236947</v>
      </c>
      <c r="G11" s="412">
        <f>196947+40000</f>
        <v>236947</v>
      </c>
      <c r="H11" s="412">
        <v>6947</v>
      </c>
      <c r="I11" s="145">
        <f t="shared" ref="I11:I20" si="0">H11/G11</f>
        <v>2.9318792810206502E-2</v>
      </c>
      <c r="J11" s="831" t="s">
        <v>937</v>
      </c>
    </row>
    <row r="12" spans="1:10" ht="12">
      <c r="A12" s="830">
        <v>4013</v>
      </c>
      <c r="B12" s="426" t="s">
        <v>766</v>
      </c>
      <c r="C12" s="412"/>
      <c r="D12" s="412">
        <f>D13</f>
        <v>224</v>
      </c>
      <c r="E12" s="412">
        <f>E13</f>
        <v>224</v>
      </c>
      <c r="F12" s="412">
        <f>F13</f>
        <v>224</v>
      </c>
      <c r="G12" s="412">
        <f>G13</f>
        <v>224</v>
      </c>
      <c r="H12" s="412">
        <f>H13</f>
        <v>0</v>
      </c>
      <c r="I12" s="145">
        <f t="shared" si="0"/>
        <v>0</v>
      </c>
      <c r="J12" s="831"/>
    </row>
    <row r="13" spans="1:10" ht="12">
      <c r="A13" s="830"/>
      <c r="B13" s="982" t="s">
        <v>235</v>
      </c>
      <c r="C13" s="983"/>
      <c r="D13" s="983">
        <v>224</v>
      </c>
      <c r="E13" s="983">
        <v>224</v>
      </c>
      <c r="F13" s="983">
        <v>224</v>
      </c>
      <c r="G13" s="983">
        <v>224</v>
      </c>
      <c r="H13" s="983">
        <v>0</v>
      </c>
      <c r="I13" s="981">
        <f t="shared" si="0"/>
        <v>0</v>
      </c>
      <c r="J13" s="831"/>
    </row>
    <row r="14" spans="1:10" ht="12">
      <c r="A14" s="832">
        <v>4014</v>
      </c>
      <c r="B14" s="44" t="s">
        <v>371</v>
      </c>
      <c r="C14" s="412">
        <v>155189</v>
      </c>
      <c r="D14" s="412">
        <f>155189+90000</f>
        <v>245189</v>
      </c>
      <c r="E14" s="412">
        <f>245189</f>
        <v>245189</v>
      </c>
      <c r="F14" s="412">
        <f>245189</f>
        <v>245189</v>
      </c>
      <c r="G14" s="412">
        <f>245189</f>
        <v>245189</v>
      </c>
      <c r="H14" s="412">
        <v>63195</v>
      </c>
      <c r="I14" s="145">
        <f t="shared" si="0"/>
        <v>0.25773994755066498</v>
      </c>
      <c r="J14" s="833" t="s">
        <v>1014</v>
      </c>
    </row>
    <row r="15" spans="1:10" ht="12">
      <c r="A15" s="832">
        <v>4015</v>
      </c>
      <c r="B15" s="44" t="s">
        <v>768</v>
      </c>
      <c r="C15" s="412">
        <v>52654</v>
      </c>
      <c r="D15" s="412">
        <v>52654</v>
      </c>
      <c r="E15" s="412">
        <v>52654</v>
      </c>
      <c r="F15" s="412">
        <v>52654</v>
      </c>
      <c r="G15" s="412">
        <v>52654</v>
      </c>
      <c r="H15" s="412">
        <v>51026</v>
      </c>
      <c r="I15" s="145">
        <f t="shared" si="0"/>
        <v>0.96908117142097472</v>
      </c>
      <c r="J15" s="833"/>
    </row>
    <row r="16" spans="1:10" ht="12">
      <c r="A16" s="832">
        <v>4016</v>
      </c>
      <c r="B16" s="44" t="s">
        <v>890</v>
      </c>
      <c r="C16" s="427">
        <v>10000</v>
      </c>
      <c r="D16" s="427">
        <f>10000+1079</f>
        <v>11079</v>
      </c>
      <c r="E16" s="427">
        <f>E17+E18</f>
        <v>11079</v>
      </c>
      <c r="F16" s="427">
        <f>F17+F18</f>
        <v>11079</v>
      </c>
      <c r="G16" s="427">
        <f>G17+G18</f>
        <v>11079</v>
      </c>
      <c r="H16" s="427">
        <f>H17+H18</f>
        <v>1080</v>
      </c>
      <c r="I16" s="145">
        <f t="shared" si="0"/>
        <v>9.7481722177091792E-2</v>
      </c>
      <c r="J16" s="834"/>
    </row>
    <row r="17" spans="1:11" ht="12">
      <c r="A17" s="832"/>
      <c r="B17" s="979" t="s">
        <v>1023</v>
      </c>
      <c r="C17" s="980"/>
      <c r="D17" s="980">
        <v>1079</v>
      </c>
      <c r="E17" s="980">
        <v>1079</v>
      </c>
      <c r="F17" s="980">
        <v>1079</v>
      </c>
      <c r="G17" s="980">
        <v>1079</v>
      </c>
      <c r="H17" s="980">
        <v>1080</v>
      </c>
      <c r="I17" s="981">
        <f t="shared" si="0"/>
        <v>1.0009267840593141</v>
      </c>
      <c r="J17" s="834"/>
    </row>
    <row r="18" spans="1:11" ht="12">
      <c r="A18" s="832"/>
      <c r="B18" s="979" t="s">
        <v>191</v>
      </c>
      <c r="C18" s="980"/>
      <c r="D18" s="980">
        <v>10000</v>
      </c>
      <c r="E18" s="980">
        <v>10000</v>
      </c>
      <c r="F18" s="980">
        <v>10000</v>
      </c>
      <c r="G18" s="980">
        <v>10000</v>
      </c>
      <c r="H18" s="980">
        <v>0</v>
      </c>
      <c r="I18" s="981">
        <f t="shared" si="0"/>
        <v>0</v>
      </c>
      <c r="J18" s="834"/>
    </row>
    <row r="19" spans="1:11" ht="12">
      <c r="A19" s="832">
        <v>4018</v>
      </c>
      <c r="B19" s="44" t="s">
        <v>707</v>
      </c>
      <c r="C19" s="427">
        <f>150000+134920</f>
        <v>284920</v>
      </c>
      <c r="D19" s="427">
        <f>150000+134920</f>
        <v>284920</v>
      </c>
      <c r="E19" s="427">
        <f>284920</f>
        <v>284920</v>
      </c>
      <c r="F19" s="427">
        <f>284920</f>
        <v>284920</v>
      </c>
      <c r="G19" s="427">
        <f>284920</f>
        <v>284920</v>
      </c>
      <c r="H19" s="427">
        <v>134592</v>
      </c>
      <c r="I19" s="145">
        <f t="shared" si="0"/>
        <v>0.47238523094201879</v>
      </c>
      <c r="J19" s="835"/>
    </row>
    <row r="20" spans="1:11" ht="12">
      <c r="A20" s="832">
        <v>4019</v>
      </c>
      <c r="B20" s="44" t="s">
        <v>406</v>
      </c>
      <c r="C20" s="427">
        <f>60000+25151</f>
        <v>85151</v>
      </c>
      <c r="D20" s="427">
        <f>60000+25151</f>
        <v>85151</v>
      </c>
      <c r="E20" s="427">
        <f>85151</f>
        <v>85151</v>
      </c>
      <c r="F20" s="427">
        <f>85151</f>
        <v>85151</v>
      </c>
      <c r="G20" s="427">
        <f>85151</f>
        <v>85151</v>
      </c>
      <c r="H20" s="427">
        <v>25151</v>
      </c>
      <c r="I20" s="145">
        <f t="shared" si="0"/>
        <v>0.29536940259069183</v>
      </c>
      <c r="J20" s="835"/>
    </row>
    <row r="21" spans="1:11" ht="12">
      <c r="A21" s="832">
        <v>4020</v>
      </c>
      <c r="B21" s="44" t="s">
        <v>733</v>
      </c>
      <c r="C21" s="427"/>
      <c r="D21" s="427"/>
      <c r="E21" s="427"/>
      <c r="F21" s="427"/>
      <c r="G21" s="427"/>
      <c r="H21" s="427"/>
      <c r="I21" s="145"/>
      <c r="J21" s="835"/>
    </row>
    <row r="22" spans="1:11" ht="12">
      <c r="A22" s="832">
        <v>4021</v>
      </c>
      <c r="B22" s="44" t="s">
        <v>740</v>
      </c>
      <c r="C22" s="427">
        <v>89131</v>
      </c>
      <c r="D22" s="427">
        <f>D24+D25</f>
        <v>103852</v>
      </c>
      <c r="E22" s="427">
        <f>E23+E24+E25</f>
        <v>103852</v>
      </c>
      <c r="F22" s="427">
        <f>F23+F24+F25</f>
        <v>103852</v>
      </c>
      <c r="G22" s="427">
        <f>G23+G24+G25</f>
        <v>103852</v>
      </c>
      <c r="H22" s="427">
        <f>H23+H24+H25</f>
        <v>67986</v>
      </c>
      <c r="I22" s="145">
        <f t="shared" ref="I22:I30" si="1">H22/G22</f>
        <v>0.65464314601548357</v>
      </c>
      <c r="J22" s="835"/>
    </row>
    <row r="23" spans="1:11" ht="12">
      <c r="A23" s="832"/>
      <c r="B23" s="979" t="s">
        <v>235</v>
      </c>
      <c r="C23" s="984"/>
      <c r="D23" s="984"/>
      <c r="E23" s="980">
        <v>2301</v>
      </c>
      <c r="F23" s="980">
        <v>2301</v>
      </c>
      <c r="G23" s="980">
        <f>2301+1</f>
        <v>2302</v>
      </c>
      <c r="H23" s="980">
        <v>2302</v>
      </c>
      <c r="I23" s="145">
        <f t="shared" si="1"/>
        <v>1</v>
      </c>
      <c r="J23" s="835"/>
      <c r="K23" s="751"/>
    </row>
    <row r="24" spans="1:11" ht="12">
      <c r="A24" s="832"/>
      <c r="B24" s="979" t="s">
        <v>1023</v>
      </c>
      <c r="C24" s="980"/>
      <c r="D24" s="980">
        <f>1+16000</f>
        <v>16001</v>
      </c>
      <c r="E24" s="980">
        <f>16001+25300</f>
        <v>41301</v>
      </c>
      <c r="F24" s="980">
        <f>16001+25300</f>
        <v>41301</v>
      </c>
      <c r="G24" s="980">
        <f>16001+25300+6200</f>
        <v>47501</v>
      </c>
      <c r="H24" s="980">
        <v>42719</v>
      </c>
      <c r="I24" s="145">
        <f t="shared" si="1"/>
        <v>0.89932843519083805</v>
      </c>
      <c r="J24" s="835"/>
      <c r="K24" s="751"/>
    </row>
    <row r="25" spans="1:11" ht="12">
      <c r="A25" s="832"/>
      <c r="B25" s="979" t="s">
        <v>191</v>
      </c>
      <c r="C25" s="980"/>
      <c r="D25" s="980">
        <f>89131+14720-16000</f>
        <v>87851</v>
      </c>
      <c r="E25" s="980">
        <f>87851-27601</f>
        <v>60250</v>
      </c>
      <c r="F25" s="980">
        <f>87851-27601</f>
        <v>60250</v>
      </c>
      <c r="G25" s="980">
        <f>87851-27601-6201</f>
        <v>54049</v>
      </c>
      <c r="H25" s="980">
        <v>22965</v>
      </c>
      <c r="I25" s="145">
        <f t="shared" si="1"/>
        <v>0.4248922274232641</v>
      </c>
      <c r="J25" s="835"/>
      <c r="K25" s="751"/>
    </row>
    <row r="26" spans="1:11" ht="12">
      <c r="A26" s="832">
        <v>4022</v>
      </c>
      <c r="B26" s="141" t="s">
        <v>847</v>
      </c>
      <c r="C26" s="427">
        <f>30000+30000</f>
        <v>60000</v>
      </c>
      <c r="D26" s="427">
        <f>30000+30000</f>
        <v>60000</v>
      </c>
      <c r="E26" s="427">
        <f>E27+E28+E29</f>
        <v>60000</v>
      </c>
      <c r="F26" s="427">
        <f>F27+F28+F29</f>
        <v>60000</v>
      </c>
      <c r="G26" s="427">
        <f>G27+G28+G29</f>
        <v>60000</v>
      </c>
      <c r="H26" s="427">
        <f>H27+H28+H29</f>
        <v>3115</v>
      </c>
      <c r="I26" s="145">
        <f t="shared" si="1"/>
        <v>5.1916666666666667E-2</v>
      </c>
      <c r="J26" s="835"/>
    </row>
    <row r="27" spans="1:11" ht="12">
      <c r="A27" s="832"/>
      <c r="B27" s="979" t="s">
        <v>235</v>
      </c>
      <c r="C27" s="984"/>
      <c r="D27" s="984"/>
      <c r="E27" s="980">
        <v>1005</v>
      </c>
      <c r="F27" s="980">
        <v>1005</v>
      </c>
      <c r="G27" s="980">
        <v>1005</v>
      </c>
      <c r="H27" s="980">
        <v>0</v>
      </c>
      <c r="I27" s="145">
        <f t="shared" si="1"/>
        <v>0</v>
      </c>
      <c r="J27" s="835"/>
    </row>
    <row r="28" spans="1:11" ht="12">
      <c r="A28" s="832"/>
      <c r="B28" s="979" t="s">
        <v>1023</v>
      </c>
      <c r="C28" s="984"/>
      <c r="D28" s="984"/>
      <c r="E28" s="980">
        <v>1435</v>
      </c>
      <c r="F28" s="980">
        <v>1435</v>
      </c>
      <c r="G28" s="980">
        <v>1435</v>
      </c>
      <c r="H28" s="980">
        <v>1435</v>
      </c>
      <c r="I28" s="145">
        <f t="shared" si="1"/>
        <v>1</v>
      </c>
      <c r="J28" s="835"/>
    </row>
    <row r="29" spans="1:11" ht="12">
      <c r="A29" s="832"/>
      <c r="B29" s="979" t="s">
        <v>191</v>
      </c>
      <c r="C29" s="984"/>
      <c r="D29" s="984"/>
      <c r="E29" s="980">
        <f>60000-2440</f>
        <v>57560</v>
      </c>
      <c r="F29" s="980">
        <f>60000-2440</f>
        <v>57560</v>
      </c>
      <c r="G29" s="980">
        <f>60000-2440</f>
        <v>57560</v>
      </c>
      <c r="H29" s="980">
        <v>1680</v>
      </c>
      <c r="I29" s="145">
        <f t="shared" si="1"/>
        <v>2.9186935371785964E-2</v>
      </c>
      <c r="J29" s="835"/>
    </row>
    <row r="30" spans="1:11" s="11" customFormat="1" ht="12">
      <c r="A30" s="836">
        <v>4010</v>
      </c>
      <c r="B30" s="137" t="s">
        <v>202</v>
      </c>
      <c r="C30" s="376">
        <f>SUM(C11:C26)</f>
        <v>933992</v>
      </c>
      <c r="D30" s="376">
        <f>D11+D12+D14+D15+D16+D19+D20+D22+D26</f>
        <v>1040016</v>
      </c>
      <c r="E30" s="376">
        <f>E11+E12+E14+E15+E16+E19+E20+E22+E26</f>
        <v>1080016</v>
      </c>
      <c r="F30" s="376">
        <f>F11+F12+F14+F15+F16+F19+F20+F22+F26</f>
        <v>1080016</v>
      </c>
      <c r="G30" s="376">
        <f>G11+G12+G14+G15+G16+G19+G20+G22+G26</f>
        <v>1080016</v>
      </c>
      <c r="H30" s="376">
        <f>H11+H12+H14+H15+H16+H19+H20+H22+H26</f>
        <v>353092</v>
      </c>
      <c r="I30" s="385">
        <f t="shared" si="1"/>
        <v>0.32693219359713188</v>
      </c>
      <c r="J30" s="837"/>
    </row>
    <row r="31" spans="1:11" s="11" customFormat="1" ht="12.75">
      <c r="A31" s="838"/>
      <c r="B31" s="140" t="s">
        <v>206</v>
      </c>
      <c r="C31" s="329"/>
      <c r="D31" s="329"/>
      <c r="E31" s="329"/>
      <c r="F31" s="329"/>
      <c r="G31" s="329"/>
      <c r="H31" s="329"/>
      <c r="I31" s="424"/>
      <c r="J31" s="839"/>
    </row>
    <row r="32" spans="1:11" s="11" customFormat="1" ht="12">
      <c r="A32" s="832">
        <v>4111</v>
      </c>
      <c r="B32" s="535" t="s">
        <v>819</v>
      </c>
      <c r="C32" s="428"/>
      <c r="D32" s="428"/>
      <c r="E32" s="428"/>
      <c r="F32" s="428"/>
      <c r="G32" s="428"/>
      <c r="H32" s="428"/>
      <c r="I32" s="424"/>
      <c r="J32" s="839"/>
    </row>
    <row r="33" spans="1:12" s="11" customFormat="1" ht="12">
      <c r="A33" s="832">
        <v>4114</v>
      </c>
      <c r="B33" s="536" t="s">
        <v>806</v>
      </c>
      <c r="C33" s="126">
        <v>72000</v>
      </c>
      <c r="D33" s="126">
        <f>72000+72000</f>
        <v>144000</v>
      </c>
      <c r="E33" s="126">
        <f>144000</f>
        <v>144000</v>
      </c>
      <c r="F33" s="126">
        <f>144000</f>
        <v>144000</v>
      </c>
      <c r="G33" s="126">
        <f>144000</f>
        <v>144000</v>
      </c>
      <c r="H33" s="126">
        <v>0</v>
      </c>
      <c r="I33" s="145">
        <f t="shared" ref="I33:I38" si="2">H33/G33</f>
        <v>0</v>
      </c>
      <c r="J33" s="831"/>
    </row>
    <row r="34" spans="1:12" ht="12">
      <c r="A34" s="840">
        <v>4121</v>
      </c>
      <c r="B34" s="537" t="s">
        <v>831</v>
      </c>
      <c r="C34" s="781">
        <f>64438+110000</f>
        <v>174438</v>
      </c>
      <c r="D34" s="781">
        <f>D36+D37</f>
        <v>184438</v>
      </c>
      <c r="E34" s="781">
        <f>E36+E37+E35</f>
        <v>175408</v>
      </c>
      <c r="F34" s="781">
        <f>F36+F37+F35</f>
        <v>179263</v>
      </c>
      <c r="G34" s="412">
        <f>G36+G37+G35</f>
        <v>179263</v>
      </c>
      <c r="H34" s="412">
        <f>H36+H37+H35</f>
        <v>20793</v>
      </c>
      <c r="I34" s="145">
        <f t="shared" si="2"/>
        <v>0.11599158777885007</v>
      </c>
      <c r="J34" s="833" t="s">
        <v>1015</v>
      </c>
      <c r="L34" s="12"/>
    </row>
    <row r="35" spans="1:12" ht="12">
      <c r="A35" s="840"/>
      <c r="B35" s="985" t="s">
        <v>235</v>
      </c>
      <c r="C35" s="1621"/>
      <c r="D35" s="1621"/>
      <c r="E35" s="983">
        <v>14713</v>
      </c>
      <c r="F35" s="983">
        <f>14713+16200</f>
        <v>30913</v>
      </c>
      <c r="G35" s="983">
        <f>14713+16200+10300</f>
        <v>41213</v>
      </c>
      <c r="H35" s="983">
        <v>11297</v>
      </c>
      <c r="I35" s="145">
        <f t="shared" si="2"/>
        <v>0.27411253730618979</v>
      </c>
      <c r="J35" s="833"/>
      <c r="K35" s="751"/>
    </row>
    <row r="36" spans="1:12" ht="12">
      <c r="A36" s="840"/>
      <c r="B36" s="985" t="s">
        <v>1023</v>
      </c>
      <c r="C36" s="1621"/>
      <c r="D36" s="983">
        <v>6000</v>
      </c>
      <c r="E36" s="983">
        <f>6000+10100</f>
        <v>16100</v>
      </c>
      <c r="F36" s="983">
        <f>6000+10100</f>
        <v>16100</v>
      </c>
      <c r="G36" s="983">
        <f>6000+10100</f>
        <v>16100</v>
      </c>
      <c r="H36" s="983">
        <v>5845</v>
      </c>
      <c r="I36" s="145">
        <f t="shared" si="2"/>
        <v>0.36304347826086958</v>
      </c>
      <c r="J36" s="833"/>
    </row>
    <row r="37" spans="1:12" ht="12">
      <c r="A37" s="840"/>
      <c r="B37" s="985" t="s">
        <v>191</v>
      </c>
      <c r="C37" s="1621"/>
      <c r="D37" s="983">
        <f>168438+10000</f>
        <v>178438</v>
      </c>
      <c r="E37" s="983">
        <f>178438-16885-6858-10100</f>
        <v>144595</v>
      </c>
      <c r="F37" s="983">
        <f>178438-16885-6858-10100-16200+3855</f>
        <v>132250</v>
      </c>
      <c r="G37" s="983">
        <f>178438-16885-6858-10100-16200+3855-10300</f>
        <v>121950</v>
      </c>
      <c r="H37" s="983">
        <v>3651</v>
      </c>
      <c r="I37" s="145">
        <f t="shared" si="2"/>
        <v>2.993849938499385E-2</v>
      </c>
      <c r="J37" s="833"/>
      <c r="K37" s="751"/>
    </row>
    <row r="38" spans="1:12" ht="12">
      <c r="A38" s="840">
        <v>4124</v>
      </c>
      <c r="B38" s="537" t="s">
        <v>1024</v>
      </c>
      <c r="C38" s="781"/>
      <c r="D38" s="781">
        <v>5214</v>
      </c>
      <c r="E38" s="781">
        <v>5214</v>
      </c>
      <c r="F38" s="781">
        <v>5214</v>
      </c>
      <c r="G38" s="781">
        <v>5214</v>
      </c>
      <c r="H38" s="781">
        <v>0</v>
      </c>
      <c r="I38" s="145">
        <f t="shared" si="2"/>
        <v>0</v>
      </c>
      <c r="J38" s="833"/>
    </row>
    <row r="39" spans="1:12" ht="12">
      <c r="A39" s="832">
        <v>4125</v>
      </c>
      <c r="B39" s="536" t="s">
        <v>807</v>
      </c>
      <c r="C39" s="412"/>
      <c r="D39" s="412"/>
      <c r="E39" s="412"/>
      <c r="F39" s="412"/>
      <c r="G39" s="412"/>
      <c r="H39" s="412"/>
      <c r="I39" s="145"/>
      <c r="J39" s="841"/>
      <c r="K39" s="12"/>
    </row>
    <row r="40" spans="1:12" ht="12">
      <c r="A40" s="842">
        <v>4126</v>
      </c>
      <c r="B40" s="536" t="s">
        <v>723</v>
      </c>
      <c r="C40" s="46">
        <v>130901</v>
      </c>
      <c r="D40" s="46">
        <f>D41+D43</f>
        <v>230901</v>
      </c>
      <c r="E40" s="46">
        <f>E41+E43</f>
        <v>230901</v>
      </c>
      <c r="F40" s="46">
        <f>F41+F43</f>
        <v>230901</v>
      </c>
      <c r="G40" s="46">
        <f>G41+G43+G42</f>
        <v>226646</v>
      </c>
      <c r="H40" s="46">
        <f>H41+H43+H42</f>
        <v>140721</v>
      </c>
      <c r="I40" s="145">
        <f>H40/G40</f>
        <v>0.62088455123849529</v>
      </c>
      <c r="J40" s="843"/>
      <c r="K40" s="751"/>
    </row>
    <row r="41" spans="1:12" ht="12">
      <c r="A41" s="844"/>
      <c r="B41" s="986" t="s">
        <v>235</v>
      </c>
      <c r="C41" s="987"/>
      <c r="D41" s="987">
        <v>3100</v>
      </c>
      <c r="E41" s="987">
        <f>3100+876+5000</f>
        <v>8976</v>
      </c>
      <c r="F41" s="987">
        <f>3100+876+5000</f>
        <v>8976</v>
      </c>
      <c r="G41" s="987">
        <f>3100+876+5000</f>
        <v>8976</v>
      </c>
      <c r="H41" s="987">
        <v>4905</v>
      </c>
      <c r="I41" s="145">
        <f>H41/G41</f>
        <v>0.54645721925133695</v>
      </c>
      <c r="J41" s="843"/>
    </row>
    <row r="42" spans="1:12" ht="12">
      <c r="A42" s="844"/>
      <c r="B42" s="985" t="s">
        <v>1023</v>
      </c>
      <c r="C42" s="987"/>
      <c r="D42" s="987"/>
      <c r="E42" s="987"/>
      <c r="F42" s="987"/>
      <c r="G42" s="987">
        <v>2400</v>
      </c>
      <c r="H42" s="987">
        <v>2397</v>
      </c>
      <c r="I42" s="145">
        <f>H42/G42</f>
        <v>0.99875000000000003</v>
      </c>
      <c r="J42" s="843"/>
      <c r="K42" s="751"/>
    </row>
    <row r="43" spans="1:12" ht="12">
      <c r="A43" s="844"/>
      <c r="B43" s="986" t="s">
        <v>191</v>
      </c>
      <c r="C43" s="987"/>
      <c r="D43" s="987">
        <v>227801</v>
      </c>
      <c r="E43" s="987">
        <f>227801-876-5000</f>
        <v>221925</v>
      </c>
      <c r="F43" s="987">
        <f>227801-876-5000</f>
        <v>221925</v>
      </c>
      <c r="G43" s="987">
        <f>227801-876-5000-4255-2400</f>
        <v>215270</v>
      </c>
      <c r="H43" s="987">
        <v>133419</v>
      </c>
      <c r="I43" s="145">
        <f>H43/G43</f>
        <v>0.61977516607051608</v>
      </c>
      <c r="J43" s="843"/>
      <c r="K43" s="751"/>
    </row>
    <row r="44" spans="1:12" ht="12">
      <c r="A44" s="844">
        <v>4127</v>
      </c>
      <c r="B44" s="535" t="s">
        <v>729</v>
      </c>
      <c r="C44" s="46"/>
      <c r="D44" s="46"/>
      <c r="E44" s="46"/>
      <c r="F44" s="46"/>
      <c r="G44" s="46"/>
      <c r="H44" s="46"/>
      <c r="I44" s="145"/>
      <c r="J44" s="843"/>
    </row>
    <row r="45" spans="1:12" ht="12">
      <c r="A45" s="844">
        <v>4129</v>
      </c>
      <c r="B45" s="535" t="s">
        <v>775</v>
      </c>
      <c r="C45" s="46"/>
      <c r="D45" s="46"/>
      <c r="E45" s="46"/>
      <c r="F45" s="46"/>
      <c r="G45" s="46"/>
      <c r="H45" s="46"/>
      <c r="I45" s="145"/>
      <c r="J45" s="843"/>
    </row>
    <row r="46" spans="1:12" ht="12">
      <c r="A46" s="844">
        <v>4151</v>
      </c>
      <c r="B46" s="535" t="s">
        <v>843</v>
      </c>
      <c r="C46" s="46"/>
      <c r="D46" s="46"/>
      <c r="E46" s="46"/>
      <c r="F46" s="46"/>
      <c r="G46" s="46"/>
      <c r="H46" s="46"/>
      <c r="I46" s="145"/>
      <c r="J46" s="843"/>
    </row>
    <row r="47" spans="1:12" ht="12">
      <c r="A47" s="844">
        <v>4152</v>
      </c>
      <c r="B47" s="535" t="s">
        <v>868</v>
      </c>
      <c r="C47" s="46"/>
      <c r="D47" s="46"/>
      <c r="E47" s="46"/>
      <c r="F47" s="46"/>
      <c r="G47" s="46"/>
      <c r="H47" s="46"/>
      <c r="I47" s="145"/>
      <c r="J47" s="843"/>
    </row>
    <row r="48" spans="1:12" ht="12">
      <c r="A48" s="844">
        <v>4153</v>
      </c>
      <c r="B48" s="535" t="s">
        <v>844</v>
      </c>
      <c r="C48" s="46">
        <v>18000</v>
      </c>
      <c r="D48" s="46">
        <v>18000</v>
      </c>
      <c r="E48" s="46">
        <f>E49+E50</f>
        <v>21844</v>
      </c>
      <c r="F48" s="46">
        <f>F49+F50</f>
        <v>21844</v>
      </c>
      <c r="G48" s="46">
        <f>G49+G50</f>
        <v>21844</v>
      </c>
      <c r="H48" s="46">
        <f>H49+H50</f>
        <v>21844</v>
      </c>
      <c r="I48" s="145">
        <f>H48/G48</f>
        <v>1</v>
      </c>
      <c r="J48" s="843"/>
    </row>
    <row r="49" spans="1:10" ht="12">
      <c r="A49" s="844"/>
      <c r="B49" s="985" t="s">
        <v>235</v>
      </c>
      <c r="C49" s="1622"/>
      <c r="D49" s="1622"/>
      <c r="E49" s="987">
        <v>21844</v>
      </c>
      <c r="F49" s="987">
        <v>21844</v>
      </c>
      <c r="G49" s="987">
        <v>21844</v>
      </c>
      <c r="H49" s="987">
        <v>21844</v>
      </c>
      <c r="I49" s="145">
        <f>H49/G49</f>
        <v>1</v>
      </c>
      <c r="J49" s="843"/>
    </row>
    <row r="50" spans="1:10" ht="12">
      <c r="A50" s="844"/>
      <c r="B50" s="985" t="s">
        <v>191</v>
      </c>
      <c r="C50" s="1622"/>
      <c r="D50" s="1622"/>
      <c r="E50" s="987">
        <v>0</v>
      </c>
      <c r="F50" s="987">
        <v>0</v>
      </c>
      <c r="G50" s="987">
        <v>0</v>
      </c>
      <c r="H50" s="987">
        <v>0</v>
      </c>
      <c r="I50" s="145"/>
      <c r="J50" s="843"/>
    </row>
    <row r="51" spans="1:10" ht="12">
      <c r="A51" s="844">
        <v>4154</v>
      </c>
      <c r="B51" s="540" t="s">
        <v>845</v>
      </c>
      <c r="C51" s="46">
        <v>454477</v>
      </c>
      <c r="D51" s="46">
        <f>454477+125000</f>
        <v>579477</v>
      </c>
      <c r="E51" s="46">
        <f>579477</f>
        <v>579477</v>
      </c>
      <c r="F51" s="46">
        <f>579477</f>
        <v>579477</v>
      </c>
      <c r="G51" s="46">
        <f>579477</f>
        <v>579477</v>
      </c>
      <c r="H51" s="46">
        <v>234950</v>
      </c>
      <c r="I51" s="145">
        <f>H51/G51</f>
        <v>0.40545181258272545</v>
      </c>
      <c r="J51" s="833"/>
    </row>
    <row r="52" spans="1:10" ht="12">
      <c r="A52" s="844">
        <v>4155</v>
      </c>
      <c r="B52" s="535" t="s">
        <v>846</v>
      </c>
      <c r="C52" s="46">
        <v>799162</v>
      </c>
      <c r="D52" s="46">
        <v>799162</v>
      </c>
      <c r="E52" s="46">
        <f>799162+2172</f>
        <v>801334</v>
      </c>
      <c r="F52" s="46">
        <f>799162+2172</f>
        <v>801334</v>
      </c>
      <c r="G52" s="46">
        <f>799162+2172</f>
        <v>801334</v>
      </c>
      <c r="H52" s="46">
        <v>770884</v>
      </c>
      <c r="I52" s="145">
        <f>H52/G52</f>
        <v>0.96200086356001369</v>
      </c>
      <c r="J52" s="833"/>
    </row>
    <row r="53" spans="1:10" ht="12">
      <c r="A53" s="844">
        <v>4156</v>
      </c>
      <c r="B53" s="535" t="s">
        <v>850</v>
      </c>
      <c r="C53" s="46"/>
      <c r="D53" s="46"/>
      <c r="E53" s="46"/>
      <c r="F53" s="46"/>
      <c r="G53" s="46"/>
      <c r="H53" s="46"/>
      <c r="I53" s="145"/>
      <c r="J53" s="843"/>
    </row>
    <row r="54" spans="1:10" ht="12">
      <c r="A54" s="844">
        <v>4157</v>
      </c>
      <c r="B54" s="535" t="s">
        <v>869</v>
      </c>
      <c r="C54" s="46"/>
      <c r="D54" s="46"/>
      <c r="E54" s="46"/>
      <c r="F54" s="46"/>
      <c r="G54" s="46"/>
      <c r="H54" s="46"/>
      <c r="I54" s="145"/>
      <c r="J54" s="843"/>
    </row>
    <row r="55" spans="1:10" ht="12">
      <c r="A55" s="844">
        <v>4158</v>
      </c>
      <c r="B55" s="535" t="s">
        <v>889</v>
      </c>
      <c r="C55" s="46"/>
      <c r="D55" s="46">
        <v>62167</v>
      </c>
      <c r="E55" s="46">
        <f>62167+6858</f>
        <v>69025</v>
      </c>
      <c r="F55" s="46">
        <f>62167+6858</f>
        <v>69025</v>
      </c>
      <c r="G55" s="46">
        <f>62167+6858</f>
        <v>69025</v>
      </c>
      <c r="H55" s="46">
        <v>66954</v>
      </c>
      <c r="I55" s="145">
        <f t="shared" ref="I55:I62" si="3">H55/G55</f>
        <v>0.96999637812386819</v>
      </c>
      <c r="J55" s="843"/>
    </row>
    <row r="56" spans="1:10" ht="12">
      <c r="A56" s="844">
        <v>4159</v>
      </c>
      <c r="B56" s="535" t="s">
        <v>906</v>
      </c>
      <c r="C56" s="46">
        <v>100000</v>
      </c>
      <c r="D56" s="46">
        <f>100000-24276+24276</f>
        <v>100000</v>
      </c>
      <c r="E56" s="46">
        <f>E58+E59+E57</f>
        <v>500000</v>
      </c>
      <c r="F56" s="46">
        <f>F58+F59+F57</f>
        <v>500000</v>
      </c>
      <c r="G56" s="46">
        <f>G58+G59+G57</f>
        <v>500000</v>
      </c>
      <c r="H56" s="46">
        <f>H58+H59+H57</f>
        <v>7778</v>
      </c>
      <c r="I56" s="145">
        <f t="shared" si="3"/>
        <v>1.5556E-2</v>
      </c>
      <c r="J56" s="843"/>
    </row>
    <row r="57" spans="1:10" ht="12">
      <c r="A57" s="844"/>
      <c r="B57" s="985" t="s">
        <v>235</v>
      </c>
      <c r="C57" s="987"/>
      <c r="D57" s="987"/>
      <c r="E57" s="987">
        <v>1778</v>
      </c>
      <c r="F57" s="987">
        <v>1778</v>
      </c>
      <c r="G57" s="987">
        <v>1778</v>
      </c>
      <c r="H57" s="987">
        <v>1778</v>
      </c>
      <c r="I57" s="145">
        <f t="shared" si="3"/>
        <v>1</v>
      </c>
      <c r="J57" s="843"/>
    </row>
    <row r="58" spans="1:10" ht="12">
      <c r="A58" s="844"/>
      <c r="B58" s="985" t="s">
        <v>1023</v>
      </c>
      <c r="C58" s="987"/>
      <c r="D58" s="987">
        <v>6000</v>
      </c>
      <c r="E58" s="987">
        <v>6000</v>
      </c>
      <c r="F58" s="987">
        <v>6000</v>
      </c>
      <c r="G58" s="987">
        <v>6000</v>
      </c>
      <c r="H58" s="987">
        <v>6000</v>
      </c>
      <c r="I58" s="145">
        <f t="shared" si="3"/>
        <v>1</v>
      </c>
      <c r="J58" s="843"/>
    </row>
    <row r="59" spans="1:10" ht="12">
      <c r="A59" s="844"/>
      <c r="B59" s="985" t="s">
        <v>191</v>
      </c>
      <c r="C59" s="987"/>
      <c r="D59" s="987">
        <v>94000</v>
      </c>
      <c r="E59" s="987">
        <f>94000-1778+400000</f>
        <v>492222</v>
      </c>
      <c r="F59" s="987">
        <f>94000-1778+400000</f>
        <v>492222</v>
      </c>
      <c r="G59" s="987">
        <f>94000-1778+400000</f>
        <v>492222</v>
      </c>
      <c r="H59" s="987">
        <v>0</v>
      </c>
      <c r="I59" s="145">
        <f t="shared" si="3"/>
        <v>0</v>
      </c>
      <c r="J59" s="843"/>
    </row>
    <row r="60" spans="1:10" ht="12">
      <c r="A60" s="844">
        <v>4160</v>
      </c>
      <c r="B60" s="535" t="s">
        <v>907</v>
      </c>
      <c r="C60" s="46">
        <v>654420</v>
      </c>
      <c r="D60" s="46">
        <f>654420+300+1300000</f>
        <v>1954720</v>
      </c>
      <c r="E60" s="46">
        <f>1954720</f>
        <v>1954720</v>
      </c>
      <c r="F60" s="46">
        <f>1954720</f>
        <v>1954720</v>
      </c>
      <c r="G60" s="46">
        <f>1954720</f>
        <v>1954720</v>
      </c>
      <c r="H60" s="46">
        <f>H61+H62</f>
        <v>4065</v>
      </c>
      <c r="I60" s="1623">
        <f t="shared" si="3"/>
        <v>2.0795817303757061E-3</v>
      </c>
      <c r="J60" s="833"/>
    </row>
    <row r="61" spans="1:10" ht="12">
      <c r="A61" s="844"/>
      <c r="B61" s="985" t="s">
        <v>235</v>
      </c>
      <c r="C61" s="1622"/>
      <c r="D61" s="1622"/>
      <c r="E61" s="1622"/>
      <c r="F61" s="1622">
        <v>500</v>
      </c>
      <c r="G61" s="1622">
        <v>500</v>
      </c>
      <c r="H61" s="1622">
        <v>487</v>
      </c>
      <c r="I61" s="1623">
        <f t="shared" si="3"/>
        <v>0.97399999999999998</v>
      </c>
      <c r="J61" s="833"/>
    </row>
    <row r="62" spans="1:10" ht="12">
      <c r="A62" s="844"/>
      <c r="B62" s="985" t="s">
        <v>191</v>
      </c>
      <c r="C62" s="1622"/>
      <c r="D62" s="1622"/>
      <c r="E62" s="1622"/>
      <c r="F62" s="1622">
        <f>F60-F61</f>
        <v>1954220</v>
      </c>
      <c r="G62" s="1622">
        <f>G60-G61</f>
        <v>1954220</v>
      </c>
      <c r="H62" s="1622">
        <v>3578</v>
      </c>
      <c r="I62" s="1623">
        <f t="shared" si="3"/>
        <v>1.830909518887331E-3</v>
      </c>
      <c r="J62" s="833"/>
    </row>
    <row r="63" spans="1:10" ht="12">
      <c r="A63" s="844">
        <v>4161</v>
      </c>
      <c r="B63" s="535" t="s">
        <v>908</v>
      </c>
      <c r="C63" s="46">
        <v>10214</v>
      </c>
      <c r="D63" s="46">
        <v>10214</v>
      </c>
      <c r="E63" s="46">
        <v>10214</v>
      </c>
      <c r="F63" s="46">
        <v>10214</v>
      </c>
      <c r="G63" s="46">
        <v>10214</v>
      </c>
      <c r="H63" s="46">
        <v>10213</v>
      </c>
      <c r="I63" s="145">
        <f t="shared" ref="I63:I72" si="4">H63/G63</f>
        <v>0.99990209516350104</v>
      </c>
      <c r="J63" s="833"/>
    </row>
    <row r="64" spans="1:10" ht="12">
      <c r="A64" s="844">
        <v>4162</v>
      </c>
      <c r="B64" s="535" t="s">
        <v>1008</v>
      </c>
      <c r="C64" s="46">
        <v>80000</v>
      </c>
      <c r="D64" s="46">
        <f>80000+3979</f>
        <v>83979</v>
      </c>
      <c r="E64" s="46">
        <f>83979</f>
        <v>83979</v>
      </c>
      <c r="F64" s="46">
        <f>83979</f>
        <v>83979</v>
      </c>
      <c r="G64" s="46">
        <f>83979</f>
        <v>83979</v>
      </c>
      <c r="H64" s="46">
        <v>16764</v>
      </c>
      <c r="I64" s="145">
        <f t="shared" si="4"/>
        <v>0.1996213339049048</v>
      </c>
      <c r="J64" s="843"/>
    </row>
    <row r="65" spans="1:11" ht="12">
      <c r="A65" s="844">
        <v>4163</v>
      </c>
      <c r="B65" s="535" t="s">
        <v>1041</v>
      </c>
      <c r="C65" s="46"/>
      <c r="D65" s="46">
        <v>80000</v>
      </c>
      <c r="E65" s="46">
        <v>80000</v>
      </c>
      <c r="F65" s="46">
        <v>80000</v>
      </c>
      <c r="G65" s="46">
        <v>80000</v>
      </c>
      <c r="H65" s="46">
        <v>0</v>
      </c>
      <c r="I65" s="145">
        <f t="shared" si="4"/>
        <v>0</v>
      </c>
      <c r="J65" s="843"/>
    </row>
    <row r="66" spans="1:11" ht="12">
      <c r="A66" s="844">
        <v>4164</v>
      </c>
      <c r="B66" s="535" t="s">
        <v>1058</v>
      </c>
      <c r="C66" s="46"/>
      <c r="D66" s="46">
        <v>1865386</v>
      </c>
      <c r="E66" s="46">
        <v>1865386</v>
      </c>
      <c r="F66" s="46">
        <v>1865386</v>
      </c>
      <c r="G66" s="46">
        <v>1865386</v>
      </c>
      <c r="H66" s="46">
        <v>0</v>
      </c>
      <c r="I66" s="145">
        <f t="shared" si="4"/>
        <v>0</v>
      </c>
      <c r="J66" s="843"/>
    </row>
    <row r="67" spans="1:11" ht="12">
      <c r="A67" s="845"/>
      <c r="B67" s="543" t="s">
        <v>108</v>
      </c>
      <c r="C67" s="1624">
        <f>SUM(C33:C64)</f>
        <v>2493612</v>
      </c>
      <c r="D67" s="1624">
        <f>D33+D34+D38+D40+D48+D51+D52+D55+D56+D60+D63+D64+D65+D66</f>
        <v>6117658</v>
      </c>
      <c r="E67" s="1624">
        <f>E33+E34+E38+E40+E48+E51+E52+E55+E56+E60+E63+E64+E65+E66</f>
        <v>6521502</v>
      </c>
      <c r="F67" s="1624">
        <f>F33+F34+F38+F40+F48+F51+F52+F55+F56+F60+F63+F64+F65+F66</f>
        <v>6525357</v>
      </c>
      <c r="G67" s="1624">
        <f>G33+G34+G38+G40+G48+G51+G52+G55+G56+G60+G63+G64+G65+G66</f>
        <v>6521102</v>
      </c>
      <c r="H67" s="1624">
        <f>H33+H34+H38+H40+H48+H51+H52+H55+H56+H60+H63+H64+H65+H66</f>
        <v>1294966</v>
      </c>
      <c r="I67" s="385">
        <f t="shared" si="4"/>
        <v>0.19858085335883413</v>
      </c>
      <c r="J67" s="846"/>
    </row>
    <row r="68" spans="1:11" ht="12">
      <c r="A68" s="847">
        <v>4131</v>
      </c>
      <c r="B68" s="541" t="s">
        <v>224</v>
      </c>
      <c r="C68" s="126">
        <v>20000</v>
      </c>
      <c r="D68" s="126">
        <f>D69+D71</f>
        <v>20533</v>
      </c>
      <c r="E68" s="126">
        <f>E69+E71+E70</f>
        <v>20533</v>
      </c>
      <c r="F68" s="126">
        <f>F69+F71+F70</f>
        <v>16678</v>
      </c>
      <c r="G68" s="126">
        <f>G69+G71+G70</f>
        <v>20533</v>
      </c>
      <c r="H68" s="126">
        <f>H69+H71+H70</f>
        <v>15827</v>
      </c>
      <c r="I68" s="145">
        <f t="shared" si="4"/>
        <v>0.7708079676618127</v>
      </c>
      <c r="J68" s="831" t="s">
        <v>937</v>
      </c>
      <c r="K68" s="751"/>
    </row>
    <row r="69" spans="1:11" ht="12">
      <c r="A69" s="847"/>
      <c r="B69" s="988" t="s">
        <v>235</v>
      </c>
      <c r="C69" s="983"/>
      <c r="D69" s="983">
        <v>533</v>
      </c>
      <c r="E69" s="983">
        <f>533+10000</f>
        <v>10533</v>
      </c>
      <c r="F69" s="983">
        <f>533+10000-3855</f>
        <v>6678</v>
      </c>
      <c r="G69" s="983">
        <f>533+10000-3855</f>
        <v>6678</v>
      </c>
      <c r="H69" s="983">
        <v>3174</v>
      </c>
      <c r="I69" s="145">
        <f t="shared" si="4"/>
        <v>0.4752920035938904</v>
      </c>
      <c r="J69" s="831"/>
    </row>
    <row r="70" spans="1:11" ht="12">
      <c r="A70" s="847"/>
      <c r="B70" s="988" t="s">
        <v>190</v>
      </c>
      <c r="C70" s="980"/>
      <c r="D70" s="980"/>
      <c r="E70" s="980">
        <v>1200</v>
      </c>
      <c r="F70" s="980">
        <v>1200</v>
      </c>
      <c r="G70" s="980">
        <v>1200</v>
      </c>
      <c r="H70" s="980">
        <v>0</v>
      </c>
      <c r="I70" s="145">
        <f t="shared" si="4"/>
        <v>0</v>
      </c>
      <c r="J70" s="831"/>
    </row>
    <row r="71" spans="1:11" ht="12">
      <c r="A71" s="847"/>
      <c r="B71" s="985" t="s">
        <v>191</v>
      </c>
      <c r="C71" s="980"/>
      <c r="D71" s="980">
        <v>20000</v>
      </c>
      <c r="E71" s="980">
        <f>20000-10000-1200</f>
        <v>8800</v>
      </c>
      <c r="F71" s="980">
        <f>20000-10000-1200</f>
        <v>8800</v>
      </c>
      <c r="G71" s="980">
        <f>20000-10000-1200+3855</f>
        <v>12655</v>
      </c>
      <c r="H71" s="980">
        <v>12653</v>
      </c>
      <c r="I71" s="145">
        <f t="shared" si="4"/>
        <v>0.99984195969972345</v>
      </c>
      <c r="J71" s="831"/>
      <c r="K71" s="751"/>
    </row>
    <row r="72" spans="1:11" ht="11.25" customHeight="1">
      <c r="A72" s="847">
        <v>4132</v>
      </c>
      <c r="B72" s="516" t="s">
        <v>93</v>
      </c>
      <c r="C72" s="126">
        <v>31562</v>
      </c>
      <c r="D72" s="126">
        <v>31562</v>
      </c>
      <c r="E72" s="126">
        <v>31562</v>
      </c>
      <c r="F72" s="126">
        <v>31562</v>
      </c>
      <c r="G72" s="126">
        <f>31562+400</f>
        <v>31962</v>
      </c>
      <c r="H72" s="126">
        <v>14819</v>
      </c>
      <c r="I72" s="145">
        <f t="shared" si="4"/>
        <v>0.46364432763907137</v>
      </c>
      <c r="J72" s="831" t="s">
        <v>937</v>
      </c>
      <c r="K72" s="751"/>
    </row>
    <row r="73" spans="1:11" ht="12.95" customHeight="1">
      <c r="A73" s="847">
        <v>4133</v>
      </c>
      <c r="B73" s="516" t="s">
        <v>918</v>
      </c>
      <c r="C73" s="126"/>
      <c r="D73" s="126"/>
      <c r="E73" s="126"/>
      <c r="F73" s="126"/>
      <c r="G73" s="126"/>
      <c r="H73" s="126"/>
      <c r="I73" s="145"/>
      <c r="J73" s="831" t="s">
        <v>937</v>
      </c>
    </row>
    <row r="74" spans="1:11" ht="12.95" customHeight="1">
      <c r="A74" s="847">
        <v>4137</v>
      </c>
      <c r="B74" s="516" t="s">
        <v>1056</v>
      </c>
      <c r="C74" s="126"/>
      <c r="D74" s="126">
        <v>270000</v>
      </c>
      <c r="E74" s="126">
        <f>270000-43844</f>
        <v>226156</v>
      </c>
      <c r="F74" s="126">
        <f>270000-43844+15000</f>
        <v>241156</v>
      </c>
      <c r="G74" s="126">
        <f>270000-43844+15000</f>
        <v>241156</v>
      </c>
      <c r="H74" s="126">
        <v>0</v>
      </c>
      <c r="I74" s="145">
        <f>H74/G74</f>
        <v>0</v>
      </c>
      <c r="J74" s="831"/>
      <c r="K74" s="483"/>
    </row>
    <row r="75" spans="1:11" ht="12.95" customHeight="1">
      <c r="A75" s="847"/>
      <c r="B75" s="985" t="s">
        <v>235</v>
      </c>
      <c r="C75" s="990"/>
      <c r="D75" s="990"/>
      <c r="E75" s="990"/>
      <c r="F75" s="990">
        <f>226156+15000</f>
        <v>241156</v>
      </c>
      <c r="G75" s="990">
        <f>226156+15000</f>
        <v>241156</v>
      </c>
      <c r="H75" s="990">
        <v>0</v>
      </c>
      <c r="I75" s="145">
        <f>H75/G75</f>
        <v>0</v>
      </c>
      <c r="J75" s="831"/>
    </row>
    <row r="76" spans="1:11" ht="12.95" customHeight="1">
      <c r="A76" s="847"/>
      <c r="B76" s="985" t="s">
        <v>191</v>
      </c>
      <c r="C76" s="990"/>
      <c r="D76" s="990"/>
      <c r="E76" s="990"/>
      <c r="F76" s="990">
        <v>-226156</v>
      </c>
      <c r="G76" s="990">
        <v>0</v>
      </c>
      <c r="H76" s="990">
        <v>0</v>
      </c>
      <c r="I76" s="145"/>
      <c r="J76" s="831"/>
      <c r="K76" s="483"/>
    </row>
    <row r="77" spans="1:11" ht="12.95" customHeight="1">
      <c r="A77" s="847">
        <v>4140</v>
      </c>
      <c r="B77" s="516" t="s">
        <v>756</v>
      </c>
      <c r="C77" s="126"/>
      <c r="D77" s="126"/>
      <c r="E77" s="126"/>
      <c r="F77" s="126"/>
      <c r="G77" s="126"/>
      <c r="H77" s="126"/>
      <c r="I77" s="145"/>
      <c r="J77" s="831"/>
      <c r="K77" s="12"/>
    </row>
    <row r="78" spans="1:11" ht="12">
      <c r="A78" s="847">
        <v>4141</v>
      </c>
      <c r="B78" s="535" t="s">
        <v>857</v>
      </c>
      <c r="C78" s="126">
        <v>50000</v>
      </c>
      <c r="D78" s="126">
        <f>D79+D80+D81+D82</f>
        <v>101522</v>
      </c>
      <c r="E78" s="126">
        <f>E79+E80+E81+E82</f>
        <v>101522</v>
      </c>
      <c r="F78" s="126">
        <f>F79+F80+F81+F82</f>
        <v>101522</v>
      </c>
      <c r="G78" s="126">
        <f>G79+G80+G81+G82</f>
        <v>101522</v>
      </c>
      <c r="H78" s="126">
        <f>H79+H80+H81+H82</f>
        <v>37527</v>
      </c>
      <c r="I78" s="145">
        <f t="shared" ref="I78:I83" si="5">H78/G78</f>
        <v>0.3696440180453498</v>
      </c>
      <c r="J78" s="831" t="s">
        <v>937</v>
      </c>
    </row>
    <row r="79" spans="1:11" ht="12">
      <c r="A79" s="847"/>
      <c r="B79" s="989" t="s">
        <v>234</v>
      </c>
      <c r="C79" s="990"/>
      <c r="D79" s="990">
        <f>456+800</f>
        <v>1256</v>
      </c>
      <c r="E79" s="990">
        <f>456+800</f>
        <v>1256</v>
      </c>
      <c r="F79" s="990">
        <f>456+800</f>
        <v>1256</v>
      </c>
      <c r="G79" s="990">
        <f>456+800</f>
        <v>1256</v>
      </c>
      <c r="H79" s="990">
        <v>1156</v>
      </c>
      <c r="I79" s="145">
        <f t="shared" si="5"/>
        <v>0.92038216560509556</v>
      </c>
      <c r="J79" s="831"/>
    </row>
    <row r="80" spans="1:11" ht="12">
      <c r="A80" s="847"/>
      <c r="B80" s="989" t="s">
        <v>302</v>
      </c>
      <c r="C80" s="990"/>
      <c r="D80" s="990">
        <f>99+200</f>
        <v>299</v>
      </c>
      <c r="E80" s="990">
        <f>99+200</f>
        <v>299</v>
      </c>
      <c r="F80" s="990">
        <f>99+200</f>
        <v>299</v>
      </c>
      <c r="G80" s="990">
        <f>99+200</f>
        <v>299</v>
      </c>
      <c r="H80" s="990">
        <v>173</v>
      </c>
      <c r="I80" s="145">
        <f t="shared" si="5"/>
        <v>0.57859531772575246</v>
      </c>
      <c r="J80" s="831"/>
    </row>
    <row r="81" spans="1:11" ht="12">
      <c r="A81" s="847"/>
      <c r="B81" s="985" t="s">
        <v>1023</v>
      </c>
      <c r="C81" s="990"/>
      <c r="D81" s="990">
        <f>1691+24276+25000+12683</f>
        <v>63650</v>
      </c>
      <c r="E81" s="990">
        <f>63650+13310</f>
        <v>76960</v>
      </c>
      <c r="F81" s="990">
        <f>63650+13310+18750</f>
        <v>95710</v>
      </c>
      <c r="G81" s="990">
        <f>63650+13310+18750</f>
        <v>95710</v>
      </c>
      <c r="H81" s="990">
        <v>36198</v>
      </c>
      <c r="I81" s="145">
        <f t="shared" si="5"/>
        <v>0.37820499425347404</v>
      </c>
      <c r="J81" s="831"/>
    </row>
    <row r="82" spans="1:11" ht="12">
      <c r="A82" s="847"/>
      <c r="B82" s="985" t="s">
        <v>191</v>
      </c>
      <c r="C82" s="990"/>
      <c r="D82" s="990">
        <f>50000-800-200-12683</f>
        <v>36317</v>
      </c>
      <c r="E82" s="990">
        <f>36317-13310</f>
        <v>23007</v>
      </c>
      <c r="F82" s="990">
        <f>36317-13310-18750</f>
        <v>4257</v>
      </c>
      <c r="G82" s="990">
        <f>36317-13310-18750</f>
        <v>4257</v>
      </c>
      <c r="H82" s="990">
        <v>0</v>
      </c>
      <c r="I82" s="145">
        <f t="shared" si="5"/>
        <v>0</v>
      </c>
      <c r="J82" s="831"/>
    </row>
    <row r="83" spans="1:11" ht="12">
      <c r="A83" s="836">
        <v>4100</v>
      </c>
      <c r="B83" s="542" t="s">
        <v>128</v>
      </c>
      <c r="C83" s="1625">
        <f>SUM(C67+C68+C72+C73+C78+C77)</f>
        <v>2595174</v>
      </c>
      <c r="D83" s="1625">
        <f>SUM(D67+D68+D72+D73+D78+D77)+D74</f>
        <v>6541275</v>
      </c>
      <c r="E83" s="1625">
        <f>SUM(E67+E68+E72+E73+E74+E77+E78)</f>
        <v>6901275</v>
      </c>
      <c r="F83" s="1625">
        <f>SUM(F67+F68+F72+F73+F74+F77+F78)</f>
        <v>6916275</v>
      </c>
      <c r="G83" s="1625">
        <f>SUM(G67+G68+G72+G73+G74+G77+G78)</f>
        <v>6916275</v>
      </c>
      <c r="H83" s="1625">
        <f>SUM(H67+H68+H72+H73+H74+H77+H78)</f>
        <v>1363139</v>
      </c>
      <c r="I83" s="385">
        <f t="shared" si="5"/>
        <v>0.19709149795229369</v>
      </c>
      <c r="J83" s="828"/>
    </row>
    <row r="84" spans="1:11" ht="12">
      <c r="A84" s="848">
        <v>4200</v>
      </c>
      <c r="B84" s="543" t="s">
        <v>370</v>
      </c>
      <c r="C84" s="1625"/>
      <c r="D84" s="130"/>
      <c r="E84" s="130"/>
      <c r="F84" s="130"/>
      <c r="G84" s="130"/>
      <c r="H84" s="130"/>
      <c r="I84" s="1626"/>
      <c r="J84" s="849"/>
    </row>
    <row r="85" spans="1:11" s="11" customFormat="1" ht="12">
      <c r="A85" s="838"/>
      <c r="B85" s="546" t="s">
        <v>207</v>
      </c>
      <c r="C85" s="126"/>
      <c r="D85" s="126"/>
      <c r="E85" s="126"/>
      <c r="F85" s="126"/>
      <c r="G85" s="126"/>
      <c r="H85" s="126"/>
      <c r="I85" s="424"/>
      <c r="J85" s="850"/>
    </row>
    <row r="86" spans="1:11" s="11" customFormat="1" ht="12">
      <c r="A86" s="832">
        <v>4311</v>
      </c>
      <c r="B86" s="535" t="s">
        <v>767</v>
      </c>
      <c r="C86" s="126">
        <v>49458</v>
      </c>
      <c r="D86" s="126">
        <v>49458</v>
      </c>
      <c r="E86" s="126">
        <f>49458-10510</f>
        <v>38948</v>
      </c>
      <c r="F86" s="126">
        <f>49458-10510</f>
        <v>38948</v>
      </c>
      <c r="G86" s="126">
        <f>49458-10510</f>
        <v>38948</v>
      </c>
      <c r="H86" s="126">
        <v>38926</v>
      </c>
      <c r="I86" s="145">
        <f>H86/G86</f>
        <v>0.99943514429495739</v>
      </c>
      <c r="J86" s="851"/>
    </row>
    <row r="87" spans="1:11" s="11" customFormat="1" ht="12">
      <c r="A87" s="832"/>
      <c r="B87" s="521" t="s">
        <v>235</v>
      </c>
      <c r="C87" s="126"/>
      <c r="D87" s="198"/>
      <c r="E87" s="198"/>
      <c r="F87" s="198"/>
      <c r="G87" s="198"/>
      <c r="H87" s="198"/>
      <c r="I87" s="424"/>
      <c r="J87" s="839"/>
    </row>
    <row r="88" spans="1:11" s="11" customFormat="1" ht="12">
      <c r="A88" s="832"/>
      <c r="B88" s="521" t="s">
        <v>377</v>
      </c>
      <c r="C88" s="126"/>
      <c r="D88" s="198"/>
      <c r="E88" s="198"/>
      <c r="F88" s="198"/>
      <c r="G88" s="198"/>
      <c r="H88" s="198"/>
      <c r="I88" s="424"/>
      <c r="J88" s="839"/>
    </row>
    <row r="89" spans="1:11" s="11" customFormat="1" ht="12">
      <c r="A89" s="832">
        <v>4312</v>
      </c>
      <c r="B89" s="535" t="s">
        <v>1070</v>
      </c>
      <c r="C89" s="126"/>
      <c r="D89" s="126"/>
      <c r="E89" s="126">
        <v>5000</v>
      </c>
      <c r="F89" s="126">
        <v>5000</v>
      </c>
      <c r="G89" s="126">
        <v>5000</v>
      </c>
      <c r="H89" s="126">
        <f>H90+H91</f>
        <v>2798</v>
      </c>
      <c r="I89" s="145">
        <f>H89/G89</f>
        <v>0.55959999999999999</v>
      </c>
      <c r="J89" s="839"/>
    </row>
    <row r="90" spans="1:11" s="11" customFormat="1" ht="12">
      <c r="A90" s="832"/>
      <c r="B90" s="521" t="s">
        <v>190</v>
      </c>
      <c r="C90" s="126"/>
      <c r="D90" s="126"/>
      <c r="E90" s="126"/>
      <c r="F90" s="126">
        <v>2800</v>
      </c>
      <c r="G90" s="126">
        <v>2800</v>
      </c>
      <c r="H90" s="126">
        <v>2798</v>
      </c>
      <c r="I90" s="145">
        <f>H90/G90</f>
        <v>0.99928571428571433</v>
      </c>
      <c r="J90" s="839"/>
    </row>
    <row r="91" spans="1:11" s="11" customFormat="1" ht="12">
      <c r="A91" s="832"/>
      <c r="B91" s="521" t="s">
        <v>191</v>
      </c>
      <c r="C91" s="126"/>
      <c r="D91" s="126"/>
      <c r="E91" s="126"/>
      <c r="F91" s="126">
        <v>-2800</v>
      </c>
      <c r="G91" s="126">
        <f>5000-2800</f>
        <v>2200</v>
      </c>
      <c r="H91" s="126">
        <v>0</v>
      </c>
      <c r="I91" s="145">
        <f>H91/G91</f>
        <v>0</v>
      </c>
      <c r="J91" s="839"/>
      <c r="K91" s="483"/>
    </row>
    <row r="92" spans="1:11" s="11" customFormat="1" ht="12">
      <c r="A92" s="832">
        <v>4313</v>
      </c>
      <c r="B92" s="535" t="s">
        <v>1071</v>
      </c>
      <c r="C92" s="126"/>
      <c r="D92" s="126"/>
      <c r="E92" s="126">
        <v>5000</v>
      </c>
      <c r="F92" s="126">
        <v>5000</v>
      </c>
      <c r="G92" s="126">
        <v>5000</v>
      </c>
      <c r="H92" s="126">
        <f>H94+H95</f>
        <v>2278</v>
      </c>
      <c r="I92" s="145">
        <f>H92/G92</f>
        <v>0.4556</v>
      </c>
      <c r="J92" s="839"/>
    </row>
    <row r="93" spans="1:11" ht="12" hidden="1">
      <c r="A93" s="840">
        <v>4323</v>
      </c>
      <c r="B93" s="516" t="s">
        <v>390</v>
      </c>
      <c r="C93" s="126"/>
      <c r="D93" s="126"/>
      <c r="E93" s="126"/>
      <c r="F93" s="126"/>
      <c r="G93" s="126"/>
      <c r="H93" s="126"/>
      <c r="I93" s="145" t="e">
        <f t="shared" ref="I93:I95" si="6">H93/G93</f>
        <v>#DIV/0!</v>
      </c>
      <c r="J93" s="852"/>
    </row>
    <row r="94" spans="1:11" ht="12">
      <c r="A94" s="840"/>
      <c r="B94" s="521" t="s">
        <v>235</v>
      </c>
      <c r="C94" s="126"/>
      <c r="D94" s="126"/>
      <c r="E94" s="126"/>
      <c r="F94" s="126">
        <v>4000</v>
      </c>
      <c r="G94" s="126">
        <v>4000</v>
      </c>
      <c r="H94" s="126">
        <v>2278</v>
      </c>
      <c r="I94" s="145">
        <f t="shared" si="6"/>
        <v>0.56950000000000001</v>
      </c>
      <c r="J94" s="852"/>
    </row>
    <row r="95" spans="1:11" ht="12">
      <c r="A95" s="840"/>
      <c r="B95" s="521" t="s">
        <v>191</v>
      </c>
      <c r="C95" s="126"/>
      <c r="D95" s="126"/>
      <c r="E95" s="126"/>
      <c r="F95" s="126">
        <v>-4000</v>
      </c>
      <c r="G95" s="126">
        <f>5000-4000</f>
        <v>1000</v>
      </c>
      <c r="H95" s="126">
        <v>0</v>
      </c>
      <c r="I95" s="145">
        <f t="shared" si="6"/>
        <v>0</v>
      </c>
      <c r="J95" s="852"/>
      <c r="K95" s="483"/>
    </row>
    <row r="96" spans="1:11" ht="12">
      <c r="A96" s="840">
        <v>4324</v>
      </c>
      <c r="B96" s="516" t="s">
        <v>412</v>
      </c>
      <c r="C96" s="126"/>
      <c r="D96" s="126"/>
      <c r="E96" s="126"/>
      <c r="F96" s="126"/>
      <c r="G96" s="126"/>
      <c r="H96" s="126"/>
      <c r="I96" s="424"/>
      <c r="J96" s="852"/>
    </row>
    <row r="97" spans="1:10" ht="12">
      <c r="A97" s="840"/>
      <c r="B97" s="521" t="s">
        <v>235</v>
      </c>
      <c r="C97" s="198"/>
      <c r="D97" s="198"/>
      <c r="E97" s="198"/>
      <c r="F97" s="198"/>
      <c r="G97" s="198"/>
      <c r="H97" s="198"/>
      <c r="I97" s="424"/>
      <c r="J97" s="852"/>
    </row>
    <row r="98" spans="1:10" ht="12">
      <c r="A98" s="840"/>
      <c r="B98" s="547" t="s">
        <v>190</v>
      </c>
      <c r="C98" s="198"/>
      <c r="D98" s="198"/>
      <c r="E98" s="198"/>
      <c r="F98" s="198"/>
      <c r="G98" s="198"/>
      <c r="H98" s="198"/>
      <c r="I98" s="424"/>
      <c r="J98" s="852"/>
    </row>
    <row r="99" spans="1:10" ht="12">
      <c r="A99" s="840"/>
      <c r="B99" s="521" t="s">
        <v>377</v>
      </c>
      <c r="C99" s="198"/>
      <c r="D99" s="198"/>
      <c r="E99" s="198"/>
      <c r="F99" s="198"/>
      <c r="G99" s="198"/>
      <c r="H99" s="198"/>
      <c r="I99" s="424"/>
      <c r="J99" s="852"/>
    </row>
    <row r="100" spans="1:10" ht="12">
      <c r="A100" s="840">
        <v>4325</v>
      </c>
      <c r="B100" s="535" t="s">
        <v>811</v>
      </c>
      <c r="C100" s="126"/>
      <c r="D100" s="126"/>
      <c r="E100" s="126"/>
      <c r="F100" s="126"/>
      <c r="G100" s="126"/>
      <c r="H100" s="126"/>
      <c r="I100" s="424"/>
      <c r="J100" s="852"/>
    </row>
    <row r="101" spans="1:10" ht="12">
      <c r="A101" s="840">
        <v>4326</v>
      </c>
      <c r="B101" s="535" t="s">
        <v>821</v>
      </c>
      <c r="C101" s="126"/>
      <c r="D101" s="126"/>
      <c r="E101" s="126"/>
      <c r="F101" s="126"/>
      <c r="G101" s="126"/>
      <c r="H101" s="126"/>
      <c r="I101" s="424"/>
      <c r="J101" s="852"/>
    </row>
    <row r="102" spans="1:10" ht="12">
      <c r="A102" s="840">
        <v>4329</v>
      </c>
      <c r="B102" s="535" t="s">
        <v>824</v>
      </c>
      <c r="C102" s="126"/>
      <c r="D102" s="126"/>
      <c r="E102" s="126"/>
      <c r="F102" s="126"/>
      <c r="G102" s="126"/>
      <c r="H102" s="126"/>
      <c r="I102" s="1627"/>
      <c r="J102" s="852"/>
    </row>
    <row r="103" spans="1:10" s="11" customFormat="1" ht="12">
      <c r="A103" s="853">
        <v>4300</v>
      </c>
      <c r="B103" s="514" t="s">
        <v>208</v>
      </c>
      <c r="C103" s="35">
        <f t="shared" ref="C103:H103" si="7">C86+C89+C92+C93+C96+C100+C101+C102</f>
        <v>49458</v>
      </c>
      <c r="D103" s="35">
        <f t="shared" si="7"/>
        <v>49458</v>
      </c>
      <c r="E103" s="35">
        <f t="shared" si="7"/>
        <v>48948</v>
      </c>
      <c r="F103" s="35">
        <f t="shared" si="7"/>
        <v>48948</v>
      </c>
      <c r="G103" s="35">
        <f t="shared" si="7"/>
        <v>48948</v>
      </c>
      <c r="H103" s="35">
        <f t="shared" si="7"/>
        <v>44002</v>
      </c>
      <c r="I103" s="385">
        <f>H103/G103</f>
        <v>0.89895399199150117</v>
      </c>
      <c r="J103" s="854"/>
    </row>
    <row r="104" spans="1:10" s="11" customFormat="1" ht="16.5" customHeight="1">
      <c r="A104" s="853"/>
      <c r="B104" s="549" t="s">
        <v>210</v>
      </c>
      <c r="C104" s="35">
        <f t="shared" ref="C104:H104" si="8">SUM(C103+C84+C83+C30)</f>
        <v>3578624</v>
      </c>
      <c r="D104" s="35">
        <f t="shared" si="8"/>
        <v>7630749</v>
      </c>
      <c r="E104" s="36">
        <f t="shared" si="8"/>
        <v>8030239</v>
      </c>
      <c r="F104" s="36">
        <f t="shared" si="8"/>
        <v>8045239</v>
      </c>
      <c r="G104" s="36">
        <f t="shared" si="8"/>
        <v>8045239</v>
      </c>
      <c r="H104" s="36">
        <f t="shared" si="8"/>
        <v>1760233</v>
      </c>
      <c r="I104" s="385">
        <f>H104/G104</f>
        <v>0.21879188424358803</v>
      </c>
      <c r="J104" s="854"/>
    </row>
    <row r="105" spans="1:10" s="11" customFormat="1" ht="12">
      <c r="A105" s="855"/>
      <c r="B105" s="530" t="s">
        <v>46</v>
      </c>
      <c r="C105" s="413"/>
      <c r="D105" s="413"/>
      <c r="E105" s="413"/>
      <c r="F105" s="1628"/>
      <c r="G105" s="1628"/>
      <c r="H105" s="1628"/>
      <c r="I105" s="1629"/>
      <c r="J105" s="856"/>
    </row>
    <row r="106" spans="1:10" s="11" customFormat="1" ht="11.25" customHeight="1">
      <c r="A106" s="855"/>
      <c r="B106" s="525" t="s">
        <v>221</v>
      </c>
      <c r="C106" s="412"/>
      <c r="D106" s="412">
        <f t="shared" ref="D106:F107" si="9">D79</f>
        <v>1256</v>
      </c>
      <c r="E106" s="412">
        <f t="shared" si="9"/>
        <v>1256</v>
      </c>
      <c r="F106" s="427">
        <f t="shared" si="9"/>
        <v>1256</v>
      </c>
      <c r="G106" s="427">
        <f t="shared" ref="G106:H106" si="10">G79</f>
        <v>1256</v>
      </c>
      <c r="H106" s="427">
        <f t="shared" si="10"/>
        <v>1156</v>
      </c>
      <c r="I106" s="145">
        <f>H106/G106</f>
        <v>0.92038216560509556</v>
      </c>
      <c r="J106" s="857"/>
    </row>
    <row r="107" spans="1:10" s="11" customFormat="1" ht="13.5" customHeight="1">
      <c r="A107" s="855"/>
      <c r="B107" s="525" t="s">
        <v>18</v>
      </c>
      <c r="C107" s="412"/>
      <c r="D107" s="412">
        <f t="shared" si="9"/>
        <v>299</v>
      </c>
      <c r="E107" s="412">
        <f t="shared" si="9"/>
        <v>299</v>
      </c>
      <c r="F107" s="427">
        <f t="shared" si="9"/>
        <v>299</v>
      </c>
      <c r="G107" s="427">
        <f t="shared" ref="G107:H107" si="11">G80</f>
        <v>299</v>
      </c>
      <c r="H107" s="427">
        <f t="shared" si="11"/>
        <v>173</v>
      </c>
      <c r="I107" s="145">
        <f>H107/G107</f>
        <v>0.57859531772575246</v>
      </c>
      <c r="J107" s="857"/>
    </row>
    <row r="108" spans="1:10" ht="12">
      <c r="A108" s="855"/>
      <c r="B108" s="525" t="s">
        <v>230</v>
      </c>
      <c r="C108" s="412">
        <f>C97+C87</f>
        <v>0</v>
      </c>
      <c r="D108" s="412">
        <f>D13+D69+D41</f>
        <v>3857</v>
      </c>
      <c r="E108" s="412">
        <f>E13+E69+E41+E23+E27+E35+E57+E49</f>
        <v>61374</v>
      </c>
      <c r="F108" s="427">
        <f>F13+F69+F41+F23+F27+F35+F57+F49+F75+F61+F94</f>
        <v>319375</v>
      </c>
      <c r="G108" s="427">
        <f>G13+G69+G41+G23+G27+G35+G57+G49+G75+G61+G94</f>
        <v>329676</v>
      </c>
      <c r="H108" s="427">
        <f>H13+H69+H41+H23+H27+H35+H57+H49+H75+H61+H94</f>
        <v>48065</v>
      </c>
      <c r="I108" s="145">
        <f>H108/G108</f>
        <v>0.14579465899853189</v>
      </c>
      <c r="J108" s="857"/>
    </row>
    <row r="109" spans="1:10" ht="12" customHeight="1">
      <c r="A109" s="847"/>
      <c r="B109" s="506" t="s">
        <v>228</v>
      </c>
      <c r="C109" s="126"/>
      <c r="D109" s="126"/>
      <c r="E109" s="126"/>
      <c r="F109" s="428"/>
      <c r="G109" s="428"/>
      <c r="H109" s="428"/>
      <c r="I109" s="145"/>
      <c r="J109" s="857"/>
    </row>
    <row r="110" spans="1:10" ht="12" customHeight="1">
      <c r="A110" s="847"/>
      <c r="B110" s="532" t="s">
        <v>37</v>
      </c>
      <c r="C110" s="142">
        <f t="shared" ref="C110:H110" si="12">SUM(C106:C109)</f>
        <v>0</v>
      </c>
      <c r="D110" s="142">
        <f t="shared" si="12"/>
        <v>5412</v>
      </c>
      <c r="E110" s="142">
        <f t="shared" si="12"/>
        <v>62929</v>
      </c>
      <c r="F110" s="466">
        <f t="shared" si="12"/>
        <v>320930</v>
      </c>
      <c r="G110" s="466">
        <f t="shared" si="12"/>
        <v>331231</v>
      </c>
      <c r="H110" s="466">
        <f t="shared" si="12"/>
        <v>49394</v>
      </c>
      <c r="I110" s="145">
        <f>H110/G110</f>
        <v>0.14912251570656129</v>
      </c>
      <c r="J110" s="857"/>
    </row>
    <row r="111" spans="1:10" ht="12" customHeight="1">
      <c r="A111" s="847"/>
      <c r="B111" s="534" t="s">
        <v>47</v>
      </c>
      <c r="C111" s="1630"/>
      <c r="D111" s="1630"/>
      <c r="E111" s="1630"/>
      <c r="F111" s="1631"/>
      <c r="G111" s="1631"/>
      <c r="H111" s="1631"/>
      <c r="I111" s="145"/>
      <c r="J111" s="857"/>
    </row>
    <row r="112" spans="1:10" ht="12" customHeight="1">
      <c r="A112" s="847"/>
      <c r="B112" s="525" t="s">
        <v>192</v>
      </c>
      <c r="C112" s="126">
        <f>C98</f>
        <v>0</v>
      </c>
      <c r="D112" s="126">
        <f>D17+D24+D81+D98+D58+D36</f>
        <v>92730</v>
      </c>
      <c r="E112" s="126">
        <f>E17+E24+E81+E98+E58+E36+E28+E70</f>
        <v>144075</v>
      </c>
      <c r="F112" s="428">
        <f>F17+F24+F81+F98+F58+F36+F28+F70+F90</f>
        <v>165625</v>
      </c>
      <c r="G112" s="428">
        <f>G17+G24+G81+G98+G58+G36+G28+G70+G90+G42</f>
        <v>174225</v>
      </c>
      <c r="H112" s="428">
        <f>H17+H24+H81+H98+H58+H36+H28+H70+H90+H42</f>
        <v>98472</v>
      </c>
      <c r="I112" s="145">
        <f>H112/G112</f>
        <v>0.56520017219113217</v>
      </c>
      <c r="J112" s="857"/>
    </row>
    <row r="113" spans="1:10" ht="12">
      <c r="A113" s="847"/>
      <c r="B113" s="16" t="s">
        <v>193</v>
      </c>
      <c r="C113" s="126">
        <f t="shared" ref="C113:H113" si="13">SUM(C30+C83+C84+C103)-C106-C107-C108-C109-C112-C114</f>
        <v>3547062</v>
      </c>
      <c r="D113" s="126">
        <f t="shared" si="13"/>
        <v>7501045</v>
      </c>
      <c r="E113" s="126">
        <f t="shared" si="13"/>
        <v>7791673</v>
      </c>
      <c r="F113" s="428">
        <f t="shared" si="13"/>
        <v>7527122</v>
      </c>
      <c r="G113" s="428">
        <f t="shared" si="13"/>
        <v>7507821</v>
      </c>
      <c r="H113" s="428">
        <f t="shared" si="13"/>
        <v>1597548</v>
      </c>
      <c r="I113" s="145">
        <f>H113/G113</f>
        <v>0.21278450831472939</v>
      </c>
      <c r="J113" s="857"/>
    </row>
    <row r="114" spans="1:10" ht="12">
      <c r="A114" s="847"/>
      <c r="B114" s="16" t="s">
        <v>249</v>
      </c>
      <c r="C114" s="126">
        <f t="shared" ref="C114:H114" si="14">SUM(C72)</f>
        <v>31562</v>
      </c>
      <c r="D114" s="126">
        <f t="shared" si="14"/>
        <v>31562</v>
      </c>
      <c r="E114" s="126">
        <f t="shared" si="14"/>
        <v>31562</v>
      </c>
      <c r="F114" s="428">
        <f t="shared" si="14"/>
        <v>31562</v>
      </c>
      <c r="G114" s="428">
        <f t="shared" si="14"/>
        <v>31962</v>
      </c>
      <c r="H114" s="428">
        <f t="shared" si="14"/>
        <v>14819</v>
      </c>
      <c r="I114" s="145">
        <f>H114/G114</f>
        <v>0.46364432763907137</v>
      </c>
      <c r="J114" s="857"/>
    </row>
    <row r="115" spans="1:10" ht="12">
      <c r="A115" s="847"/>
      <c r="B115" s="142" t="s">
        <v>43</v>
      </c>
      <c r="C115" s="142">
        <f t="shared" ref="C115:H115" si="15">SUM(C112:C114)</f>
        <v>3578624</v>
      </c>
      <c r="D115" s="142">
        <f t="shared" si="15"/>
        <v>7625337</v>
      </c>
      <c r="E115" s="142">
        <f t="shared" si="15"/>
        <v>7967310</v>
      </c>
      <c r="F115" s="466">
        <f t="shared" si="15"/>
        <v>7724309</v>
      </c>
      <c r="G115" s="466">
        <f t="shared" si="15"/>
        <v>7714008</v>
      </c>
      <c r="H115" s="466">
        <f t="shared" si="15"/>
        <v>1710839</v>
      </c>
      <c r="I115" s="467">
        <f>H115/G115</f>
        <v>0.22178341012869057</v>
      </c>
      <c r="J115" s="857"/>
    </row>
    <row r="116" spans="1:10" ht="12" customHeight="1" thickBot="1">
      <c r="A116" s="858"/>
      <c r="B116" s="859" t="s">
        <v>81</v>
      </c>
      <c r="C116" s="860">
        <f t="shared" ref="C116:H116" si="16">SUM(C110+C115)</f>
        <v>3578624</v>
      </c>
      <c r="D116" s="860">
        <f t="shared" si="16"/>
        <v>7630749</v>
      </c>
      <c r="E116" s="860">
        <f t="shared" si="16"/>
        <v>8030239</v>
      </c>
      <c r="F116" s="861">
        <f t="shared" si="16"/>
        <v>8045239</v>
      </c>
      <c r="G116" s="861">
        <f t="shared" si="16"/>
        <v>8045239</v>
      </c>
      <c r="H116" s="861">
        <f t="shared" si="16"/>
        <v>1760233</v>
      </c>
      <c r="I116" s="862">
        <f>H116/G116</f>
        <v>0.21879188424358803</v>
      </c>
      <c r="J116" s="863"/>
    </row>
    <row r="117" spans="1:10" ht="12">
      <c r="C117" s="286"/>
      <c r="D117" s="286"/>
      <c r="E117" s="286"/>
      <c r="F117" s="286"/>
      <c r="G117" s="286"/>
      <c r="H117" s="286"/>
    </row>
    <row r="118" spans="1:10" ht="12">
      <c r="C118" s="429"/>
      <c r="D118" s="429"/>
      <c r="E118" s="429"/>
      <c r="F118" s="429"/>
      <c r="G118" s="429"/>
      <c r="H118" s="429"/>
    </row>
  </sheetData>
  <mergeCells count="9">
    <mergeCell ref="A1:J1"/>
    <mergeCell ref="A2:J2"/>
    <mergeCell ref="I4:I6"/>
    <mergeCell ref="C4:C6"/>
    <mergeCell ref="D4:D6"/>
    <mergeCell ref="E4:E6"/>
    <mergeCell ref="F4:F6"/>
    <mergeCell ref="G4:G6"/>
    <mergeCell ref="H4:H6"/>
  </mergeCells>
  <phoneticPr fontId="0" type="noConversion"/>
  <printOptions horizontalCentered="1"/>
  <pageMargins left="0" right="0" top="0.59055118110236227" bottom="0.39370078740157483" header="0.11811023622047245" footer="0"/>
  <pageSetup paperSize="9" scale="62" firstPageNumber="43" orientation="landscape" useFirstPageNumber="1" r:id="rId1"/>
  <headerFooter alignWithMargins="0">
    <oddFooter>&amp;P. oldal</oddFooter>
  </headerFooter>
  <rowBreaks count="1" manualBreakCount="1">
    <brk id="6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82"/>
  <sheetViews>
    <sheetView topLeftCell="A12" zoomScaleNormal="100" workbookViewId="0">
      <selection activeCell="I84" sqref="I84"/>
    </sheetView>
  </sheetViews>
  <sheetFormatPr defaultColWidth="9.140625" defaultRowHeight="12"/>
  <cols>
    <col min="1" max="1" width="6.140625" style="21" customWidth="1"/>
    <col min="2" max="2" width="52" style="21" customWidth="1"/>
    <col min="3" max="3" width="12.42578125" style="12" customWidth="1"/>
    <col min="4" max="8" width="12.28515625" style="12" customWidth="1"/>
    <col min="9" max="9" width="10.5703125" style="286" customWidth="1"/>
    <col min="10" max="10" width="48.28515625" style="21" customWidth="1"/>
    <col min="11" max="16384" width="9.140625" style="21"/>
  </cols>
  <sheetData>
    <row r="1" spans="1:12" s="11" customFormat="1" ht="12.75">
      <c r="A1" s="1781" t="s">
        <v>1119</v>
      </c>
      <c r="B1" s="1754"/>
      <c r="C1" s="1754"/>
      <c r="D1" s="1754"/>
      <c r="E1" s="1754"/>
      <c r="F1" s="1754"/>
      <c r="G1" s="1754"/>
      <c r="H1" s="1754"/>
      <c r="I1" s="1754"/>
      <c r="J1" s="1754"/>
    </row>
    <row r="2" spans="1:12" s="11" customFormat="1" ht="12.75">
      <c r="A2" s="1783" t="s">
        <v>958</v>
      </c>
      <c r="B2" s="1784"/>
      <c r="C2" s="1784"/>
      <c r="D2" s="1784"/>
      <c r="E2" s="1784"/>
      <c r="F2" s="1784"/>
      <c r="G2" s="1784"/>
      <c r="H2" s="1784"/>
      <c r="I2" s="1784"/>
      <c r="J2" s="1784"/>
    </row>
    <row r="3" spans="1:12" s="11" customFormat="1" ht="9.75" customHeight="1">
      <c r="A3" s="283"/>
      <c r="B3" s="283"/>
      <c r="C3" s="143"/>
      <c r="D3" s="143"/>
      <c r="E3" s="143"/>
      <c r="F3" s="143"/>
      <c r="G3" s="143"/>
      <c r="H3" s="143"/>
      <c r="I3" s="144"/>
    </row>
    <row r="4" spans="1:12" s="11" customFormat="1" ht="15.75" thickBot="1">
      <c r="A4" s="283"/>
      <c r="B4" s="283"/>
      <c r="C4" s="143"/>
      <c r="D4" s="143"/>
      <c r="E4" s="143"/>
      <c r="F4" s="143"/>
      <c r="G4" s="143"/>
      <c r="H4" s="143"/>
      <c r="I4" s="144"/>
      <c r="J4" s="1401" t="s">
        <v>1353</v>
      </c>
    </row>
    <row r="5" spans="1:12" ht="12" customHeight="1">
      <c r="A5" s="816"/>
      <c r="B5" s="817"/>
      <c r="C5" s="1750" t="s">
        <v>1017</v>
      </c>
      <c r="D5" s="1750" t="s">
        <v>1061</v>
      </c>
      <c r="E5" s="1750" t="s">
        <v>1084</v>
      </c>
      <c r="F5" s="1750" t="s">
        <v>1090</v>
      </c>
      <c r="G5" s="1750" t="s">
        <v>1120</v>
      </c>
      <c r="H5" s="1750" t="s">
        <v>1121</v>
      </c>
      <c r="I5" s="1750" t="s">
        <v>1122</v>
      </c>
      <c r="J5" s="818" t="s">
        <v>400</v>
      </c>
    </row>
    <row r="6" spans="1:12" ht="12" customHeight="1">
      <c r="A6" s="838" t="s">
        <v>217</v>
      </c>
      <c r="B6" s="138" t="s">
        <v>105</v>
      </c>
      <c r="C6" s="1765"/>
      <c r="D6" s="1765"/>
      <c r="E6" s="1765"/>
      <c r="F6" s="1765"/>
      <c r="G6" s="1765"/>
      <c r="H6" s="1767"/>
      <c r="I6" s="1765"/>
      <c r="J6" s="820" t="s">
        <v>106</v>
      </c>
    </row>
    <row r="7" spans="1:12" s="11" customFormat="1" ht="12.75" customHeight="1" thickBot="1">
      <c r="A7" s="838"/>
      <c r="B7" s="134"/>
      <c r="C7" s="1766"/>
      <c r="D7" s="1766"/>
      <c r="E7" s="1766"/>
      <c r="F7" s="1766"/>
      <c r="G7" s="1766"/>
      <c r="H7" s="1751"/>
      <c r="I7" s="1766"/>
      <c r="J7" s="822"/>
    </row>
    <row r="8" spans="1:12" s="11" customFormat="1" ht="12.75" thickBot="1">
      <c r="A8" s="451" t="s">
        <v>120</v>
      </c>
      <c r="B8" s="31" t="s">
        <v>121</v>
      </c>
      <c r="C8" s="14" t="s">
        <v>122</v>
      </c>
      <c r="D8" s="14" t="s">
        <v>419</v>
      </c>
      <c r="E8" s="14" t="s">
        <v>420</v>
      </c>
      <c r="F8" s="411" t="s">
        <v>429</v>
      </c>
      <c r="G8" s="411" t="s">
        <v>455</v>
      </c>
      <c r="H8" s="411" t="s">
        <v>378</v>
      </c>
      <c r="I8" s="14" t="s">
        <v>379</v>
      </c>
      <c r="J8" s="826" t="s">
        <v>456</v>
      </c>
    </row>
    <row r="9" spans="1:12" s="11" customFormat="1" ht="12.75">
      <c r="A9" s="827"/>
      <c r="B9" s="867" t="s">
        <v>212</v>
      </c>
      <c r="C9" s="1"/>
      <c r="D9" s="1"/>
      <c r="E9" s="1"/>
      <c r="F9" s="1"/>
      <c r="G9" s="1"/>
      <c r="H9" s="1"/>
      <c r="I9" s="410"/>
      <c r="J9" s="868"/>
    </row>
    <row r="10" spans="1:12">
      <c r="A10" s="838"/>
      <c r="B10" s="139" t="s">
        <v>201</v>
      </c>
      <c r="C10" s="284"/>
      <c r="D10" s="284"/>
      <c r="E10" s="284"/>
      <c r="F10" s="284"/>
      <c r="G10" s="284"/>
      <c r="H10" s="284"/>
      <c r="I10" s="145"/>
      <c r="J10" s="829"/>
      <c r="K10" s="397"/>
      <c r="L10" s="397"/>
    </row>
    <row r="11" spans="1:12">
      <c r="A11" s="832">
        <v>5002</v>
      </c>
      <c r="B11" s="434" t="s">
        <v>915</v>
      </c>
      <c r="C11" s="285">
        <v>45507</v>
      </c>
      <c r="D11" s="285">
        <v>45507</v>
      </c>
      <c r="E11" s="285">
        <v>45507</v>
      </c>
      <c r="F11" s="285">
        <v>45507</v>
      </c>
      <c r="G11" s="285">
        <v>45507</v>
      </c>
      <c r="H11" s="285">
        <v>0</v>
      </c>
      <c r="I11" s="145">
        <f>H11/G11</f>
        <v>0</v>
      </c>
      <c r="J11" s="829"/>
      <c r="K11" s="397"/>
      <c r="L11" s="397"/>
    </row>
    <row r="12" spans="1:12">
      <c r="A12" s="832">
        <v>5003</v>
      </c>
      <c r="B12" s="434" t="s">
        <v>870</v>
      </c>
      <c r="C12" s="285"/>
      <c r="D12" s="285"/>
      <c r="E12" s="285"/>
      <c r="F12" s="285"/>
      <c r="G12" s="285"/>
      <c r="H12" s="285"/>
      <c r="I12" s="145"/>
      <c r="J12" s="829"/>
    </row>
    <row r="13" spans="1:12">
      <c r="A13" s="832">
        <v>5004</v>
      </c>
      <c r="B13" s="434" t="s">
        <v>919</v>
      </c>
      <c r="C13" s="285">
        <v>50000</v>
      </c>
      <c r="D13" s="285">
        <v>50000</v>
      </c>
      <c r="E13" s="285">
        <v>50000</v>
      </c>
      <c r="F13" s="285">
        <v>50000</v>
      </c>
      <c r="G13" s="285">
        <v>50000</v>
      </c>
      <c r="H13" s="285">
        <v>0</v>
      </c>
      <c r="I13" s="145">
        <f>H13/G13</f>
        <v>0</v>
      </c>
      <c r="J13" s="829"/>
    </row>
    <row r="14" spans="1:12">
      <c r="A14" s="832">
        <v>5005</v>
      </c>
      <c r="B14" s="434" t="s">
        <v>871</v>
      </c>
      <c r="C14" s="285">
        <v>30000</v>
      </c>
      <c r="D14" s="285">
        <f>30000+30000</f>
        <v>60000</v>
      </c>
      <c r="E14" s="285">
        <f>E15+E16</f>
        <v>60000</v>
      </c>
      <c r="F14" s="285">
        <f>F15+F16</f>
        <v>60000</v>
      </c>
      <c r="G14" s="285">
        <f>G15+G16</f>
        <v>60000</v>
      </c>
      <c r="H14" s="285">
        <f>H15+H16</f>
        <v>25466</v>
      </c>
      <c r="I14" s="145">
        <f>H14/G14</f>
        <v>0.42443333333333333</v>
      </c>
      <c r="J14" s="829"/>
    </row>
    <row r="15" spans="1:12">
      <c r="A15" s="832"/>
      <c r="B15" s="995" t="s">
        <v>235</v>
      </c>
      <c r="C15" s="996"/>
      <c r="D15" s="996"/>
      <c r="E15" s="996">
        <v>312</v>
      </c>
      <c r="F15" s="996">
        <v>312</v>
      </c>
      <c r="G15" s="996">
        <v>312</v>
      </c>
      <c r="H15" s="996">
        <v>311</v>
      </c>
      <c r="I15" s="145">
        <f>H15/G15</f>
        <v>0.99679487179487181</v>
      </c>
      <c r="J15" s="829"/>
    </row>
    <row r="16" spans="1:12">
      <c r="A16" s="832"/>
      <c r="B16" s="995" t="s">
        <v>190</v>
      </c>
      <c r="C16" s="996"/>
      <c r="D16" s="996"/>
      <c r="E16" s="996">
        <f>60000-312</f>
        <v>59688</v>
      </c>
      <c r="F16" s="996">
        <f>60000-312</f>
        <v>59688</v>
      </c>
      <c r="G16" s="996">
        <f>60000-312</f>
        <v>59688</v>
      </c>
      <c r="H16" s="996">
        <v>25155</v>
      </c>
      <c r="I16" s="145">
        <f>H16/G16</f>
        <v>0.42144149577804585</v>
      </c>
      <c r="J16" s="829"/>
    </row>
    <row r="17" spans="1:16">
      <c r="A17" s="832">
        <v>5006</v>
      </c>
      <c r="B17" s="434" t="s">
        <v>872</v>
      </c>
      <c r="C17" s="285"/>
      <c r="D17" s="285"/>
      <c r="E17" s="285"/>
      <c r="F17" s="285"/>
      <c r="G17" s="285"/>
      <c r="H17" s="285"/>
      <c r="I17" s="145"/>
      <c r="J17" s="829"/>
    </row>
    <row r="18" spans="1:16">
      <c r="A18" s="832">
        <v>5008</v>
      </c>
      <c r="B18" s="434" t="s">
        <v>873</v>
      </c>
      <c r="C18" s="285">
        <v>35560</v>
      </c>
      <c r="D18" s="285">
        <v>35560</v>
      </c>
      <c r="E18" s="285">
        <v>35560</v>
      </c>
      <c r="F18" s="285">
        <v>35560</v>
      </c>
      <c r="G18" s="285">
        <v>35560</v>
      </c>
      <c r="H18" s="285">
        <v>35560</v>
      </c>
      <c r="I18" s="145">
        <f>H18/G18</f>
        <v>1</v>
      </c>
      <c r="J18" s="829"/>
      <c r="K18" s="397"/>
      <c r="L18" s="397"/>
      <c r="M18" s="397"/>
    </row>
    <row r="19" spans="1:16">
      <c r="A19" s="832">
        <v>5009</v>
      </c>
      <c r="B19" s="434" t="s">
        <v>812</v>
      </c>
      <c r="C19" s="16"/>
      <c r="D19" s="16"/>
      <c r="E19" s="16"/>
      <c r="F19" s="16"/>
      <c r="G19" s="16"/>
      <c r="H19" s="16"/>
      <c r="I19" s="145"/>
      <c r="J19" s="829"/>
    </row>
    <row r="20" spans="1:16" hidden="1">
      <c r="A20" s="832">
        <v>5010</v>
      </c>
      <c r="B20" s="434" t="s">
        <v>827</v>
      </c>
      <c r="C20" s="16"/>
      <c r="D20" s="16"/>
      <c r="E20" s="16"/>
      <c r="F20" s="16"/>
      <c r="G20" s="16"/>
      <c r="H20" s="16"/>
      <c r="I20" s="145" t="e">
        <f>H20/G20</f>
        <v>#DIV/0!</v>
      </c>
      <c r="J20" s="829"/>
    </row>
    <row r="21" spans="1:16">
      <c r="A21" s="832">
        <v>5010</v>
      </c>
      <c r="B21" s="434" t="s">
        <v>975</v>
      </c>
      <c r="C21" s="16">
        <v>20000</v>
      </c>
      <c r="D21" s="16">
        <v>20000</v>
      </c>
      <c r="E21" s="16">
        <v>20000</v>
      </c>
      <c r="F21" s="16">
        <v>20000</v>
      </c>
      <c r="G21" s="16">
        <v>20000</v>
      </c>
      <c r="H21" s="16">
        <v>1841</v>
      </c>
      <c r="I21" s="145">
        <f>H21/G21</f>
        <v>9.2050000000000007E-2</v>
      </c>
      <c r="J21" s="829"/>
    </row>
    <row r="22" spans="1:16" ht="12.75">
      <c r="A22" s="832">
        <v>5011</v>
      </c>
      <c r="B22" s="505" t="s">
        <v>757</v>
      </c>
      <c r="C22" s="506"/>
      <c r="D22" s="506"/>
      <c r="E22" s="506"/>
      <c r="F22" s="506"/>
      <c r="G22" s="506"/>
      <c r="H22" s="506"/>
      <c r="I22" s="507"/>
      <c r="J22" s="829"/>
      <c r="M22" s="373"/>
      <c r="N22" s="52"/>
      <c r="O22" s="372"/>
      <c r="P22" s="373"/>
    </row>
    <row r="23" spans="1:16" ht="12.75">
      <c r="A23" s="832">
        <v>5012</v>
      </c>
      <c r="B23" s="505" t="s">
        <v>874</v>
      </c>
      <c r="C23" s="506">
        <v>181284</v>
      </c>
      <c r="D23" s="506">
        <v>181284</v>
      </c>
      <c r="E23" s="506">
        <v>181284</v>
      </c>
      <c r="F23" s="506">
        <v>181284</v>
      </c>
      <c r="G23" s="506">
        <v>181284</v>
      </c>
      <c r="H23" s="16">
        <f>H24+H25</f>
        <v>17717</v>
      </c>
      <c r="I23" s="507">
        <f>H23/G23</f>
        <v>9.7730632598574618E-2</v>
      </c>
      <c r="J23" s="829"/>
      <c r="M23" s="373"/>
      <c r="N23" s="52"/>
      <c r="O23" s="372"/>
      <c r="P23" s="373"/>
    </row>
    <row r="24" spans="1:16" ht="12.75">
      <c r="A24" s="832"/>
      <c r="B24" s="997" t="s">
        <v>190</v>
      </c>
      <c r="C24" s="998"/>
      <c r="D24" s="998"/>
      <c r="E24" s="998"/>
      <c r="F24" s="998">
        <f>-27000+181284</f>
        <v>154284</v>
      </c>
      <c r="G24" s="998">
        <f>-27000+181284</f>
        <v>154284</v>
      </c>
      <c r="H24" s="998">
        <v>17717</v>
      </c>
      <c r="I24" s="507">
        <f>H24/G24</f>
        <v>0.11483368333722227</v>
      </c>
      <c r="J24" s="829"/>
      <c r="M24" s="373"/>
      <c r="N24" s="52"/>
      <c r="O24" s="372"/>
      <c r="P24" s="373"/>
    </row>
    <row r="25" spans="1:16" ht="12.75">
      <c r="A25" s="832"/>
      <c r="B25" s="997" t="s">
        <v>300</v>
      </c>
      <c r="C25" s="998"/>
      <c r="D25" s="998"/>
      <c r="E25" s="998"/>
      <c r="F25" s="998">
        <v>27000</v>
      </c>
      <c r="G25" s="998">
        <v>27000</v>
      </c>
      <c r="H25" s="998">
        <v>0</v>
      </c>
      <c r="I25" s="507"/>
      <c r="J25" s="829"/>
      <c r="M25" s="373"/>
      <c r="N25" s="52"/>
      <c r="O25" s="372"/>
      <c r="P25" s="373"/>
    </row>
    <row r="26" spans="1:16" ht="12.75">
      <c r="A26" s="842">
        <v>5013</v>
      </c>
      <c r="B26" s="508" t="s">
        <v>387</v>
      </c>
      <c r="C26" s="509">
        <v>14000</v>
      </c>
      <c r="D26" s="509">
        <f>D27+D28</f>
        <v>14176</v>
      </c>
      <c r="E26" s="509">
        <f>E27+E28</f>
        <v>14176</v>
      </c>
      <c r="F26" s="509">
        <f>F27+F28</f>
        <v>14176</v>
      </c>
      <c r="G26" s="509">
        <f>G27+G28</f>
        <v>14176</v>
      </c>
      <c r="H26" s="285">
        <f>H27+H28</f>
        <v>1963</v>
      </c>
      <c r="I26" s="507">
        <f t="shared" ref="I26:I33" si="0">H26/G26</f>
        <v>0.13847347629796838</v>
      </c>
      <c r="J26" s="833" t="s">
        <v>952</v>
      </c>
      <c r="M26" s="373"/>
      <c r="N26" s="52"/>
      <c r="O26" s="372"/>
      <c r="P26" s="373"/>
    </row>
    <row r="27" spans="1:16" ht="12.75">
      <c r="A27" s="842"/>
      <c r="B27" s="997" t="s">
        <v>235</v>
      </c>
      <c r="C27" s="999"/>
      <c r="D27" s="999">
        <f>176+2324</f>
        <v>2500</v>
      </c>
      <c r="E27" s="999">
        <f>2500+2508</f>
        <v>5008</v>
      </c>
      <c r="F27" s="999">
        <f>2500+2508</f>
        <v>5008</v>
      </c>
      <c r="G27" s="999">
        <f>2500+2508</f>
        <v>5008</v>
      </c>
      <c r="H27" s="999">
        <v>1963</v>
      </c>
      <c r="I27" s="507">
        <f t="shared" si="0"/>
        <v>0.39197284345047922</v>
      </c>
      <c r="J27" s="831"/>
      <c r="M27" s="373"/>
      <c r="N27" s="52"/>
      <c r="O27" s="372"/>
      <c r="P27" s="373"/>
    </row>
    <row r="28" spans="1:16" ht="12.75">
      <c r="A28" s="842"/>
      <c r="B28" s="997" t="s">
        <v>190</v>
      </c>
      <c r="C28" s="999"/>
      <c r="D28" s="999">
        <f>14000-2324</f>
        <v>11676</v>
      </c>
      <c r="E28" s="999">
        <f>11676-2508</f>
        <v>9168</v>
      </c>
      <c r="F28" s="999">
        <f>11676-2508</f>
        <v>9168</v>
      </c>
      <c r="G28" s="999">
        <f>11676-2508</f>
        <v>9168</v>
      </c>
      <c r="H28" s="999">
        <v>0</v>
      </c>
      <c r="I28" s="507">
        <f t="shared" si="0"/>
        <v>0</v>
      </c>
      <c r="J28" s="831"/>
      <c r="M28" s="373"/>
      <c r="N28" s="52"/>
      <c r="O28" s="372"/>
      <c r="P28" s="373"/>
    </row>
    <row r="29" spans="1:16" ht="12.75">
      <c r="A29" s="842">
        <v>5014</v>
      </c>
      <c r="B29" s="508" t="s">
        <v>389</v>
      </c>
      <c r="C29" s="509">
        <v>35000</v>
      </c>
      <c r="D29" s="509">
        <f>35000+20000</f>
        <v>55000</v>
      </c>
      <c r="E29" s="509">
        <f>55000</f>
        <v>55000</v>
      </c>
      <c r="F29" s="509">
        <f>55000</f>
        <v>55000</v>
      </c>
      <c r="G29" s="509">
        <f>55000</f>
        <v>55000</v>
      </c>
      <c r="H29" s="509">
        <v>18487</v>
      </c>
      <c r="I29" s="507">
        <f t="shared" si="0"/>
        <v>0.33612727272727272</v>
      </c>
      <c r="J29" s="833" t="s">
        <v>952</v>
      </c>
      <c r="M29" s="373"/>
      <c r="N29" s="52"/>
      <c r="O29" s="372"/>
      <c r="P29" s="373"/>
    </row>
    <row r="30" spans="1:16" ht="12.75">
      <c r="A30" s="842">
        <v>5015</v>
      </c>
      <c r="B30" s="508" t="s">
        <v>735</v>
      </c>
      <c r="C30" s="509">
        <v>15000</v>
      </c>
      <c r="D30" s="509">
        <f>D31+D32</f>
        <v>16925</v>
      </c>
      <c r="E30" s="509">
        <f>E31+E32</f>
        <v>16925</v>
      </c>
      <c r="F30" s="509">
        <f>F31+F32</f>
        <v>16925</v>
      </c>
      <c r="G30" s="509">
        <f>G31+G32</f>
        <v>16925</v>
      </c>
      <c r="H30" s="285">
        <f>H31+H32</f>
        <v>2562</v>
      </c>
      <c r="I30" s="507">
        <f t="shared" si="0"/>
        <v>0.15137370753323487</v>
      </c>
      <c r="J30" s="833" t="s">
        <v>952</v>
      </c>
      <c r="M30" s="373"/>
      <c r="N30" s="52"/>
      <c r="O30" s="372"/>
      <c r="P30" s="373"/>
    </row>
    <row r="31" spans="1:16" ht="12.75">
      <c r="A31" s="842"/>
      <c r="B31" s="997" t="s">
        <v>235</v>
      </c>
      <c r="C31" s="999"/>
      <c r="D31" s="999">
        <v>4000</v>
      </c>
      <c r="E31" s="999">
        <v>4000</v>
      </c>
      <c r="F31" s="999">
        <v>4000</v>
      </c>
      <c r="G31" s="999">
        <v>4000</v>
      </c>
      <c r="H31" s="999">
        <v>637</v>
      </c>
      <c r="I31" s="507">
        <f t="shared" si="0"/>
        <v>0.15925</v>
      </c>
      <c r="J31" s="833"/>
      <c r="M31" s="373"/>
      <c r="N31" s="52"/>
      <c r="O31" s="372"/>
      <c r="P31" s="373"/>
    </row>
    <row r="32" spans="1:16" ht="12.75">
      <c r="A32" s="842"/>
      <c r="B32" s="997" t="s">
        <v>190</v>
      </c>
      <c r="C32" s="999"/>
      <c r="D32" s="999">
        <f>12925</f>
        <v>12925</v>
      </c>
      <c r="E32" s="999">
        <f>12925</f>
        <v>12925</v>
      </c>
      <c r="F32" s="999">
        <f>12925</f>
        <v>12925</v>
      </c>
      <c r="G32" s="999">
        <f>12925</f>
        <v>12925</v>
      </c>
      <c r="H32" s="999">
        <v>1925</v>
      </c>
      <c r="I32" s="507">
        <f t="shared" si="0"/>
        <v>0.14893617021276595</v>
      </c>
      <c r="J32" s="833"/>
      <c r="M32" s="373"/>
      <c r="N32" s="52"/>
      <c r="O32" s="372"/>
      <c r="P32" s="373"/>
    </row>
    <row r="33" spans="1:15">
      <c r="A33" s="842">
        <v>5016</v>
      </c>
      <c r="B33" s="508" t="s">
        <v>423</v>
      </c>
      <c r="C33" s="509"/>
      <c r="D33" s="509">
        <v>60000</v>
      </c>
      <c r="E33" s="509">
        <v>60000</v>
      </c>
      <c r="F33" s="509">
        <v>60000</v>
      </c>
      <c r="G33" s="509">
        <v>60000</v>
      </c>
      <c r="H33" s="509">
        <v>0</v>
      </c>
      <c r="I33" s="507">
        <f t="shared" si="0"/>
        <v>0</v>
      </c>
      <c r="J33" s="869" t="s">
        <v>936</v>
      </c>
    </row>
    <row r="34" spans="1:15">
      <c r="A34" s="842">
        <v>5018</v>
      </c>
      <c r="B34" s="508" t="s">
        <v>730</v>
      </c>
      <c r="C34" s="509"/>
      <c r="D34" s="509"/>
      <c r="E34" s="509"/>
      <c r="F34" s="509"/>
      <c r="G34" s="509"/>
      <c r="H34" s="509"/>
      <c r="I34" s="507"/>
      <c r="J34" s="869"/>
    </row>
    <row r="35" spans="1:15" ht="14.25" customHeight="1">
      <c r="A35" s="842">
        <v>5019</v>
      </c>
      <c r="B35" s="508" t="s">
        <v>731</v>
      </c>
      <c r="C35" s="509">
        <v>113958</v>
      </c>
      <c r="D35" s="509">
        <f>D36+D37</f>
        <v>113958</v>
      </c>
      <c r="E35" s="509">
        <f>E36+E37</f>
        <v>113958</v>
      </c>
      <c r="F35" s="509">
        <f>F36+F37</f>
        <v>113958</v>
      </c>
      <c r="G35" s="509">
        <f>G36+G37</f>
        <v>113958</v>
      </c>
      <c r="H35" s="285">
        <f>H36+H37</f>
        <v>113344</v>
      </c>
      <c r="I35" s="507">
        <f>H35/G35</f>
        <v>0.99461205005352848</v>
      </c>
      <c r="J35" s="869"/>
    </row>
    <row r="36" spans="1:15" ht="14.25" customHeight="1">
      <c r="A36" s="842"/>
      <c r="B36" s="997" t="s">
        <v>235</v>
      </c>
      <c r="C36" s="1000"/>
      <c r="D36" s="999">
        <v>300</v>
      </c>
      <c r="E36" s="999">
        <v>300</v>
      </c>
      <c r="F36" s="999">
        <v>300</v>
      </c>
      <c r="G36" s="999">
        <v>300</v>
      </c>
      <c r="H36" s="999">
        <v>286</v>
      </c>
      <c r="I36" s="507">
        <f>H36/G36</f>
        <v>0.95333333333333337</v>
      </c>
      <c r="J36" s="869"/>
    </row>
    <row r="37" spans="1:15" ht="14.25" customHeight="1">
      <c r="A37" s="842"/>
      <c r="B37" s="997" t="s">
        <v>190</v>
      </c>
      <c r="C37" s="1000"/>
      <c r="D37" s="999">
        <v>113658</v>
      </c>
      <c r="E37" s="999">
        <v>113658</v>
      </c>
      <c r="F37" s="999">
        <v>113658</v>
      </c>
      <c r="G37" s="999">
        <v>113658</v>
      </c>
      <c r="H37" s="999">
        <v>113058</v>
      </c>
      <c r="I37" s="507">
        <f>H37/G37</f>
        <v>0.994721005120625</v>
      </c>
      <c r="J37" s="869"/>
    </row>
    <row r="38" spans="1:15">
      <c r="A38" s="836">
        <v>5010</v>
      </c>
      <c r="B38" s="511" t="s">
        <v>128</v>
      </c>
      <c r="C38" s="512">
        <f>SUM(C11:C35)</f>
        <v>540309</v>
      </c>
      <c r="D38" s="512">
        <f>D11+D13+D14+D18+D21+D23+D26+D29+D30+D33+D35</f>
        <v>652410</v>
      </c>
      <c r="E38" s="512">
        <f>E11+E13+E14+E18+E21+E23+E26+E29+E30+E33+E35</f>
        <v>652410</v>
      </c>
      <c r="F38" s="512">
        <f>F11+F13+F14+F18+F21+F23+F26+F29+F30+F33+F35</f>
        <v>652410</v>
      </c>
      <c r="G38" s="512">
        <f>G11+G13+G14+G18+G21+G23+G26+G29+G30+G33+G35</f>
        <v>652410</v>
      </c>
      <c r="H38" s="512">
        <f>H11+H13+H14+H18+H21+H23+H26+H29+H30+H33+H35</f>
        <v>216940</v>
      </c>
      <c r="I38" s="513">
        <f>H38/G38</f>
        <v>0.33252096074554344</v>
      </c>
      <c r="J38" s="870"/>
    </row>
    <row r="39" spans="1:15" s="11" customFormat="1">
      <c r="A39" s="838"/>
      <c r="B39" s="514" t="s">
        <v>421</v>
      </c>
      <c r="C39" s="515"/>
      <c r="D39" s="515"/>
      <c r="E39" s="515"/>
      <c r="F39" s="515"/>
      <c r="G39" s="515"/>
      <c r="H39" s="515"/>
      <c r="I39" s="507"/>
      <c r="J39" s="850"/>
      <c r="L39" s="21"/>
      <c r="M39" s="21"/>
      <c r="N39" s="21"/>
      <c r="O39" s="21"/>
    </row>
    <row r="40" spans="1:15" s="11" customFormat="1" hidden="1">
      <c r="A40" s="840">
        <v>5020</v>
      </c>
      <c r="B40" s="516" t="s">
        <v>808</v>
      </c>
      <c r="C40" s="515"/>
      <c r="D40" s="515"/>
      <c r="E40" s="515"/>
      <c r="F40" s="515"/>
      <c r="G40" s="515"/>
      <c r="H40" s="515"/>
      <c r="I40" s="507"/>
      <c r="J40" s="850"/>
      <c r="L40" s="21"/>
      <c r="M40" s="21"/>
      <c r="N40" s="21"/>
      <c r="O40" s="21"/>
    </row>
    <row r="41" spans="1:15">
      <c r="A41" s="842">
        <v>5022</v>
      </c>
      <c r="B41" s="517" t="s">
        <v>765</v>
      </c>
      <c r="C41" s="509"/>
      <c r="D41" s="509"/>
      <c r="E41" s="509"/>
      <c r="F41" s="509"/>
      <c r="G41" s="509"/>
      <c r="H41" s="509"/>
      <c r="I41" s="507"/>
      <c r="J41" s="869"/>
    </row>
    <row r="42" spans="1:15">
      <c r="A42" s="842">
        <v>5023</v>
      </c>
      <c r="B42" s="517" t="s">
        <v>934</v>
      </c>
      <c r="C42" s="509">
        <v>1812918</v>
      </c>
      <c r="D42" s="509">
        <v>1812918</v>
      </c>
      <c r="E42" s="509">
        <f>E43+E44</f>
        <v>1810211</v>
      </c>
      <c r="F42" s="509">
        <f>F43+F44</f>
        <v>1810211</v>
      </c>
      <c r="G42" s="509">
        <f>G43+G44</f>
        <v>1810211</v>
      </c>
      <c r="H42" s="285">
        <f>H43+H44</f>
        <v>893614</v>
      </c>
      <c r="I42" s="507">
        <f>H42/G42</f>
        <v>0.49365184500591369</v>
      </c>
      <c r="J42" s="869"/>
    </row>
    <row r="43" spans="1:15">
      <c r="A43" s="842"/>
      <c r="B43" s="997" t="s">
        <v>235</v>
      </c>
      <c r="C43" s="1000"/>
      <c r="D43" s="1000"/>
      <c r="E43" s="999">
        <v>3500</v>
      </c>
      <c r="F43" s="999">
        <v>3500</v>
      </c>
      <c r="G43" s="999">
        <v>3500</v>
      </c>
      <c r="H43" s="999">
        <v>1013</v>
      </c>
      <c r="I43" s="507">
        <f t="shared" ref="I43:I44" si="1">H43/G43</f>
        <v>0.28942857142857142</v>
      </c>
      <c r="J43" s="869"/>
    </row>
    <row r="44" spans="1:15">
      <c r="A44" s="842"/>
      <c r="B44" s="997" t="s">
        <v>190</v>
      </c>
      <c r="C44" s="1000"/>
      <c r="D44" s="1000"/>
      <c r="E44" s="999">
        <f>1812918-3500-2707</f>
        <v>1806711</v>
      </c>
      <c r="F44" s="999">
        <f>1812918-3500-2707</f>
        <v>1806711</v>
      </c>
      <c r="G44" s="999">
        <f>1812918-3500-2707</f>
        <v>1806711</v>
      </c>
      <c r="H44" s="999">
        <v>892601</v>
      </c>
      <c r="I44" s="507">
        <f t="shared" si="1"/>
        <v>0.49404747079084593</v>
      </c>
      <c r="J44" s="869"/>
    </row>
    <row r="45" spans="1:15">
      <c r="A45" s="842">
        <v>5026</v>
      </c>
      <c r="B45" s="517" t="s">
        <v>1043</v>
      </c>
      <c r="C45" s="509"/>
      <c r="D45" s="509">
        <v>150000</v>
      </c>
      <c r="E45" s="509">
        <v>150000</v>
      </c>
      <c r="F45" s="509">
        <v>150000</v>
      </c>
      <c r="G45" s="509">
        <v>150000</v>
      </c>
      <c r="H45" s="509">
        <v>0</v>
      </c>
      <c r="I45" s="507">
        <f>H45/G45</f>
        <v>0</v>
      </c>
      <c r="J45" s="869"/>
    </row>
    <row r="46" spans="1:15" s="11" customFormat="1">
      <c r="A46" s="836">
        <v>5020</v>
      </c>
      <c r="B46" s="518" t="s">
        <v>128</v>
      </c>
      <c r="C46" s="512">
        <f>C40+C41+C42</f>
        <v>1812918</v>
      </c>
      <c r="D46" s="512">
        <f>D40+D41+D42+D45</f>
        <v>1962918</v>
      </c>
      <c r="E46" s="512">
        <f>E40+E41+E42+E45</f>
        <v>1960211</v>
      </c>
      <c r="F46" s="512">
        <f>F40+F41+F42+F45</f>
        <v>1960211</v>
      </c>
      <c r="G46" s="512">
        <f>G40+G41+G42+G45</f>
        <v>1960211</v>
      </c>
      <c r="H46" s="512">
        <f>H40+H41+H42+H45</f>
        <v>893614</v>
      </c>
      <c r="I46" s="513">
        <f>H46/G46</f>
        <v>0.45587643371045261</v>
      </c>
      <c r="J46" s="849"/>
    </row>
    <row r="47" spans="1:15" s="11" customFormat="1" ht="12" customHeight="1">
      <c r="A47" s="838"/>
      <c r="B47" s="519" t="s">
        <v>386</v>
      </c>
      <c r="C47" s="515"/>
      <c r="D47" s="515"/>
      <c r="E47" s="515"/>
      <c r="F47" s="515"/>
      <c r="G47" s="515"/>
      <c r="H47" s="515"/>
      <c r="I47" s="507"/>
      <c r="J47" s="850"/>
    </row>
    <row r="48" spans="1:15">
      <c r="A48" s="842">
        <v>5033</v>
      </c>
      <c r="B48" s="508" t="s">
        <v>15</v>
      </c>
      <c r="C48" s="509">
        <v>27100</v>
      </c>
      <c r="D48" s="509">
        <v>27100</v>
      </c>
      <c r="E48" s="509">
        <v>27100</v>
      </c>
      <c r="F48" s="509">
        <f>27100+8000</f>
        <v>35100</v>
      </c>
      <c r="G48" s="509">
        <f>27100+8000</f>
        <v>35100</v>
      </c>
      <c r="H48" s="285">
        <v>19184</v>
      </c>
      <c r="I48" s="507">
        <f>H48/G48</f>
        <v>0.5465527065527066</v>
      </c>
      <c r="J48" s="833" t="s">
        <v>953</v>
      </c>
      <c r="K48" s="12"/>
    </row>
    <row r="49" spans="1:11" hidden="1">
      <c r="A49" s="842">
        <v>5038</v>
      </c>
      <c r="B49" s="871" t="s">
        <v>396</v>
      </c>
      <c r="C49" s="509"/>
      <c r="D49" s="509"/>
      <c r="E49" s="509"/>
      <c r="F49" s="509"/>
      <c r="G49" s="509"/>
      <c r="H49" s="509"/>
      <c r="I49" s="507" t="e">
        <f>G49/G49</f>
        <v>#DIV/0!</v>
      </c>
      <c r="J49" s="872"/>
    </row>
    <row r="50" spans="1:11" hidden="1">
      <c r="A50" s="842">
        <v>5037</v>
      </c>
      <c r="B50" s="871" t="s">
        <v>408</v>
      </c>
      <c r="C50" s="509"/>
      <c r="D50" s="509"/>
      <c r="E50" s="509"/>
      <c r="F50" s="509"/>
      <c r="G50" s="509"/>
      <c r="H50" s="509"/>
      <c r="I50" s="507" t="e">
        <f>G50/G50</f>
        <v>#DIV/0!</v>
      </c>
      <c r="J50" s="872"/>
    </row>
    <row r="51" spans="1:11" hidden="1">
      <c r="A51" s="842">
        <v>5039</v>
      </c>
      <c r="B51" s="871" t="s">
        <v>407</v>
      </c>
      <c r="C51" s="509"/>
      <c r="D51" s="509"/>
      <c r="E51" s="509"/>
      <c r="F51" s="509"/>
      <c r="G51" s="509"/>
      <c r="H51" s="509"/>
      <c r="I51" s="507" t="e">
        <f>G51/G51</f>
        <v>#DIV/0!</v>
      </c>
      <c r="J51" s="872"/>
    </row>
    <row r="52" spans="1:11" hidden="1">
      <c r="A52" s="842">
        <v>5049</v>
      </c>
      <c r="B52" s="517" t="s">
        <v>375</v>
      </c>
      <c r="C52" s="509"/>
      <c r="D52" s="509"/>
      <c r="E52" s="509"/>
      <c r="F52" s="509"/>
      <c r="G52" s="509"/>
      <c r="H52" s="509"/>
      <c r="I52" s="507" t="e">
        <f>G52/G52</f>
        <v>#DIV/0!</v>
      </c>
      <c r="J52" s="872"/>
    </row>
    <row r="53" spans="1:11">
      <c r="A53" s="842"/>
      <c r="B53" s="520" t="s">
        <v>235</v>
      </c>
      <c r="C53" s="510"/>
      <c r="D53" s="510"/>
      <c r="E53" s="510"/>
      <c r="F53" s="510"/>
      <c r="G53" s="510"/>
      <c r="H53" s="510"/>
      <c r="I53" s="507"/>
      <c r="J53" s="872"/>
    </row>
    <row r="54" spans="1:11">
      <c r="A54" s="842"/>
      <c r="B54" s="520" t="s">
        <v>190</v>
      </c>
      <c r="C54" s="510"/>
      <c r="D54" s="510"/>
      <c r="E54" s="510"/>
      <c r="F54" s="510"/>
      <c r="G54" s="510"/>
      <c r="H54" s="510"/>
      <c r="I54" s="507"/>
      <c r="J54" s="872"/>
    </row>
    <row r="55" spans="1:11">
      <c r="A55" s="842">
        <v>5034</v>
      </c>
      <c r="B55" s="508" t="s">
        <v>905</v>
      </c>
      <c r="C55" s="509"/>
      <c r="D55" s="509">
        <f>D56</f>
        <v>108</v>
      </c>
      <c r="E55" s="509">
        <f>E56</f>
        <v>108</v>
      </c>
      <c r="F55" s="509">
        <f>F56</f>
        <v>108</v>
      </c>
      <c r="G55" s="509">
        <f>G56</f>
        <v>108</v>
      </c>
      <c r="H55" s="285">
        <f>H56</f>
        <v>108</v>
      </c>
      <c r="I55" s="507">
        <f>H55/G55</f>
        <v>1</v>
      </c>
      <c r="J55" s="872"/>
    </row>
    <row r="56" spans="1:11">
      <c r="A56" s="842"/>
      <c r="B56" s="985" t="s">
        <v>235</v>
      </c>
      <c r="C56" s="999"/>
      <c r="D56" s="999">
        <v>108</v>
      </c>
      <c r="E56" s="999">
        <v>108</v>
      </c>
      <c r="F56" s="999">
        <v>108</v>
      </c>
      <c r="G56" s="999">
        <v>108</v>
      </c>
      <c r="H56" s="999">
        <v>108</v>
      </c>
      <c r="I56" s="507">
        <f>H56/G56</f>
        <v>1</v>
      </c>
      <c r="J56" s="872"/>
    </row>
    <row r="57" spans="1:11" ht="12" customHeight="1">
      <c r="A57" s="836">
        <v>5030</v>
      </c>
      <c r="B57" s="518" t="s">
        <v>128</v>
      </c>
      <c r="C57" s="512">
        <f t="shared" ref="C57:H57" si="2">SUM(C48)+C55</f>
        <v>27100</v>
      </c>
      <c r="D57" s="512">
        <f t="shared" si="2"/>
        <v>27208</v>
      </c>
      <c r="E57" s="512">
        <f t="shared" si="2"/>
        <v>27208</v>
      </c>
      <c r="F57" s="512">
        <f t="shared" si="2"/>
        <v>35208</v>
      </c>
      <c r="G57" s="512">
        <f t="shared" si="2"/>
        <v>35208</v>
      </c>
      <c r="H57" s="512">
        <f t="shared" si="2"/>
        <v>19292</v>
      </c>
      <c r="I57" s="513">
        <f>H57/G57</f>
        <v>0.54794364917064309</v>
      </c>
      <c r="J57" s="849"/>
    </row>
    <row r="58" spans="1:11" ht="12" customHeight="1">
      <c r="A58" s="873"/>
      <c r="B58" s="522" t="s">
        <v>424</v>
      </c>
      <c r="C58" s="523"/>
      <c r="D58" s="523"/>
      <c r="E58" s="523"/>
      <c r="F58" s="523"/>
      <c r="G58" s="523"/>
      <c r="H58" s="523"/>
      <c r="I58" s="507"/>
      <c r="J58" s="874"/>
    </row>
    <row r="59" spans="1:11" ht="12" customHeight="1">
      <c r="A59" s="832">
        <v>5055</v>
      </c>
      <c r="B59" s="524" t="s">
        <v>966</v>
      </c>
      <c r="C59" s="525">
        <v>131192</v>
      </c>
      <c r="D59" s="525">
        <v>131192</v>
      </c>
      <c r="E59" s="525">
        <v>131192</v>
      </c>
      <c r="F59" s="525">
        <v>131192</v>
      </c>
      <c r="G59" s="126">
        <v>131192</v>
      </c>
      <c r="H59" s="126">
        <f>H60+H61</f>
        <v>119432</v>
      </c>
      <c r="I59" s="507">
        <f>H59/G59</f>
        <v>0.91036038782852613</v>
      </c>
      <c r="J59" s="875"/>
      <c r="K59" s="751"/>
    </row>
    <row r="60" spans="1:11" ht="12" customHeight="1">
      <c r="A60" s="832"/>
      <c r="B60" s="997" t="s">
        <v>235</v>
      </c>
      <c r="C60" s="989"/>
      <c r="D60" s="989"/>
      <c r="E60" s="989"/>
      <c r="F60" s="989">
        <f>F59-F61</f>
        <v>16791</v>
      </c>
      <c r="G60" s="990">
        <f>16791+4250</f>
        <v>21041</v>
      </c>
      <c r="H60" s="990">
        <v>21002</v>
      </c>
      <c r="I60" s="507">
        <f t="shared" ref="I60:I61" si="3">H60/G60</f>
        <v>0.99814647592795014</v>
      </c>
      <c r="J60" s="875"/>
      <c r="K60" s="751"/>
    </row>
    <row r="61" spans="1:11" ht="12" customHeight="1">
      <c r="A61" s="832"/>
      <c r="B61" s="997" t="s">
        <v>190</v>
      </c>
      <c r="C61" s="989"/>
      <c r="D61" s="989"/>
      <c r="E61" s="989"/>
      <c r="F61" s="989">
        <f>131192-16791</f>
        <v>114401</v>
      </c>
      <c r="G61" s="990">
        <f>131192-16791-4250</f>
        <v>110151</v>
      </c>
      <c r="H61" s="990">
        <v>98430</v>
      </c>
      <c r="I61" s="507">
        <f t="shared" si="3"/>
        <v>0.89359152436201217</v>
      </c>
      <c r="J61" s="875"/>
      <c r="K61" s="751"/>
    </row>
    <row r="62" spans="1:11" ht="12" customHeight="1">
      <c r="A62" s="832">
        <v>5056</v>
      </c>
      <c r="B62" s="524" t="s">
        <v>825</v>
      </c>
      <c r="C62" s="525"/>
      <c r="D62" s="525"/>
      <c r="E62" s="525"/>
      <c r="F62" s="525"/>
      <c r="G62" s="525"/>
      <c r="H62" s="525"/>
      <c r="I62" s="507"/>
      <c r="J62" s="876"/>
    </row>
    <row r="63" spans="1:11" ht="12" customHeight="1">
      <c r="A63" s="832">
        <v>5061</v>
      </c>
      <c r="B63" s="524" t="s">
        <v>875</v>
      </c>
      <c r="C63" s="525"/>
      <c r="D63" s="525"/>
      <c r="E63" s="525"/>
      <c r="F63" s="525"/>
      <c r="G63" s="525"/>
      <c r="H63" s="525"/>
      <c r="I63" s="507"/>
      <c r="J63" s="876"/>
    </row>
    <row r="64" spans="1:11" ht="12" customHeight="1">
      <c r="A64" s="832">
        <v>5062</v>
      </c>
      <c r="B64" s="524" t="s">
        <v>978</v>
      </c>
      <c r="C64" s="525">
        <v>1500000</v>
      </c>
      <c r="D64" s="525">
        <v>1500000</v>
      </c>
      <c r="E64" s="525">
        <f>E65+E66+E68+E67</f>
        <v>1500000</v>
      </c>
      <c r="F64" s="525">
        <f>F65+F66+F68+F67</f>
        <v>1500000</v>
      </c>
      <c r="G64" s="525">
        <f>G65+G66+G68+G67</f>
        <v>1500000</v>
      </c>
      <c r="H64" s="126">
        <f>H65+H66+H68+H67</f>
        <v>31717</v>
      </c>
      <c r="I64" s="507">
        <f>H64/G64</f>
        <v>2.1144666666666666E-2</v>
      </c>
      <c r="J64" s="876"/>
    </row>
    <row r="65" spans="1:10" ht="12" customHeight="1">
      <c r="A65" s="832"/>
      <c r="B65" s="985" t="s">
        <v>1065</v>
      </c>
      <c r="C65" s="989"/>
      <c r="D65" s="989"/>
      <c r="E65" s="989">
        <v>900</v>
      </c>
      <c r="F65" s="989">
        <v>900</v>
      </c>
      <c r="G65" s="989">
        <v>900</v>
      </c>
      <c r="H65" s="989">
        <v>679</v>
      </c>
      <c r="I65" s="507">
        <f t="shared" ref="I65:I68" si="4">H65/G65</f>
        <v>0.75444444444444447</v>
      </c>
      <c r="J65" s="876"/>
    </row>
    <row r="66" spans="1:10" ht="12" customHeight="1">
      <c r="A66" s="832"/>
      <c r="B66" s="989" t="s">
        <v>1066</v>
      </c>
      <c r="C66" s="989"/>
      <c r="D66" s="989"/>
      <c r="E66" s="989">
        <v>117</v>
      </c>
      <c r="F66" s="989">
        <v>117</v>
      </c>
      <c r="G66" s="989">
        <v>117</v>
      </c>
      <c r="H66" s="989">
        <v>0</v>
      </c>
      <c r="I66" s="507">
        <f t="shared" si="4"/>
        <v>0</v>
      </c>
      <c r="J66" s="876"/>
    </row>
    <row r="67" spans="1:10" ht="12" customHeight="1">
      <c r="A67" s="832"/>
      <c r="B67" s="989" t="s">
        <v>235</v>
      </c>
      <c r="C67" s="989"/>
      <c r="D67" s="989"/>
      <c r="E67" s="989">
        <f>30+39100</f>
        <v>39130</v>
      </c>
      <c r="F67" s="989">
        <f>30+39100</f>
        <v>39130</v>
      </c>
      <c r="G67" s="989">
        <f>30+39100</f>
        <v>39130</v>
      </c>
      <c r="H67" s="989">
        <v>23538</v>
      </c>
      <c r="I67" s="507">
        <f t="shared" si="4"/>
        <v>0.60153335037055966</v>
      </c>
      <c r="J67" s="876"/>
    </row>
    <row r="68" spans="1:10" ht="12" customHeight="1">
      <c r="A68" s="832"/>
      <c r="B68" s="1001" t="s">
        <v>190</v>
      </c>
      <c r="C68" s="989"/>
      <c r="D68" s="989"/>
      <c r="E68" s="989">
        <f>1500000-30-40117</f>
        <v>1459853</v>
      </c>
      <c r="F68" s="989">
        <f>1500000-30-40117</f>
        <v>1459853</v>
      </c>
      <c r="G68" s="989">
        <f>1500000-30-40117</f>
        <v>1459853</v>
      </c>
      <c r="H68" s="989">
        <v>7500</v>
      </c>
      <c r="I68" s="507">
        <f t="shared" si="4"/>
        <v>5.1375035705649814E-3</v>
      </c>
      <c r="J68" s="876"/>
    </row>
    <row r="69" spans="1:10" ht="12" customHeight="1">
      <c r="A69" s="836">
        <v>5060</v>
      </c>
      <c r="B69" s="518" t="s">
        <v>128</v>
      </c>
      <c r="C69" s="512">
        <f>SUM(C59:C64)</f>
        <v>1631192</v>
      </c>
      <c r="D69" s="512">
        <f>SUM(D59:D64)</f>
        <v>1631192</v>
      </c>
      <c r="E69" s="512">
        <f>SUM(E59:E64)</f>
        <v>1631192</v>
      </c>
      <c r="F69" s="512">
        <f>F59+F64</f>
        <v>1631192</v>
      </c>
      <c r="G69" s="512">
        <f>G59+G64</f>
        <v>1631192</v>
      </c>
      <c r="H69" s="512">
        <f>H59+H64</f>
        <v>151149</v>
      </c>
      <c r="I69" s="513">
        <f>H69/G69</f>
        <v>9.2661685442302313E-2</v>
      </c>
      <c r="J69" s="849"/>
    </row>
    <row r="70" spans="1:10" ht="15.75" customHeight="1">
      <c r="A70" s="827"/>
      <c r="B70" s="528" t="s">
        <v>212</v>
      </c>
      <c r="C70" s="529">
        <f t="shared" ref="C70:H70" si="5">SUM(C57+C46+C38+C69)</f>
        <v>4011519</v>
      </c>
      <c r="D70" s="529">
        <f t="shared" si="5"/>
        <v>4273728</v>
      </c>
      <c r="E70" s="529">
        <f t="shared" si="5"/>
        <v>4271021</v>
      </c>
      <c r="F70" s="529">
        <f t="shared" si="5"/>
        <v>4279021</v>
      </c>
      <c r="G70" s="529">
        <f t="shared" si="5"/>
        <v>4279021</v>
      </c>
      <c r="H70" s="529">
        <f t="shared" si="5"/>
        <v>1280995</v>
      </c>
      <c r="I70" s="513">
        <f>H70/G70</f>
        <v>0.29936637375698788</v>
      </c>
      <c r="J70" s="877"/>
    </row>
    <row r="71" spans="1:10">
      <c r="A71" s="838"/>
      <c r="B71" s="530" t="s">
        <v>46</v>
      </c>
      <c r="C71" s="523"/>
      <c r="D71" s="523"/>
      <c r="E71" s="523"/>
      <c r="F71" s="523"/>
      <c r="G71" s="523"/>
      <c r="H71" s="523"/>
      <c r="I71" s="507"/>
      <c r="J71" s="829"/>
    </row>
    <row r="72" spans="1:10">
      <c r="A72" s="838"/>
      <c r="B72" s="516" t="s">
        <v>82</v>
      </c>
      <c r="C72" s="525"/>
      <c r="D72" s="525"/>
      <c r="E72" s="525">
        <f t="shared" ref="E72:G73" si="6">E65</f>
        <v>900</v>
      </c>
      <c r="F72" s="525">
        <f t="shared" si="6"/>
        <v>900</v>
      </c>
      <c r="G72" s="525">
        <f t="shared" si="6"/>
        <v>900</v>
      </c>
      <c r="H72" s="525">
        <f t="shared" ref="H72" si="7">H65</f>
        <v>679</v>
      </c>
      <c r="I72" s="507">
        <f>H72/G72</f>
        <v>0.75444444444444447</v>
      </c>
      <c r="J72" s="829"/>
    </row>
    <row r="73" spans="1:10">
      <c r="A73" s="838"/>
      <c r="B73" s="506" t="s">
        <v>78</v>
      </c>
      <c r="C73" s="525"/>
      <c r="D73" s="525"/>
      <c r="E73" s="525">
        <f t="shared" si="6"/>
        <v>117</v>
      </c>
      <c r="F73" s="525">
        <f t="shared" si="6"/>
        <v>117</v>
      </c>
      <c r="G73" s="525">
        <f t="shared" si="6"/>
        <v>117</v>
      </c>
      <c r="H73" s="525">
        <f t="shared" ref="H73" si="8">H66</f>
        <v>0</v>
      </c>
      <c r="I73" s="507">
        <f>H73/G73</f>
        <v>0</v>
      </c>
      <c r="J73" s="829"/>
    </row>
    <row r="74" spans="1:10" ht="12" customHeight="1">
      <c r="A74" s="840"/>
      <c r="B74" s="506" t="s">
        <v>79</v>
      </c>
      <c r="C74" s="525">
        <f>C27+C53+C56</f>
        <v>0</v>
      </c>
      <c r="D74" s="525">
        <f>D27+D31+D36+D53+D56</f>
        <v>6908</v>
      </c>
      <c r="E74" s="525">
        <f>E27+E31+E36+E43+E53+E56+E67+E15</f>
        <v>52358</v>
      </c>
      <c r="F74" s="525">
        <f>F27+F31+F36+F43+F53+F56+F67+F15+F60</f>
        <v>69149</v>
      </c>
      <c r="G74" s="525">
        <f>G27+G31+G36+G43+G53+G56+G67+G15+G60</f>
        <v>73399</v>
      </c>
      <c r="H74" s="525">
        <f>H27+H31+H36+H43+H53+H56+H67+H15+H60</f>
        <v>48858</v>
      </c>
      <c r="I74" s="507">
        <f>H74/G74</f>
        <v>0.66564939576833471</v>
      </c>
      <c r="J74" s="829"/>
    </row>
    <row r="75" spans="1:10" ht="12" customHeight="1">
      <c r="A75" s="840"/>
      <c r="B75" s="506" t="s">
        <v>227</v>
      </c>
      <c r="C75" s="531"/>
      <c r="D75" s="531"/>
      <c r="E75" s="531"/>
      <c r="F75" s="531"/>
      <c r="G75" s="531"/>
      <c r="H75" s="531"/>
      <c r="I75" s="507"/>
      <c r="J75" s="829"/>
    </row>
    <row r="76" spans="1:10" ht="12" customHeight="1">
      <c r="A76" s="840"/>
      <c r="B76" s="532" t="s">
        <v>37</v>
      </c>
      <c r="C76" s="533">
        <f t="shared" ref="C76:H76" si="9">SUM(C72:C75)</f>
        <v>0</v>
      </c>
      <c r="D76" s="533">
        <f t="shared" si="9"/>
        <v>6908</v>
      </c>
      <c r="E76" s="533">
        <f t="shared" si="9"/>
        <v>53375</v>
      </c>
      <c r="F76" s="533">
        <f t="shared" si="9"/>
        <v>70166</v>
      </c>
      <c r="G76" s="533">
        <f t="shared" si="9"/>
        <v>74416</v>
      </c>
      <c r="H76" s="533">
        <f t="shared" si="9"/>
        <v>49537</v>
      </c>
      <c r="I76" s="507">
        <f>H76/G76</f>
        <v>0.6656767361857665</v>
      </c>
      <c r="J76" s="829"/>
    </row>
    <row r="77" spans="1:10" ht="12" customHeight="1">
      <c r="A77" s="840"/>
      <c r="B77" s="534" t="s">
        <v>47</v>
      </c>
      <c r="C77" s="531"/>
      <c r="D77" s="531"/>
      <c r="E77" s="531"/>
      <c r="F77" s="531"/>
      <c r="G77" s="531"/>
      <c r="H77" s="531"/>
      <c r="I77" s="507"/>
      <c r="J77" s="829"/>
    </row>
    <row r="78" spans="1:10" ht="12" customHeight="1">
      <c r="A78" s="840"/>
      <c r="B78" s="506" t="s">
        <v>193</v>
      </c>
      <c r="C78" s="531"/>
      <c r="D78" s="531"/>
      <c r="E78" s="531"/>
      <c r="F78" s="531"/>
      <c r="G78" s="531"/>
      <c r="H78" s="531"/>
      <c r="I78" s="507"/>
      <c r="J78" s="829"/>
    </row>
    <row r="79" spans="1:10" ht="12" customHeight="1">
      <c r="A79" s="840"/>
      <c r="B79" s="506" t="s">
        <v>192</v>
      </c>
      <c r="C79" s="531">
        <f t="shared" ref="C79:H79" si="10">SUM(C57+C46+C38+C69)-C74-C72-C73-C80-C78</f>
        <v>4011519</v>
      </c>
      <c r="D79" s="531">
        <f t="shared" si="10"/>
        <v>4266820</v>
      </c>
      <c r="E79" s="531">
        <f t="shared" si="10"/>
        <v>4217646</v>
      </c>
      <c r="F79" s="531">
        <f t="shared" si="10"/>
        <v>4181855</v>
      </c>
      <c r="G79" s="531">
        <f t="shared" si="10"/>
        <v>4177605</v>
      </c>
      <c r="H79" s="531">
        <f t="shared" si="10"/>
        <v>1231458</v>
      </c>
      <c r="I79" s="507">
        <f>H79/G79</f>
        <v>0.29477607385092652</v>
      </c>
      <c r="J79" s="829"/>
    </row>
    <row r="80" spans="1:10" ht="12" customHeight="1">
      <c r="A80" s="840"/>
      <c r="B80" s="506" t="s">
        <v>249</v>
      </c>
      <c r="C80" s="531"/>
      <c r="D80" s="531"/>
      <c r="E80" s="531"/>
      <c r="F80" s="531">
        <f>F25</f>
        <v>27000</v>
      </c>
      <c r="G80" s="531">
        <f>G25</f>
        <v>27000</v>
      </c>
      <c r="H80" s="531">
        <f>H25</f>
        <v>0</v>
      </c>
      <c r="I80" s="507">
        <f>H80/G80</f>
        <v>0</v>
      </c>
      <c r="J80" s="829"/>
    </row>
    <row r="81" spans="1:11" ht="12" customHeight="1" thickBot="1">
      <c r="A81" s="840"/>
      <c r="B81" s="532" t="s">
        <v>43</v>
      </c>
      <c r="C81" s="533">
        <f t="shared" ref="C81:H81" si="11">SUM(C78:C80)</f>
        <v>4011519</v>
      </c>
      <c r="D81" s="533">
        <f t="shared" si="11"/>
        <v>4266820</v>
      </c>
      <c r="E81" s="533">
        <f t="shared" si="11"/>
        <v>4217646</v>
      </c>
      <c r="F81" s="533">
        <f t="shared" si="11"/>
        <v>4208855</v>
      </c>
      <c r="G81" s="533">
        <f t="shared" si="11"/>
        <v>4204605</v>
      </c>
      <c r="H81" s="533">
        <f t="shared" si="11"/>
        <v>1231458</v>
      </c>
      <c r="I81" s="879">
        <f>H81/G81</f>
        <v>0.29288316024929811</v>
      </c>
      <c r="J81" s="878"/>
    </row>
    <row r="82" spans="1:11" ht="12" customHeight="1" thickBot="1">
      <c r="A82" s="864"/>
      <c r="B82" s="136" t="s">
        <v>81</v>
      </c>
      <c r="C82" s="865">
        <f t="shared" ref="C82:H82" si="12">SUM(C57+C46+C38+C69)</f>
        <v>4011519</v>
      </c>
      <c r="D82" s="865">
        <f t="shared" si="12"/>
        <v>4273728</v>
      </c>
      <c r="E82" s="865">
        <f t="shared" si="12"/>
        <v>4271021</v>
      </c>
      <c r="F82" s="865">
        <f t="shared" si="12"/>
        <v>4279021</v>
      </c>
      <c r="G82" s="865">
        <f t="shared" si="12"/>
        <v>4279021</v>
      </c>
      <c r="H82" s="865">
        <f t="shared" si="12"/>
        <v>1280995</v>
      </c>
      <c r="I82" s="468">
        <f>H82/G82</f>
        <v>0.29936637375698788</v>
      </c>
      <c r="J82" s="866"/>
      <c r="K82" s="12"/>
    </row>
  </sheetData>
  <mergeCells count="9">
    <mergeCell ref="A2:J2"/>
    <mergeCell ref="A1:J1"/>
    <mergeCell ref="I5:I7"/>
    <mergeCell ref="C5:C7"/>
    <mergeCell ref="D5:D7"/>
    <mergeCell ref="E5:E7"/>
    <mergeCell ref="F5:F7"/>
    <mergeCell ref="G5:G7"/>
    <mergeCell ref="H5:H7"/>
  </mergeCells>
  <phoneticPr fontId="0" type="noConversion"/>
  <printOptions horizontalCentered="1"/>
  <pageMargins left="0" right="0" top="0.39370078740157483" bottom="7.874015748031496E-2" header="0.51181102362204722" footer="0"/>
  <pageSetup paperSize="9" scale="60" firstPageNumber="45" orientation="landscape" useFirstPageNumber="1" horizontalDpi="300" verticalDpi="300" r:id="rId1"/>
  <headerFooter alignWithMargins="0">
    <oddFooter>&amp;P. oldal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9"/>
  <sheetViews>
    <sheetView zoomScaleNormal="100" workbookViewId="0">
      <selection activeCell="G6" sqref="G6"/>
    </sheetView>
  </sheetViews>
  <sheetFormatPr defaultColWidth="9.140625" defaultRowHeight="12.75"/>
  <cols>
    <col min="1" max="1" width="10.140625" style="30" customWidth="1"/>
    <col min="2" max="2" width="47.28515625" style="30" customWidth="1"/>
    <col min="3" max="5" width="12.28515625" style="30" customWidth="1"/>
    <col min="6" max="6" width="14" style="30" customWidth="1"/>
    <col min="7" max="7" width="11" style="30" customWidth="1"/>
    <col min="8" max="16384" width="9.140625" style="30"/>
  </cols>
  <sheetData>
    <row r="1" spans="1:7" ht="12.95" customHeight="1">
      <c r="A1" s="1790" t="s">
        <v>1117</v>
      </c>
      <c r="B1" s="1790"/>
      <c r="C1" s="1790"/>
      <c r="D1" s="1790"/>
      <c r="E1" s="1790"/>
      <c r="F1" s="1790"/>
      <c r="G1" s="1790"/>
    </row>
    <row r="3" spans="1:7" s="29" customFormat="1" ht="12.95" customHeight="1">
      <c r="A3" s="1789" t="s">
        <v>957</v>
      </c>
      <c r="B3" s="1789"/>
      <c r="C3" s="1789"/>
      <c r="D3" s="1789"/>
      <c r="E3" s="1789"/>
      <c r="F3" s="1789"/>
      <c r="G3" s="1789"/>
    </row>
    <row r="4" spans="1:7" s="29" customFormat="1"/>
    <row r="5" spans="1:7" s="29" customFormat="1"/>
    <row r="6" spans="1:7" s="29" customFormat="1" ht="15.75" thickBot="1">
      <c r="C6" s="274"/>
      <c r="E6" s="274"/>
      <c r="F6" s="504"/>
      <c r="G6" s="1401" t="s">
        <v>1353</v>
      </c>
    </row>
    <row r="7" spans="1:7" s="29" customFormat="1" ht="12.75" customHeight="1">
      <c r="A7" s="1786" t="s">
        <v>217</v>
      </c>
      <c r="B7" s="1791" t="s">
        <v>119</v>
      </c>
      <c r="C7" s="1750" t="s">
        <v>1017</v>
      </c>
      <c r="D7" s="1750" t="s">
        <v>1061</v>
      </c>
      <c r="E7" s="1750" t="s">
        <v>1083</v>
      </c>
      <c r="F7" s="1750" t="s">
        <v>1091</v>
      </c>
      <c r="G7" s="1761" t="s">
        <v>1118</v>
      </c>
    </row>
    <row r="8" spans="1:7" s="29" customFormat="1">
      <c r="A8" s="1787"/>
      <c r="B8" s="1792"/>
      <c r="C8" s="1765"/>
      <c r="D8" s="1765"/>
      <c r="E8" s="1765"/>
      <c r="F8" s="1765"/>
      <c r="G8" s="1762"/>
    </row>
    <row r="9" spans="1:7" s="29" customFormat="1" ht="13.5" thickBot="1">
      <c r="A9" s="1788"/>
      <c r="B9" s="1793"/>
      <c r="C9" s="1766"/>
      <c r="D9" s="1766"/>
      <c r="E9" s="1766"/>
      <c r="F9" s="1766"/>
      <c r="G9" s="1763"/>
    </row>
    <row r="10" spans="1:7" s="29" customFormat="1">
      <c r="A10" s="797" t="s">
        <v>120</v>
      </c>
      <c r="B10" s="33" t="s">
        <v>121</v>
      </c>
      <c r="C10" s="33" t="s">
        <v>122</v>
      </c>
      <c r="D10" s="33" t="s">
        <v>419</v>
      </c>
      <c r="E10" s="33" t="s">
        <v>420</v>
      </c>
      <c r="F10" s="33" t="s">
        <v>429</v>
      </c>
      <c r="G10" s="798" t="s">
        <v>455</v>
      </c>
    </row>
    <row r="11" spans="1:7" s="29" customFormat="1">
      <c r="A11" s="799"/>
      <c r="B11" s="8"/>
      <c r="C11" s="153"/>
      <c r="D11" s="153"/>
      <c r="E11" s="153"/>
      <c r="F11" s="465"/>
      <c r="G11" s="800"/>
    </row>
    <row r="12" spans="1:7" s="19" customFormat="1">
      <c r="A12" s="801">
        <v>6110</v>
      </c>
      <c r="B12" s="730" t="s">
        <v>1088</v>
      </c>
      <c r="C12" s="730">
        <v>116739</v>
      </c>
      <c r="D12" s="730">
        <f>116739+36173+2517794-2474405</f>
        <v>196301</v>
      </c>
      <c r="E12" s="730">
        <f>196301+42502-13325-190552+100000</f>
        <v>134926</v>
      </c>
      <c r="F12" s="730">
        <f>196301+42502-13325-190552+100000-15500+51909+30811-832241+730095</f>
        <v>100000</v>
      </c>
      <c r="G12" s="802">
        <f>100000+56981+1259601</f>
        <v>1416582</v>
      </c>
    </row>
    <row r="13" spans="1:7">
      <c r="A13" s="803"/>
      <c r="B13" s="282"/>
      <c r="C13" s="282"/>
      <c r="D13" s="282"/>
      <c r="E13" s="282"/>
      <c r="F13" s="282"/>
      <c r="G13" s="804"/>
    </row>
    <row r="14" spans="1:7" s="19" customFormat="1">
      <c r="A14" s="801">
        <v>6120</v>
      </c>
      <c r="B14" s="10" t="s">
        <v>36</v>
      </c>
      <c r="C14" s="10">
        <f>SUM(C19)</f>
        <v>500000</v>
      </c>
      <c r="D14" s="10">
        <f>SUM(D19)</f>
        <v>500000</v>
      </c>
      <c r="E14" s="10">
        <f>SUM(E19)</f>
        <v>814917</v>
      </c>
      <c r="F14" s="10">
        <f>SUM(F19)</f>
        <v>387362</v>
      </c>
      <c r="G14" s="805">
        <f>SUM(G19)</f>
        <v>532170</v>
      </c>
    </row>
    <row r="15" spans="1:7" s="19" customFormat="1">
      <c r="A15" s="801"/>
      <c r="B15" s="10"/>
      <c r="C15" s="10"/>
      <c r="D15" s="10"/>
      <c r="E15" s="10"/>
      <c r="F15" s="10"/>
      <c r="G15" s="805"/>
    </row>
    <row r="16" spans="1:7" s="19" customFormat="1">
      <c r="A16" s="801"/>
      <c r="B16" s="360" t="s">
        <v>403</v>
      </c>
      <c r="C16" s="360"/>
      <c r="D16" s="360"/>
      <c r="E16" s="360"/>
      <c r="F16" s="360"/>
      <c r="G16" s="806"/>
    </row>
    <row r="17" spans="1:7" s="19" customFormat="1">
      <c r="A17" s="801"/>
      <c r="B17" s="360"/>
      <c r="C17" s="360"/>
      <c r="D17" s="360"/>
      <c r="E17" s="360"/>
      <c r="F17" s="360"/>
      <c r="G17" s="806"/>
    </row>
    <row r="18" spans="1:7" s="19" customFormat="1">
      <c r="A18" s="803"/>
      <c r="B18" s="360"/>
      <c r="C18" s="360"/>
      <c r="D18" s="360"/>
      <c r="E18" s="360"/>
      <c r="F18" s="360"/>
      <c r="G18" s="806"/>
    </row>
    <row r="19" spans="1:7" s="19" customFormat="1">
      <c r="A19" s="807"/>
      <c r="B19" s="360" t="s">
        <v>404</v>
      </c>
      <c r="C19" s="360">
        <f>SUM(C20:C24)</f>
        <v>500000</v>
      </c>
      <c r="D19" s="360">
        <f>SUM(D20:D24)</f>
        <v>500000</v>
      </c>
      <c r="E19" s="360">
        <f>SUM(E20:E24)</f>
        <v>814917</v>
      </c>
      <c r="F19" s="360">
        <f>SUM(F20:F24)</f>
        <v>387362</v>
      </c>
      <c r="G19" s="806">
        <f>SUM(G20:G24)</f>
        <v>532170</v>
      </c>
    </row>
    <row r="20" spans="1:7">
      <c r="A20" s="803">
        <v>6135</v>
      </c>
      <c r="B20" s="282" t="s">
        <v>725</v>
      </c>
      <c r="C20" s="282"/>
      <c r="D20" s="282"/>
      <c r="E20" s="282"/>
      <c r="F20" s="282"/>
      <c r="G20" s="804">
        <v>64000</v>
      </c>
    </row>
    <row r="21" spans="1:7">
      <c r="A21" s="803">
        <v>6141</v>
      </c>
      <c r="B21" s="377" t="s">
        <v>813</v>
      </c>
      <c r="C21" s="282"/>
      <c r="D21" s="282"/>
      <c r="E21" s="282"/>
      <c r="F21" s="282"/>
      <c r="G21" s="804"/>
    </row>
    <row r="22" spans="1:7">
      <c r="A22" s="803">
        <v>6142</v>
      </c>
      <c r="B22" s="377" t="s">
        <v>866</v>
      </c>
      <c r="C22" s="282">
        <v>300000</v>
      </c>
      <c r="D22" s="282">
        <v>300000</v>
      </c>
      <c r="E22" s="282">
        <f>300000+429867-14950-100000</f>
        <v>614917</v>
      </c>
      <c r="F22" s="282">
        <f>300000+429867-14950-100000+302540-730095</f>
        <v>187362</v>
      </c>
      <c r="G22" s="804">
        <f>300000+429867-14950-100000+302540-730095+27255+3995+49402+156</f>
        <v>268170</v>
      </c>
    </row>
    <row r="23" spans="1:7">
      <c r="A23" s="803">
        <v>6143</v>
      </c>
      <c r="B23" s="377" t="s">
        <v>976</v>
      </c>
      <c r="C23" s="282">
        <v>200000</v>
      </c>
      <c r="D23" s="282">
        <v>200000</v>
      </c>
      <c r="E23" s="282">
        <v>200000</v>
      </c>
      <c r="F23" s="282">
        <v>200000</v>
      </c>
      <c r="G23" s="804">
        <v>200000</v>
      </c>
    </row>
    <row r="24" spans="1:7" ht="13.5" thickBot="1">
      <c r="A24" s="808"/>
      <c r="B24" s="809"/>
      <c r="C24" s="810"/>
      <c r="D24" s="810"/>
      <c r="E24" s="810"/>
      <c r="F24" s="810"/>
      <c r="G24" s="811"/>
    </row>
    <row r="25" spans="1:7" s="19" customFormat="1" ht="13.5" thickBot="1">
      <c r="A25" s="812">
        <v>6100</v>
      </c>
      <c r="B25" s="813" t="s">
        <v>110</v>
      </c>
      <c r="C25" s="813">
        <f>SUM(C16+C19+C12)</f>
        <v>616739</v>
      </c>
      <c r="D25" s="813">
        <f>SUM(D16+D19+D12)</f>
        <v>696301</v>
      </c>
      <c r="E25" s="813">
        <f>SUM(E16+E19+E12)</f>
        <v>949843</v>
      </c>
      <c r="F25" s="813">
        <f>SUM(F16+F19+F12)</f>
        <v>487362</v>
      </c>
      <c r="G25" s="814">
        <f>SUM(G16+G19+G12)</f>
        <v>1948752</v>
      </c>
    </row>
    <row r="28" spans="1:7">
      <c r="A28" s="146"/>
    </row>
    <row r="29" spans="1:7">
      <c r="A29" s="146"/>
    </row>
  </sheetData>
  <mergeCells count="9">
    <mergeCell ref="A7:A9"/>
    <mergeCell ref="C7:C9"/>
    <mergeCell ref="A3:G3"/>
    <mergeCell ref="A1:G1"/>
    <mergeCell ref="G7:G9"/>
    <mergeCell ref="F7:F9"/>
    <mergeCell ref="E7:E9"/>
    <mergeCell ref="D7:D9"/>
    <mergeCell ref="B7:B9"/>
  </mergeCells>
  <phoneticPr fontId="0" type="noConversion"/>
  <printOptions horizontalCentered="1"/>
  <pageMargins left="0.78740157480314965" right="0.78740157480314965" top="0.98425196850393704" bottom="0.98425196850393704" header="0.51181102362204722" footer="0.51181102362204722"/>
  <pageSetup paperSize="9" firstPageNumber="46" orientation="landscape" useFirstPageNumber="1" r:id="rId1"/>
  <headerFooter alignWithMargins="0">
    <oddFooter>&amp;P. oldal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63"/>
  <sheetViews>
    <sheetView zoomScaleNormal="100" zoomScaleSheetLayoutView="80" workbookViewId="0">
      <selection activeCell="N6" sqref="N6"/>
    </sheetView>
  </sheetViews>
  <sheetFormatPr defaultColWidth="9.140625" defaultRowHeight="12.75"/>
  <cols>
    <col min="1" max="1" width="6.85546875" style="209" customWidth="1"/>
    <col min="2" max="2" width="10.140625" style="209" customWidth="1"/>
    <col min="3" max="3" width="24.85546875" style="209" customWidth="1"/>
    <col min="4" max="4" width="10.5703125" style="209" customWidth="1"/>
    <col min="5" max="7" width="9.140625" style="209"/>
    <col min="8" max="8" width="18.85546875" style="209" customWidth="1"/>
    <col min="9" max="12" width="14.7109375" style="209" customWidth="1"/>
    <col min="13" max="13" width="15.42578125" style="209" customWidth="1"/>
    <col min="14" max="14" width="17" style="209" customWidth="1"/>
    <col min="15" max="16384" width="9.140625" style="209"/>
  </cols>
  <sheetData>
    <row r="1" spans="1:14">
      <c r="A1" s="1860" t="s">
        <v>1131</v>
      </c>
      <c r="B1" s="1860"/>
      <c r="C1" s="1860"/>
      <c r="D1" s="1860"/>
      <c r="E1" s="1860"/>
      <c r="F1" s="1860"/>
      <c r="G1" s="1860"/>
      <c r="H1" s="1860"/>
      <c r="I1" s="1860"/>
      <c r="J1" s="1860"/>
      <c r="K1" s="1860"/>
      <c r="L1" s="1860"/>
      <c r="M1" s="1860"/>
    </row>
    <row r="2" spans="1:14" ht="16.5" customHeight="1"/>
    <row r="3" spans="1:14" ht="14.25" customHeight="1">
      <c r="A3" s="1861" t="s">
        <v>969</v>
      </c>
      <c r="B3" s="1861"/>
      <c r="C3" s="1861"/>
      <c r="D3" s="1861"/>
      <c r="E3" s="1861"/>
      <c r="F3" s="1861"/>
      <c r="G3" s="1861"/>
      <c r="H3" s="1861"/>
      <c r="I3" s="1861"/>
      <c r="J3" s="1861"/>
      <c r="K3" s="1861"/>
      <c r="L3" s="1861"/>
      <c r="M3" s="1861"/>
    </row>
    <row r="4" spans="1:14" ht="14.25">
      <c r="A4" s="210"/>
      <c r="B4" s="210"/>
      <c r="C4" s="210"/>
      <c r="D4" s="210"/>
      <c r="E4" s="210"/>
      <c r="F4" s="210"/>
      <c r="G4" s="210"/>
      <c r="H4" s="210"/>
    </row>
    <row r="5" spans="1:14" ht="9.75" customHeight="1">
      <c r="A5" s="210"/>
      <c r="B5" s="210"/>
      <c r="C5" s="210"/>
      <c r="D5" s="210"/>
      <c r="E5" s="210"/>
      <c r="F5" s="210"/>
      <c r="G5" s="210"/>
      <c r="H5" s="210"/>
    </row>
    <row r="6" spans="1:14" ht="13.15" customHeight="1" thickBot="1">
      <c r="I6" s="211"/>
      <c r="J6" s="211"/>
      <c r="N6" s="1401" t="s">
        <v>1353</v>
      </c>
    </row>
    <row r="7" spans="1:14" ht="24.75" customHeight="1">
      <c r="A7" s="1800" t="s">
        <v>217</v>
      </c>
      <c r="B7" s="1802" t="s">
        <v>119</v>
      </c>
      <c r="C7" s="1803"/>
      <c r="D7" s="1802" t="s">
        <v>440</v>
      </c>
      <c r="E7" s="1806"/>
      <c r="F7" s="1806"/>
      <c r="G7" s="1806"/>
      <c r="H7" s="1803"/>
      <c r="I7" s="1798" t="s">
        <v>1018</v>
      </c>
      <c r="J7" s="1798" t="s">
        <v>1063</v>
      </c>
      <c r="K7" s="1798" t="s">
        <v>1087</v>
      </c>
      <c r="L7" s="1798" t="s">
        <v>1092</v>
      </c>
      <c r="M7" s="1796" t="s">
        <v>1525</v>
      </c>
      <c r="N7" s="1794" t="s">
        <v>1121</v>
      </c>
    </row>
    <row r="8" spans="1:14" ht="25.5" customHeight="1" thickBot="1">
      <c r="A8" s="1801"/>
      <c r="B8" s="1804"/>
      <c r="C8" s="1805"/>
      <c r="D8" s="1807"/>
      <c r="E8" s="1808"/>
      <c r="F8" s="1808"/>
      <c r="G8" s="1808"/>
      <c r="H8" s="1809"/>
      <c r="I8" s="1799"/>
      <c r="J8" s="1799"/>
      <c r="K8" s="1799"/>
      <c r="L8" s="1799"/>
      <c r="M8" s="1797"/>
      <c r="N8" s="1795"/>
    </row>
    <row r="9" spans="1:14" ht="25.5" customHeight="1">
      <c r="A9" s="1812" t="s">
        <v>120</v>
      </c>
      <c r="B9" s="1836" t="s">
        <v>1069</v>
      </c>
      <c r="C9" s="1837"/>
      <c r="D9" s="1823" t="s">
        <v>232</v>
      </c>
      <c r="E9" s="1846" t="s">
        <v>928</v>
      </c>
      <c r="F9" s="1847"/>
      <c r="G9" s="1847"/>
      <c r="H9" s="1848"/>
      <c r="I9" s="379"/>
      <c r="J9" s="379"/>
      <c r="K9" s="379">
        <f>'2.mell. '!E79</f>
        <v>2673</v>
      </c>
      <c r="L9" s="379">
        <f>'2.mell. '!F79</f>
        <v>2673</v>
      </c>
      <c r="M9" s="786">
        <f>'2.mell. '!G79</f>
        <v>1220</v>
      </c>
      <c r="N9" s="791">
        <f>'2.mell. '!H79</f>
        <v>1220</v>
      </c>
    </row>
    <row r="10" spans="1:14" ht="25.5" customHeight="1">
      <c r="A10" s="1813"/>
      <c r="B10" s="1817"/>
      <c r="C10" s="1818"/>
      <c r="D10" s="1823"/>
      <c r="E10" s="1849" t="s">
        <v>929</v>
      </c>
      <c r="F10" s="1850"/>
      <c r="G10" s="1850"/>
      <c r="H10" s="1851"/>
      <c r="I10" s="452"/>
      <c r="J10" s="452"/>
      <c r="K10" s="452"/>
      <c r="L10" s="452"/>
      <c r="M10" s="787"/>
      <c r="N10" s="1632"/>
    </row>
    <row r="11" spans="1:14" ht="25.5" customHeight="1">
      <c r="A11" s="1813"/>
      <c r="B11" s="1819"/>
      <c r="C11" s="1820"/>
      <c r="D11" s="1824" t="s">
        <v>233</v>
      </c>
      <c r="E11" s="1840" t="s">
        <v>234</v>
      </c>
      <c r="F11" s="1841"/>
      <c r="G11" s="1841"/>
      <c r="H11" s="1842"/>
      <c r="I11" s="452"/>
      <c r="J11" s="452"/>
      <c r="K11" s="452">
        <f>'6.mell.'!E376</f>
        <v>2366</v>
      </c>
      <c r="L11" s="452">
        <f>'6.mell.'!F376</f>
        <v>2366</v>
      </c>
      <c r="M11" s="787">
        <v>988</v>
      </c>
      <c r="N11" s="1632">
        <v>988</v>
      </c>
    </row>
    <row r="12" spans="1:14" ht="25.5" customHeight="1">
      <c r="A12" s="1813"/>
      <c r="B12" s="1819"/>
      <c r="C12" s="1820"/>
      <c r="D12" s="1823"/>
      <c r="E12" s="1840" t="s">
        <v>443</v>
      </c>
      <c r="F12" s="1841"/>
      <c r="G12" s="1841"/>
      <c r="H12" s="1842"/>
      <c r="I12" s="452"/>
      <c r="J12" s="452"/>
      <c r="K12" s="452">
        <f>'6.mell.'!E377</f>
        <v>307</v>
      </c>
      <c r="L12" s="452">
        <f>'6.mell.'!F377</f>
        <v>307</v>
      </c>
      <c r="M12" s="787">
        <v>129</v>
      </c>
      <c r="N12" s="1632">
        <v>129</v>
      </c>
    </row>
    <row r="13" spans="1:14" ht="25.5" customHeight="1">
      <c r="A13" s="1813"/>
      <c r="B13" s="1819"/>
      <c r="C13" s="1820"/>
      <c r="D13" s="1823"/>
      <c r="E13" s="1840" t="s">
        <v>235</v>
      </c>
      <c r="F13" s="1841"/>
      <c r="G13" s="1841"/>
      <c r="H13" s="1842"/>
      <c r="I13" s="452"/>
      <c r="J13" s="452"/>
      <c r="K13" s="452"/>
      <c r="L13" s="452"/>
      <c r="M13" s="787">
        <f>'6.mell.'!G378</f>
        <v>103</v>
      </c>
      <c r="N13" s="1632">
        <f>'6.mell.'!H378</f>
        <v>0</v>
      </c>
    </row>
    <row r="14" spans="1:14" ht="25.5" customHeight="1">
      <c r="A14" s="1813"/>
      <c r="B14" s="1819"/>
      <c r="C14" s="1820"/>
      <c r="D14" s="1823"/>
      <c r="E14" s="1840" t="s">
        <v>71</v>
      </c>
      <c r="F14" s="1841"/>
      <c r="G14" s="1841"/>
      <c r="H14" s="1842"/>
      <c r="I14" s="452"/>
      <c r="J14" s="452"/>
      <c r="K14" s="452"/>
      <c r="L14" s="452"/>
      <c r="M14" s="787"/>
      <c r="N14" s="1632"/>
    </row>
    <row r="15" spans="1:14" ht="25.5" customHeight="1">
      <c r="A15" s="1813"/>
      <c r="B15" s="1819"/>
      <c r="C15" s="1820"/>
      <c r="D15" s="1823"/>
      <c r="E15" s="1840" t="s">
        <v>376</v>
      </c>
      <c r="F15" s="1841"/>
      <c r="G15" s="1841"/>
      <c r="H15" s="1842"/>
      <c r="I15" s="452"/>
      <c r="J15" s="452"/>
      <c r="K15" s="452"/>
      <c r="L15" s="452"/>
      <c r="M15" s="787"/>
      <c r="N15" s="1632"/>
    </row>
    <row r="16" spans="1:14" ht="25.5" customHeight="1">
      <c r="A16" s="1813"/>
      <c r="B16" s="1819"/>
      <c r="C16" s="1820"/>
      <c r="D16" s="1823"/>
      <c r="E16" s="1840" t="s">
        <v>377</v>
      </c>
      <c r="F16" s="1841"/>
      <c r="G16" s="1841"/>
      <c r="H16" s="1842"/>
      <c r="I16" s="452"/>
      <c r="J16" s="452"/>
      <c r="K16" s="452"/>
      <c r="L16" s="452"/>
      <c r="M16" s="787"/>
      <c r="N16" s="1632"/>
    </row>
    <row r="17" spans="1:14" ht="25.5" customHeight="1" thickBot="1">
      <c r="A17" s="1835"/>
      <c r="B17" s="1838"/>
      <c r="C17" s="1839"/>
      <c r="D17" s="1793"/>
      <c r="E17" s="1855" t="s">
        <v>444</v>
      </c>
      <c r="F17" s="1856"/>
      <c r="G17" s="1856"/>
      <c r="H17" s="1857"/>
      <c r="I17" s="453"/>
      <c r="J17" s="453"/>
      <c r="K17" s="453"/>
      <c r="L17" s="453"/>
      <c r="M17" s="788"/>
      <c r="N17" s="1633"/>
    </row>
    <row r="18" spans="1:14" ht="25.5" customHeight="1">
      <c r="A18" s="1812" t="s">
        <v>121</v>
      </c>
      <c r="B18" s="1836" t="s">
        <v>744</v>
      </c>
      <c r="C18" s="1837"/>
      <c r="D18" s="1823" t="s">
        <v>232</v>
      </c>
      <c r="E18" s="1846" t="s">
        <v>441</v>
      </c>
      <c r="F18" s="1847"/>
      <c r="G18" s="1847"/>
      <c r="H18" s="1848"/>
      <c r="I18" s="454"/>
      <c r="J18" s="454"/>
      <c r="K18" s="454"/>
      <c r="L18" s="454"/>
      <c r="M18" s="789"/>
      <c r="N18" s="1634"/>
    </row>
    <row r="19" spans="1:14" ht="25.5" customHeight="1">
      <c r="A19" s="1813"/>
      <c r="B19" s="1817"/>
      <c r="C19" s="1818"/>
      <c r="D19" s="1823"/>
      <c r="E19" s="1843" t="s">
        <v>442</v>
      </c>
      <c r="F19" s="1844"/>
      <c r="G19" s="1844"/>
      <c r="H19" s="1845"/>
      <c r="I19" s="452"/>
      <c r="J19" s="452"/>
      <c r="K19" s="452"/>
      <c r="L19" s="452"/>
      <c r="M19" s="787"/>
      <c r="N19" s="1632"/>
    </row>
    <row r="20" spans="1:14" ht="25.5" customHeight="1">
      <c r="A20" s="1813"/>
      <c r="B20" s="1819"/>
      <c r="C20" s="1820"/>
      <c r="D20" s="1824" t="s">
        <v>233</v>
      </c>
      <c r="E20" s="1840" t="s">
        <v>234</v>
      </c>
      <c r="F20" s="1841"/>
      <c r="G20" s="1841"/>
      <c r="H20" s="1842"/>
      <c r="I20" s="452"/>
      <c r="J20" s="452"/>
      <c r="K20" s="452"/>
      <c r="L20" s="452"/>
      <c r="M20" s="787"/>
      <c r="N20" s="1632"/>
    </row>
    <row r="21" spans="1:14" ht="25.5" customHeight="1">
      <c r="A21" s="1813"/>
      <c r="B21" s="1819"/>
      <c r="C21" s="1820"/>
      <c r="D21" s="1823"/>
      <c r="E21" s="1840" t="s">
        <v>443</v>
      </c>
      <c r="F21" s="1841"/>
      <c r="G21" s="1841"/>
      <c r="H21" s="1842"/>
      <c r="I21" s="452"/>
      <c r="J21" s="452"/>
      <c r="K21" s="452"/>
      <c r="L21" s="452"/>
      <c r="M21" s="787"/>
      <c r="N21" s="1632"/>
    </row>
    <row r="22" spans="1:14" ht="25.5" customHeight="1">
      <c r="A22" s="1813"/>
      <c r="B22" s="1819"/>
      <c r="C22" s="1820"/>
      <c r="D22" s="1823"/>
      <c r="E22" s="1840" t="s">
        <v>235</v>
      </c>
      <c r="F22" s="1841"/>
      <c r="G22" s="1841"/>
      <c r="H22" s="1842"/>
      <c r="I22" s="452"/>
      <c r="J22" s="452">
        <f>'6.mell.'!D396</f>
        <v>100</v>
      </c>
      <c r="K22" s="452">
        <f>'6.mell.'!E396</f>
        <v>100</v>
      </c>
      <c r="L22" s="452">
        <f>'6.mell.'!F396</f>
        <v>100</v>
      </c>
      <c r="M22" s="787">
        <f>'6.mell.'!G396</f>
        <v>100</v>
      </c>
      <c r="N22" s="1632">
        <f>'6.mell.'!H396</f>
        <v>0</v>
      </c>
    </row>
    <row r="23" spans="1:14" ht="25.5" customHeight="1">
      <c r="A23" s="1813"/>
      <c r="B23" s="1819"/>
      <c r="C23" s="1820"/>
      <c r="D23" s="1823"/>
      <c r="E23" s="1840" t="s">
        <v>71</v>
      </c>
      <c r="F23" s="1841"/>
      <c r="G23" s="1841"/>
      <c r="H23" s="1842"/>
      <c r="I23" s="452"/>
      <c r="J23" s="452"/>
      <c r="K23" s="452"/>
      <c r="L23" s="452"/>
      <c r="M23" s="787"/>
      <c r="N23" s="1632"/>
    </row>
    <row r="24" spans="1:14" ht="25.5" customHeight="1">
      <c r="A24" s="1813"/>
      <c r="B24" s="1819"/>
      <c r="C24" s="1820"/>
      <c r="D24" s="1823"/>
      <c r="E24" s="1840" t="s">
        <v>376</v>
      </c>
      <c r="F24" s="1841"/>
      <c r="G24" s="1841"/>
      <c r="H24" s="1842"/>
      <c r="I24" s="452"/>
      <c r="J24" s="452"/>
      <c r="K24" s="452"/>
      <c r="L24" s="452"/>
      <c r="M24" s="787"/>
      <c r="N24" s="1632"/>
    </row>
    <row r="25" spans="1:14" ht="25.5" customHeight="1">
      <c r="A25" s="1813"/>
      <c r="B25" s="1819"/>
      <c r="C25" s="1820"/>
      <c r="D25" s="1823"/>
      <c r="E25" s="1840" t="s">
        <v>377</v>
      </c>
      <c r="F25" s="1841"/>
      <c r="G25" s="1841"/>
      <c r="H25" s="1842"/>
      <c r="I25" s="452"/>
      <c r="J25" s="452"/>
      <c r="K25" s="452"/>
      <c r="L25" s="452"/>
      <c r="M25" s="787"/>
      <c r="N25" s="1632"/>
    </row>
    <row r="26" spans="1:14" ht="25.5" customHeight="1" thickBot="1">
      <c r="A26" s="1835"/>
      <c r="B26" s="1838"/>
      <c r="C26" s="1839"/>
      <c r="D26" s="1793"/>
      <c r="E26" s="1855" t="s">
        <v>444</v>
      </c>
      <c r="F26" s="1856"/>
      <c r="G26" s="1856"/>
      <c r="H26" s="1857"/>
      <c r="I26" s="453"/>
      <c r="J26" s="453"/>
      <c r="K26" s="453"/>
      <c r="L26" s="453"/>
      <c r="M26" s="788"/>
      <c r="N26" s="1633"/>
    </row>
    <row r="27" spans="1:14" ht="25.15" customHeight="1">
      <c r="A27" s="1812" t="s">
        <v>122</v>
      </c>
      <c r="B27" s="1836" t="s">
        <v>912</v>
      </c>
      <c r="C27" s="1837"/>
      <c r="D27" s="1823" t="s">
        <v>232</v>
      </c>
      <c r="E27" s="1852" t="s">
        <v>928</v>
      </c>
      <c r="F27" s="1853"/>
      <c r="G27" s="1853"/>
      <c r="H27" s="1854"/>
      <c r="I27" s="454">
        <f>'2.mell. '!C79</f>
        <v>0</v>
      </c>
      <c r="J27" s="454">
        <f>'2.mell. '!D79</f>
        <v>0</v>
      </c>
      <c r="K27" s="454">
        <v>0</v>
      </c>
      <c r="L27" s="454">
        <v>0</v>
      </c>
      <c r="M27" s="789">
        <f>'2.mell. '!K79</f>
        <v>0</v>
      </c>
      <c r="N27" s="1634">
        <f>'2.mell. '!L79</f>
        <v>0</v>
      </c>
    </row>
    <row r="28" spans="1:14" ht="25.15" customHeight="1">
      <c r="A28" s="1813"/>
      <c r="B28" s="1817"/>
      <c r="C28" s="1818"/>
      <c r="D28" s="1823"/>
      <c r="E28" s="1862" t="s">
        <v>929</v>
      </c>
      <c r="F28" s="1863"/>
      <c r="G28" s="1863"/>
      <c r="H28" s="1864"/>
      <c r="I28" s="452"/>
      <c r="J28" s="452"/>
      <c r="K28" s="452"/>
      <c r="L28" s="452"/>
      <c r="M28" s="787"/>
      <c r="N28" s="1632"/>
    </row>
    <row r="29" spans="1:14" ht="25.15" customHeight="1">
      <c r="A29" s="1813"/>
      <c r="B29" s="1819"/>
      <c r="C29" s="1820"/>
      <c r="D29" s="1824" t="s">
        <v>233</v>
      </c>
      <c r="E29" s="1849" t="s">
        <v>234</v>
      </c>
      <c r="F29" s="1850"/>
      <c r="G29" s="1850"/>
      <c r="H29" s="1851"/>
      <c r="I29" s="452"/>
      <c r="J29" s="452"/>
      <c r="K29" s="452"/>
      <c r="L29" s="452"/>
      <c r="M29" s="787"/>
      <c r="N29" s="1632"/>
    </row>
    <row r="30" spans="1:14" ht="25.15" customHeight="1">
      <c r="A30" s="1813"/>
      <c r="B30" s="1819"/>
      <c r="C30" s="1820"/>
      <c r="D30" s="1823"/>
      <c r="E30" s="1849" t="s">
        <v>443</v>
      </c>
      <c r="F30" s="1850"/>
      <c r="G30" s="1850"/>
      <c r="H30" s="1851"/>
      <c r="I30" s="452"/>
      <c r="J30" s="452"/>
      <c r="K30" s="452"/>
      <c r="L30" s="452"/>
      <c r="M30" s="787"/>
      <c r="N30" s="1632"/>
    </row>
    <row r="31" spans="1:14" ht="25.15" customHeight="1">
      <c r="A31" s="1813"/>
      <c r="B31" s="1819"/>
      <c r="C31" s="1820"/>
      <c r="D31" s="1823"/>
      <c r="E31" s="1849" t="s">
        <v>235</v>
      </c>
      <c r="F31" s="1850"/>
      <c r="G31" s="1850"/>
      <c r="H31" s="1851"/>
      <c r="I31" s="452"/>
      <c r="J31" s="452"/>
      <c r="K31" s="452"/>
      <c r="L31" s="452"/>
      <c r="M31" s="787"/>
      <c r="N31" s="1632"/>
    </row>
    <row r="32" spans="1:14" ht="25.15" customHeight="1">
      <c r="A32" s="1813"/>
      <c r="B32" s="1819"/>
      <c r="C32" s="1820"/>
      <c r="D32" s="1823"/>
      <c r="E32" s="1849" t="s">
        <v>71</v>
      </c>
      <c r="F32" s="1850"/>
      <c r="G32" s="1850"/>
      <c r="H32" s="1851"/>
      <c r="I32" s="452"/>
      <c r="J32" s="452"/>
      <c r="K32" s="452"/>
      <c r="L32" s="452"/>
      <c r="M32" s="787"/>
      <c r="N32" s="1632"/>
    </row>
    <row r="33" spans="1:14" ht="25.15" customHeight="1">
      <c r="A33" s="1813"/>
      <c r="B33" s="1819"/>
      <c r="C33" s="1820"/>
      <c r="D33" s="1823"/>
      <c r="E33" s="1849" t="s">
        <v>376</v>
      </c>
      <c r="F33" s="1850"/>
      <c r="G33" s="1850"/>
      <c r="H33" s="1851"/>
      <c r="I33" s="452"/>
      <c r="J33" s="452"/>
      <c r="K33" s="452"/>
      <c r="L33" s="452"/>
      <c r="M33" s="787"/>
      <c r="N33" s="1632"/>
    </row>
    <row r="34" spans="1:14" ht="25.15" customHeight="1">
      <c r="A34" s="1813"/>
      <c r="B34" s="1819"/>
      <c r="C34" s="1820"/>
      <c r="D34" s="1823"/>
      <c r="E34" s="1849" t="s">
        <v>377</v>
      </c>
      <c r="F34" s="1850"/>
      <c r="G34" s="1850"/>
      <c r="H34" s="1851"/>
      <c r="I34" s="452"/>
      <c r="J34" s="452"/>
      <c r="K34" s="452"/>
      <c r="L34" s="452"/>
      <c r="M34" s="787"/>
      <c r="N34" s="1632"/>
    </row>
    <row r="35" spans="1:14" ht="25.15" customHeight="1" thickBot="1">
      <c r="A35" s="1835"/>
      <c r="B35" s="1821"/>
      <c r="C35" s="1822"/>
      <c r="D35" s="1793"/>
      <c r="E35" s="459" t="s">
        <v>444</v>
      </c>
      <c r="F35" s="460"/>
      <c r="G35" s="460"/>
      <c r="H35" s="460"/>
      <c r="I35" s="461"/>
      <c r="J35" s="461"/>
      <c r="K35" s="461"/>
      <c r="L35" s="461"/>
      <c r="M35" s="790"/>
      <c r="N35" s="1635"/>
    </row>
    <row r="36" spans="1:14" ht="25.15" customHeight="1">
      <c r="A36" s="1812" t="s">
        <v>419</v>
      </c>
      <c r="B36" s="1815" t="s">
        <v>913</v>
      </c>
      <c r="C36" s="1816"/>
      <c r="D36" s="1823" t="s">
        <v>232</v>
      </c>
      <c r="E36" s="1859" t="s">
        <v>928</v>
      </c>
      <c r="F36" s="1859"/>
      <c r="G36" s="1859"/>
      <c r="H36" s="1859"/>
      <c r="I36" s="454"/>
      <c r="J36" s="454"/>
      <c r="K36" s="454">
        <f>'2.mell. '!E77</f>
        <v>41576</v>
      </c>
      <c r="L36" s="454">
        <f>'2.mell. '!F77</f>
        <v>41576</v>
      </c>
      <c r="M36" s="789">
        <f>'2.mell. '!G77</f>
        <v>41576</v>
      </c>
      <c r="N36" s="1634">
        <f>'2.mell. '!H77</f>
        <v>0</v>
      </c>
    </row>
    <row r="37" spans="1:14" ht="25.15" customHeight="1">
      <c r="A37" s="1813"/>
      <c r="B37" s="1817"/>
      <c r="C37" s="1818"/>
      <c r="D37" s="1823"/>
      <c r="E37" s="1858" t="s">
        <v>929</v>
      </c>
      <c r="F37" s="1858"/>
      <c r="G37" s="1858"/>
      <c r="H37" s="1858"/>
      <c r="I37" s="452"/>
      <c r="J37" s="452"/>
      <c r="K37" s="452">
        <f>'2.mell. '!E105</f>
        <v>9899</v>
      </c>
      <c r="L37" s="452">
        <f>'2.mell. '!F105</f>
        <v>9899</v>
      </c>
      <c r="M37" s="787">
        <f>'2.mell. '!G105</f>
        <v>9899</v>
      </c>
      <c r="N37" s="1632">
        <f>'2.mell. '!H105</f>
        <v>0</v>
      </c>
    </row>
    <row r="38" spans="1:14" ht="25.15" customHeight="1">
      <c r="A38" s="1813"/>
      <c r="B38" s="1819"/>
      <c r="C38" s="1820"/>
      <c r="D38" s="1824" t="s">
        <v>233</v>
      </c>
      <c r="E38" s="1858" t="s">
        <v>234</v>
      </c>
      <c r="F38" s="1858"/>
      <c r="G38" s="1858"/>
      <c r="H38" s="1858"/>
      <c r="I38" s="452"/>
      <c r="J38" s="452"/>
      <c r="K38" s="452">
        <f>'6.mell.'!E421</f>
        <v>32237</v>
      </c>
      <c r="L38" s="452">
        <f>'6.mell.'!F421</f>
        <v>32237</v>
      </c>
      <c r="M38" s="787">
        <v>32237</v>
      </c>
      <c r="N38" s="1632">
        <v>18960</v>
      </c>
    </row>
    <row r="39" spans="1:14" ht="25.15" customHeight="1">
      <c r="A39" s="1813"/>
      <c r="B39" s="1819"/>
      <c r="C39" s="1820"/>
      <c r="D39" s="1823"/>
      <c r="E39" s="1858" t="s">
        <v>443</v>
      </c>
      <c r="F39" s="1858"/>
      <c r="G39" s="1858"/>
      <c r="H39" s="1858"/>
      <c r="I39" s="452"/>
      <c r="J39" s="452"/>
      <c r="K39" s="452">
        <f>'6.mell.'!E422</f>
        <v>4191</v>
      </c>
      <c r="L39" s="452">
        <f>'6.mell.'!F422</f>
        <v>4191</v>
      </c>
      <c r="M39" s="787">
        <v>4191</v>
      </c>
      <c r="N39" s="1632">
        <v>2451</v>
      </c>
    </row>
    <row r="40" spans="1:14" ht="25.15" customHeight="1">
      <c r="A40" s="1813"/>
      <c r="B40" s="1819"/>
      <c r="C40" s="1820"/>
      <c r="D40" s="1823"/>
      <c r="E40" s="1858" t="s">
        <v>235</v>
      </c>
      <c r="F40" s="1858"/>
      <c r="G40" s="1858"/>
      <c r="H40" s="1858"/>
      <c r="I40" s="452"/>
      <c r="J40" s="452">
        <f>'6.mell.'!D423</f>
        <v>1638</v>
      </c>
      <c r="K40" s="452">
        <f>'6.mell.'!E423</f>
        <v>6786</v>
      </c>
      <c r="L40" s="452">
        <f>'6.mell.'!F423</f>
        <v>6786</v>
      </c>
      <c r="M40" s="787">
        <f>'6.mell.'!G423</f>
        <v>6786</v>
      </c>
      <c r="N40" s="1632">
        <f>'6.mell.'!H423</f>
        <v>1972</v>
      </c>
    </row>
    <row r="41" spans="1:14" ht="25.15" customHeight="1">
      <c r="A41" s="1813"/>
      <c r="B41" s="1819"/>
      <c r="C41" s="1820"/>
      <c r="D41" s="1823"/>
      <c r="E41" s="1858" t="s">
        <v>71</v>
      </c>
      <c r="F41" s="1858"/>
      <c r="G41" s="1858"/>
      <c r="H41" s="1858"/>
      <c r="I41" s="452"/>
      <c r="J41" s="452"/>
      <c r="K41" s="452"/>
      <c r="L41" s="452"/>
      <c r="M41" s="787"/>
      <c r="N41" s="1632"/>
    </row>
    <row r="42" spans="1:14" ht="25.15" customHeight="1">
      <c r="A42" s="1813"/>
      <c r="B42" s="1819"/>
      <c r="C42" s="1820"/>
      <c r="D42" s="1823"/>
      <c r="E42" s="1858" t="s">
        <v>376</v>
      </c>
      <c r="F42" s="1858"/>
      <c r="G42" s="1858"/>
      <c r="H42" s="1858"/>
      <c r="I42" s="452"/>
      <c r="J42" s="452"/>
      <c r="K42" s="452">
        <f>'6.mell.'!E426</f>
        <v>9899</v>
      </c>
      <c r="L42" s="452">
        <f>'6.mell.'!F426</f>
        <v>9899</v>
      </c>
      <c r="M42" s="787">
        <f>'6.mell.'!G426</f>
        <v>9899</v>
      </c>
      <c r="N42" s="1632">
        <f>'6.mell.'!H426</f>
        <v>0</v>
      </c>
    </row>
    <row r="43" spans="1:14" ht="25.15" customHeight="1">
      <c r="A43" s="1813"/>
      <c r="B43" s="1819"/>
      <c r="C43" s="1820"/>
      <c r="D43" s="1823"/>
      <c r="E43" s="1858" t="s">
        <v>377</v>
      </c>
      <c r="F43" s="1858"/>
      <c r="G43" s="1858"/>
      <c r="H43" s="1858"/>
      <c r="I43" s="452"/>
      <c r="J43" s="452"/>
      <c r="K43" s="452"/>
      <c r="L43" s="452"/>
      <c r="M43" s="787"/>
      <c r="N43" s="1632"/>
    </row>
    <row r="44" spans="1:14" ht="25.15" customHeight="1" thickBot="1">
      <c r="A44" s="1814"/>
      <c r="B44" s="1821"/>
      <c r="C44" s="1822"/>
      <c r="D44" s="1793"/>
      <c r="E44" s="459" t="s">
        <v>444</v>
      </c>
      <c r="F44" s="460"/>
      <c r="G44" s="460"/>
      <c r="H44" s="460"/>
      <c r="I44" s="453"/>
      <c r="J44" s="453"/>
      <c r="K44" s="453"/>
      <c r="L44" s="453"/>
      <c r="M44" s="788"/>
      <c r="N44" s="1633"/>
    </row>
    <row r="45" spans="1:14" ht="25.15" customHeight="1">
      <c r="A45" s="1826" t="s">
        <v>130</v>
      </c>
      <c r="B45" s="1827"/>
      <c r="C45" s="1828"/>
      <c r="D45" s="1825" t="s">
        <v>232</v>
      </c>
      <c r="E45" s="1859" t="s">
        <v>441</v>
      </c>
      <c r="F45" s="1859"/>
      <c r="G45" s="1859"/>
      <c r="H45" s="1859"/>
      <c r="I45" s="462">
        <v>0</v>
      </c>
      <c r="J45" s="462">
        <v>0</v>
      </c>
      <c r="K45" s="462">
        <f t="shared" ref="K45:M46" si="0">K18</f>
        <v>0</v>
      </c>
      <c r="L45" s="462">
        <f t="shared" si="0"/>
        <v>0</v>
      </c>
      <c r="M45" s="791">
        <f t="shared" si="0"/>
        <v>0</v>
      </c>
      <c r="N45" s="791">
        <f t="shared" ref="N45" si="1">N18</f>
        <v>0</v>
      </c>
    </row>
    <row r="46" spans="1:14" ht="25.15" customHeight="1">
      <c r="A46" s="1829"/>
      <c r="B46" s="1830"/>
      <c r="C46" s="1831"/>
      <c r="D46" s="1810"/>
      <c r="E46" s="1858" t="s">
        <v>442</v>
      </c>
      <c r="F46" s="1858"/>
      <c r="G46" s="1858"/>
      <c r="H46" s="1858"/>
      <c r="I46" s="392"/>
      <c r="J46" s="392"/>
      <c r="K46" s="393">
        <f t="shared" si="0"/>
        <v>0</v>
      </c>
      <c r="L46" s="393">
        <f t="shared" si="0"/>
        <v>0</v>
      </c>
      <c r="M46" s="792">
        <f t="shared" si="0"/>
        <v>0</v>
      </c>
      <c r="N46" s="792">
        <f t="shared" ref="N46" si="2">N19</f>
        <v>0</v>
      </c>
    </row>
    <row r="47" spans="1:14" ht="25.15" customHeight="1">
      <c r="A47" s="1829"/>
      <c r="B47" s="1830"/>
      <c r="C47" s="1831"/>
      <c r="D47" s="1810"/>
      <c r="E47" s="1858" t="s">
        <v>928</v>
      </c>
      <c r="F47" s="1858"/>
      <c r="G47" s="1858"/>
      <c r="H47" s="1858"/>
      <c r="I47" s="382"/>
      <c r="J47" s="382"/>
      <c r="K47" s="382">
        <f t="shared" ref="K47:M48" si="3">K9+K27+K36</f>
        <v>44249</v>
      </c>
      <c r="L47" s="382">
        <f t="shared" si="3"/>
        <v>44249</v>
      </c>
      <c r="M47" s="793">
        <f t="shared" si="3"/>
        <v>42796</v>
      </c>
      <c r="N47" s="793">
        <f t="shared" ref="N47" si="4">N9+N27+N36</f>
        <v>1220</v>
      </c>
    </row>
    <row r="48" spans="1:14" ht="25.15" customHeight="1" thickBot="1">
      <c r="A48" s="1829"/>
      <c r="B48" s="1830"/>
      <c r="C48" s="1831"/>
      <c r="D48" s="1811"/>
      <c r="E48" s="1866" t="s">
        <v>929</v>
      </c>
      <c r="F48" s="1866"/>
      <c r="G48" s="1866"/>
      <c r="H48" s="1866"/>
      <c r="I48" s="381"/>
      <c r="J48" s="381"/>
      <c r="K48" s="381">
        <f t="shared" si="3"/>
        <v>9899</v>
      </c>
      <c r="L48" s="381">
        <f t="shared" si="3"/>
        <v>9899</v>
      </c>
      <c r="M48" s="794">
        <f t="shared" si="3"/>
        <v>9899</v>
      </c>
      <c r="N48" s="794">
        <f t="shared" ref="N48" si="5">N10+N28+N37</f>
        <v>0</v>
      </c>
    </row>
    <row r="49" spans="1:14" ht="25.15" customHeight="1">
      <c r="A49" s="1829"/>
      <c r="B49" s="1830"/>
      <c r="C49" s="1831"/>
      <c r="D49" s="1810" t="s">
        <v>233</v>
      </c>
      <c r="E49" s="1865" t="s">
        <v>234</v>
      </c>
      <c r="F49" s="1865"/>
      <c r="G49" s="1865"/>
      <c r="H49" s="1865"/>
      <c r="I49" s="382">
        <f t="shared" ref="I49:J56" si="6">I29</f>
        <v>0</v>
      </c>
      <c r="J49" s="382">
        <f>J20+J29+J38</f>
        <v>0</v>
      </c>
      <c r="K49" s="382">
        <f>K11+K20+K29+K38</f>
        <v>34603</v>
      </c>
      <c r="L49" s="382">
        <f>L11+L20+L29+L38</f>
        <v>34603</v>
      </c>
      <c r="M49" s="793">
        <f>M11+M20+M29+M38</f>
        <v>33225</v>
      </c>
      <c r="N49" s="793">
        <f>N11+N20+N29+N38</f>
        <v>19948</v>
      </c>
    </row>
    <row r="50" spans="1:14" ht="25.15" customHeight="1">
      <c r="A50" s="1829"/>
      <c r="B50" s="1830"/>
      <c r="C50" s="1831"/>
      <c r="D50" s="1810"/>
      <c r="E50" s="1858" t="s">
        <v>443</v>
      </c>
      <c r="F50" s="1858"/>
      <c r="G50" s="1858"/>
      <c r="H50" s="1858"/>
      <c r="I50" s="382">
        <f t="shared" si="6"/>
        <v>0</v>
      </c>
      <c r="J50" s="382">
        <f t="shared" ref="J50:J53" si="7">J21+J30+J39</f>
        <v>0</v>
      </c>
      <c r="K50" s="382">
        <f t="shared" ref="K50:L54" si="8">K12+K21+K30+K39</f>
        <v>4498</v>
      </c>
      <c r="L50" s="382">
        <f t="shared" si="8"/>
        <v>4498</v>
      </c>
      <c r="M50" s="793">
        <f t="shared" ref="M50:N50" si="9">M12+M21+M30+M39</f>
        <v>4320</v>
      </c>
      <c r="N50" s="793">
        <f t="shared" si="9"/>
        <v>2580</v>
      </c>
    </row>
    <row r="51" spans="1:14" ht="25.15" customHeight="1">
      <c r="A51" s="1829"/>
      <c r="B51" s="1830"/>
      <c r="C51" s="1831"/>
      <c r="D51" s="1810"/>
      <c r="E51" s="1858" t="s">
        <v>235</v>
      </c>
      <c r="F51" s="1858"/>
      <c r="G51" s="1858"/>
      <c r="H51" s="1858"/>
      <c r="I51" s="382">
        <f t="shared" si="6"/>
        <v>0</v>
      </c>
      <c r="J51" s="382">
        <f t="shared" si="7"/>
        <v>1738</v>
      </c>
      <c r="K51" s="382">
        <f t="shared" si="8"/>
        <v>6886</v>
      </c>
      <c r="L51" s="382">
        <f t="shared" si="8"/>
        <v>6886</v>
      </c>
      <c r="M51" s="793">
        <f t="shared" ref="M51:N51" si="10">M13+M22+M31+M40</f>
        <v>6989</v>
      </c>
      <c r="N51" s="793">
        <f t="shared" si="10"/>
        <v>1972</v>
      </c>
    </row>
    <row r="52" spans="1:14" ht="25.15" customHeight="1">
      <c r="A52" s="1829"/>
      <c r="B52" s="1830"/>
      <c r="C52" s="1831"/>
      <c r="D52" s="1810"/>
      <c r="E52" s="1858" t="s">
        <v>71</v>
      </c>
      <c r="F52" s="1858"/>
      <c r="G52" s="1858"/>
      <c r="H52" s="1858"/>
      <c r="I52" s="382">
        <f t="shared" si="6"/>
        <v>0</v>
      </c>
      <c r="J52" s="382">
        <f t="shared" si="7"/>
        <v>0</v>
      </c>
      <c r="K52" s="382">
        <f t="shared" si="8"/>
        <v>0</v>
      </c>
      <c r="L52" s="382">
        <f t="shared" si="8"/>
        <v>0</v>
      </c>
      <c r="M52" s="793">
        <f t="shared" ref="M52:N52" si="11">M14+M23+M32+M41</f>
        <v>0</v>
      </c>
      <c r="N52" s="793">
        <f t="shared" si="11"/>
        <v>0</v>
      </c>
    </row>
    <row r="53" spans="1:14" ht="25.15" customHeight="1">
      <c r="A53" s="1829"/>
      <c r="B53" s="1830"/>
      <c r="C53" s="1831"/>
      <c r="D53" s="1810"/>
      <c r="E53" s="1858" t="s">
        <v>72</v>
      </c>
      <c r="F53" s="1858"/>
      <c r="G53" s="1858"/>
      <c r="H53" s="1858"/>
      <c r="I53" s="382">
        <f t="shared" si="6"/>
        <v>0</v>
      </c>
      <c r="J53" s="382">
        <f t="shared" si="7"/>
        <v>0</v>
      </c>
      <c r="K53" s="382">
        <v>0</v>
      </c>
      <c r="L53" s="382">
        <v>0</v>
      </c>
      <c r="M53" s="793">
        <v>0</v>
      </c>
      <c r="N53" s="793">
        <v>0</v>
      </c>
    </row>
    <row r="54" spans="1:14" ht="25.15" customHeight="1">
      <c r="A54" s="1829"/>
      <c r="B54" s="1830"/>
      <c r="C54" s="1831"/>
      <c r="D54" s="1810"/>
      <c r="E54" s="1858" t="s">
        <v>377</v>
      </c>
      <c r="F54" s="1858"/>
      <c r="G54" s="1858"/>
      <c r="H54" s="1858"/>
      <c r="I54" s="382">
        <f t="shared" si="6"/>
        <v>0</v>
      </c>
      <c r="J54" s="382">
        <f>J25+J34+J43</f>
        <v>0</v>
      </c>
      <c r="K54" s="382">
        <f t="shared" si="8"/>
        <v>0</v>
      </c>
      <c r="L54" s="382">
        <f t="shared" si="8"/>
        <v>0</v>
      </c>
      <c r="M54" s="793">
        <f t="shared" ref="M54:N54" si="12">M16+M25+M34+M43</f>
        <v>0</v>
      </c>
      <c r="N54" s="793">
        <f t="shared" si="12"/>
        <v>0</v>
      </c>
    </row>
    <row r="55" spans="1:14" ht="25.15" customHeight="1">
      <c r="A55" s="1829"/>
      <c r="B55" s="1830"/>
      <c r="C55" s="1831"/>
      <c r="D55" s="1810"/>
      <c r="E55" s="456" t="s">
        <v>444</v>
      </c>
      <c r="F55" s="455"/>
      <c r="G55" s="455"/>
      <c r="H55" s="455"/>
      <c r="I55" s="382">
        <f t="shared" si="6"/>
        <v>0</v>
      </c>
      <c r="J55" s="382">
        <f t="shared" si="6"/>
        <v>0</v>
      </c>
      <c r="K55" s="463">
        <f t="shared" ref="K55:L55" si="13">K35</f>
        <v>0</v>
      </c>
      <c r="L55" s="463">
        <f t="shared" si="13"/>
        <v>0</v>
      </c>
      <c r="M55" s="795">
        <f t="shared" ref="M55:N55" si="14">M35</f>
        <v>0</v>
      </c>
      <c r="N55" s="795">
        <f t="shared" si="14"/>
        <v>0</v>
      </c>
    </row>
    <row r="56" spans="1:14" ht="25.15" customHeight="1">
      <c r="A56" s="1829"/>
      <c r="B56" s="1830"/>
      <c r="C56" s="1831"/>
      <c r="D56" s="1810"/>
      <c r="E56" s="1849" t="s">
        <v>376</v>
      </c>
      <c r="F56" s="1850"/>
      <c r="G56" s="1850"/>
      <c r="H56" s="1851"/>
      <c r="I56" s="382">
        <f t="shared" si="6"/>
        <v>0</v>
      </c>
      <c r="J56" s="382">
        <f>J24+J33+J42</f>
        <v>0</v>
      </c>
      <c r="K56" s="382">
        <f>K42</f>
        <v>9899</v>
      </c>
      <c r="L56" s="382">
        <f>L42</f>
        <v>9899</v>
      </c>
      <c r="M56" s="793">
        <f>M42</f>
        <v>9899</v>
      </c>
      <c r="N56" s="793">
        <f>N42</f>
        <v>0</v>
      </c>
    </row>
    <row r="57" spans="1:14" ht="25.15" customHeight="1" thickBot="1">
      <c r="A57" s="1832"/>
      <c r="B57" s="1833"/>
      <c r="C57" s="1834"/>
      <c r="D57" s="1811"/>
      <c r="E57" s="457" t="s">
        <v>444</v>
      </c>
      <c r="F57" s="458"/>
      <c r="G57" s="458"/>
      <c r="H57" s="458"/>
      <c r="I57" s="380"/>
      <c r="J57" s="380"/>
      <c r="K57" s="464">
        <v>0</v>
      </c>
      <c r="L57" s="464">
        <v>0</v>
      </c>
      <c r="M57" s="796">
        <v>0</v>
      </c>
      <c r="N57" s="796">
        <v>0</v>
      </c>
    </row>
    <row r="58" spans="1:14" ht="13.7" customHeight="1">
      <c r="A58" s="213"/>
      <c r="B58" s="214"/>
      <c r="C58" s="214"/>
      <c r="D58" s="215"/>
      <c r="E58" s="212"/>
      <c r="F58" s="212"/>
      <c r="G58" s="212"/>
      <c r="H58" s="212"/>
    </row>
    <row r="63" spans="1:14">
      <c r="D63" s="209" t="s">
        <v>1115</v>
      </c>
    </row>
  </sheetData>
  <mergeCells count="75">
    <mergeCell ref="A1:M1"/>
    <mergeCell ref="A3:M3"/>
    <mergeCell ref="E54:H54"/>
    <mergeCell ref="E56:H56"/>
    <mergeCell ref="E28:H28"/>
    <mergeCell ref="E49:H49"/>
    <mergeCell ref="E50:H50"/>
    <mergeCell ref="E51:H51"/>
    <mergeCell ref="E52:H52"/>
    <mergeCell ref="E53:H53"/>
    <mergeCell ref="E43:H43"/>
    <mergeCell ref="E45:H45"/>
    <mergeCell ref="E46:H46"/>
    <mergeCell ref="E47:H47"/>
    <mergeCell ref="E48:H48"/>
    <mergeCell ref="E38:H38"/>
    <mergeCell ref="E39:H39"/>
    <mergeCell ref="E40:H40"/>
    <mergeCell ref="E41:H41"/>
    <mergeCell ref="E42:H42"/>
    <mergeCell ref="E36:H36"/>
    <mergeCell ref="E37:H37"/>
    <mergeCell ref="E34:H34"/>
    <mergeCell ref="E17:H17"/>
    <mergeCell ref="E29:H29"/>
    <mergeCell ref="E30:H30"/>
    <mergeCell ref="E31:H31"/>
    <mergeCell ref="E24:H24"/>
    <mergeCell ref="E25:H25"/>
    <mergeCell ref="E26:H26"/>
    <mergeCell ref="E12:H12"/>
    <mergeCell ref="E13:H13"/>
    <mergeCell ref="E27:H27"/>
    <mergeCell ref="E32:H32"/>
    <mergeCell ref="E33:H33"/>
    <mergeCell ref="A27:A35"/>
    <mergeCell ref="B27:C35"/>
    <mergeCell ref="D27:D28"/>
    <mergeCell ref="D29:D35"/>
    <mergeCell ref="A18:A26"/>
    <mergeCell ref="B18:C26"/>
    <mergeCell ref="D18:D19"/>
    <mergeCell ref="D20:D26"/>
    <mergeCell ref="A9:A17"/>
    <mergeCell ref="B9:C17"/>
    <mergeCell ref="D9:D10"/>
    <mergeCell ref="D11:D17"/>
    <mergeCell ref="E23:H23"/>
    <mergeCell ref="E19:H19"/>
    <mergeCell ref="E20:H20"/>
    <mergeCell ref="E21:H21"/>
    <mergeCell ref="E22:H22"/>
    <mergeCell ref="E14:H14"/>
    <mergeCell ref="E15:H15"/>
    <mergeCell ref="E16:H16"/>
    <mergeCell ref="E18:H18"/>
    <mergeCell ref="E9:H9"/>
    <mergeCell ref="E10:H10"/>
    <mergeCell ref="E11:H11"/>
    <mergeCell ref="D49:D57"/>
    <mergeCell ref="A36:A44"/>
    <mergeCell ref="B36:C44"/>
    <mergeCell ref="D36:D37"/>
    <mergeCell ref="D38:D44"/>
    <mergeCell ref="D45:D48"/>
    <mergeCell ref="A45:C57"/>
    <mergeCell ref="N7:N8"/>
    <mergeCell ref="M7:M8"/>
    <mergeCell ref="L7:L8"/>
    <mergeCell ref="A7:A8"/>
    <mergeCell ref="B7:C8"/>
    <mergeCell ref="D7:H8"/>
    <mergeCell ref="K7:K8"/>
    <mergeCell ref="J7:J8"/>
    <mergeCell ref="I7:I8"/>
  </mergeCells>
  <printOptions horizontalCentered="1"/>
  <pageMargins left="1.3779527559055118" right="1.3779527559055118" top="0.31496062992125984" bottom="0" header="0.51181102362204722" footer="0.11811023622047245"/>
  <pageSetup paperSize="9" scale="61" firstPageNumber="49" fitToHeight="0" orientation="landscape" useFirstPageNumber="1" r:id="rId1"/>
  <headerFooter alignWithMargins="0">
    <oddFooter>&amp;C&amp;P. oldal</oddFooter>
  </headerFooter>
  <rowBreaks count="1" manualBreakCount="1">
    <brk id="35" max="1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4"/>
  <sheetViews>
    <sheetView zoomScaleNormal="100" zoomScaleSheetLayoutView="100" workbookViewId="0">
      <selection activeCell="I7" sqref="I7"/>
    </sheetView>
  </sheetViews>
  <sheetFormatPr defaultColWidth="9.140625" defaultRowHeight="12.75"/>
  <cols>
    <col min="1" max="1" width="6.85546875" style="219" customWidth="1"/>
    <col min="2" max="4" width="9.140625" style="219"/>
    <col min="5" max="5" width="23.5703125" style="219" customWidth="1"/>
    <col min="6" max="6" width="20.85546875" style="219" customWidth="1"/>
    <col min="7" max="7" width="13.5703125" style="219" customWidth="1"/>
    <col min="8" max="8" width="21.140625" style="219" customWidth="1"/>
    <col min="9" max="9" width="15.42578125" style="219" customWidth="1"/>
    <col min="10" max="16384" width="9.140625" style="219"/>
  </cols>
  <sheetData>
    <row r="2" spans="1:9" ht="15.75">
      <c r="A2" s="1867" t="s">
        <v>1132</v>
      </c>
      <c r="B2" s="1867"/>
      <c r="C2" s="1867"/>
      <c r="D2" s="1867"/>
      <c r="E2" s="1867"/>
      <c r="F2" s="1868"/>
      <c r="G2" s="1868"/>
      <c r="H2" s="1868"/>
      <c r="I2" s="1868"/>
    </row>
    <row r="3" spans="1:9" ht="18" customHeight="1">
      <c r="A3" s="1867" t="s">
        <v>970</v>
      </c>
      <c r="B3" s="1867"/>
      <c r="C3" s="1867"/>
      <c r="D3" s="1867"/>
      <c r="E3" s="1867"/>
      <c r="F3" s="1868"/>
      <c r="G3" s="1868"/>
      <c r="H3" s="1868"/>
      <c r="I3" s="1868"/>
    </row>
    <row r="7" spans="1:9" ht="16.5" customHeight="1" thickBot="1">
      <c r="I7" s="1401" t="s">
        <v>1353</v>
      </c>
    </row>
    <row r="8" spans="1:9" ht="21.75" customHeight="1">
      <c r="A8" s="1869" t="s">
        <v>217</v>
      </c>
      <c r="B8" s="1871" t="s">
        <v>485</v>
      </c>
      <c r="C8" s="1871"/>
      <c r="D8" s="1871"/>
      <c r="E8" s="1871"/>
      <c r="F8" s="1873" t="s">
        <v>486</v>
      </c>
      <c r="G8" s="1874"/>
      <c r="H8" s="1873" t="s">
        <v>487</v>
      </c>
      <c r="I8" s="1875"/>
    </row>
    <row r="9" spans="1:9" ht="27" customHeight="1" thickBot="1">
      <c r="A9" s="1870"/>
      <c r="B9" s="1872"/>
      <c r="C9" s="1872"/>
      <c r="D9" s="1872"/>
      <c r="E9" s="1872"/>
      <c r="F9" s="1399" t="s">
        <v>488</v>
      </c>
      <c r="G9" s="1399" t="s">
        <v>489</v>
      </c>
      <c r="H9" s="1399" t="s">
        <v>488</v>
      </c>
      <c r="I9" s="1400" t="s">
        <v>489</v>
      </c>
    </row>
    <row r="10" spans="1:9" ht="21.95" customHeight="1">
      <c r="A10" s="1118" t="s">
        <v>120</v>
      </c>
      <c r="B10" s="220" t="s">
        <v>490</v>
      </c>
      <c r="C10" s="1119"/>
      <c r="D10" s="1119"/>
      <c r="E10" s="1119"/>
      <c r="F10" s="220" t="s">
        <v>491</v>
      </c>
      <c r="G10" s="221">
        <v>51</v>
      </c>
      <c r="H10" s="222" t="s">
        <v>492</v>
      </c>
      <c r="I10" s="1120">
        <v>584442</v>
      </c>
    </row>
    <row r="11" spans="1:9" ht="21.95" customHeight="1">
      <c r="A11" s="1118" t="s">
        <v>121</v>
      </c>
      <c r="B11" s="220" t="s">
        <v>493</v>
      </c>
      <c r="C11" s="1119"/>
      <c r="D11" s="1119"/>
      <c r="E11" s="1119"/>
      <c r="F11" s="220" t="s">
        <v>491</v>
      </c>
      <c r="G11" s="221">
        <v>143</v>
      </c>
      <c r="H11" s="222" t="s">
        <v>492</v>
      </c>
      <c r="I11" s="1120">
        <v>57738</v>
      </c>
    </row>
    <row r="12" spans="1:9" ht="21.95" customHeight="1">
      <c r="A12" s="1118" t="s">
        <v>122</v>
      </c>
      <c r="B12" s="1119" t="s">
        <v>494</v>
      </c>
      <c r="C12" s="1119"/>
      <c r="D12" s="1119"/>
      <c r="E12" s="1119"/>
      <c r="F12" s="220"/>
      <c r="G12" s="221"/>
      <c r="H12" s="222" t="s">
        <v>495</v>
      </c>
      <c r="I12" s="1120">
        <v>45</v>
      </c>
    </row>
    <row r="13" spans="1:9" ht="21.95" customHeight="1">
      <c r="A13" s="1118" t="s">
        <v>419</v>
      </c>
      <c r="B13" s="1119" t="s">
        <v>496</v>
      </c>
      <c r="C13" s="1119"/>
      <c r="D13" s="1119"/>
      <c r="E13" s="1119"/>
      <c r="F13" s="220"/>
      <c r="G13" s="221"/>
      <c r="H13" s="222" t="s">
        <v>495</v>
      </c>
      <c r="I13" s="1120">
        <v>8365</v>
      </c>
    </row>
    <row r="14" spans="1:9" ht="21.95" customHeight="1" thickBot="1">
      <c r="A14" s="1121" t="s">
        <v>420</v>
      </c>
      <c r="B14" s="1122" t="s">
        <v>714</v>
      </c>
      <c r="C14" s="1122"/>
      <c r="D14" s="1122"/>
      <c r="E14" s="1122"/>
      <c r="F14" s="1123"/>
      <c r="G14" s="1124"/>
      <c r="H14" s="1125" t="s">
        <v>497</v>
      </c>
      <c r="I14" s="1126">
        <v>106342</v>
      </c>
    </row>
  </sheetData>
  <mergeCells count="6">
    <mergeCell ref="A2:I2"/>
    <mergeCell ref="A3:I3"/>
    <mergeCell ref="A8:A9"/>
    <mergeCell ref="B8:E9"/>
    <mergeCell ref="F8:G8"/>
    <mergeCell ref="H8:I8"/>
  </mergeCells>
  <pageMargins left="0.78740157480314965" right="0.39370078740157483" top="0.98425196850393704" bottom="0.98425196850393704" header="0.51181102362204722" footer="0.51181102362204722"/>
  <pageSetup paperSize="9" scale="99" firstPageNumber="53" orientation="landscape" useFirstPageNumber="1" r:id="rId1"/>
  <headerFooter alignWithMargins="0">
    <oddFooter>&amp;C&amp;P.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J58"/>
  <sheetViews>
    <sheetView zoomScaleNormal="100" workbookViewId="0">
      <selection activeCell="J19" sqref="J19"/>
    </sheetView>
  </sheetViews>
  <sheetFormatPr defaultColWidth="9.140625" defaultRowHeight="12.75"/>
  <cols>
    <col min="1" max="1" width="4.85546875" style="216" customWidth="1"/>
    <col min="2" max="2" width="14.140625" style="216" customWidth="1"/>
    <col min="3" max="3" width="13.85546875" style="216" customWidth="1"/>
    <col min="4" max="4" width="14.140625" style="216" customWidth="1"/>
    <col min="5" max="5" width="17.5703125" style="216" customWidth="1"/>
    <col min="6" max="10" width="12.140625" style="216" customWidth="1"/>
    <col min="11" max="16384" width="9.140625" style="216"/>
  </cols>
  <sheetData>
    <row r="2" spans="1:10">
      <c r="B2" s="1904" t="s">
        <v>1133</v>
      </c>
      <c r="C2" s="1904"/>
      <c r="D2" s="1904"/>
      <c r="E2" s="1904"/>
      <c r="F2" s="1904"/>
      <c r="G2" s="1904"/>
      <c r="H2" s="1904"/>
      <c r="I2" s="1904"/>
      <c r="J2" s="1904"/>
    </row>
    <row r="4" spans="1:10">
      <c r="B4" s="1905" t="s">
        <v>1151</v>
      </c>
      <c r="C4" s="1906"/>
      <c r="D4" s="1906"/>
      <c r="E4" s="1906"/>
      <c r="F4" s="1906"/>
      <c r="G4" s="1906"/>
      <c r="H4" s="1906"/>
      <c r="I4" s="1906"/>
      <c r="J4" s="1906"/>
    </row>
    <row r="5" spans="1:10">
      <c r="B5" s="217"/>
    </row>
    <row r="6" spans="1:10">
      <c r="B6" s="217"/>
    </row>
    <row r="7" spans="1:10" ht="13.5" thickBot="1">
      <c r="J7" s="1637" t="s">
        <v>1526</v>
      </c>
    </row>
    <row r="8" spans="1:10" ht="12.75" customHeight="1">
      <c r="A8" s="1876" t="s">
        <v>445</v>
      </c>
      <c r="B8" s="1879" t="s">
        <v>1149</v>
      </c>
      <c r="C8" s="1880"/>
      <c r="D8" s="1881"/>
      <c r="E8" s="1888" t="s">
        <v>1147</v>
      </c>
      <c r="F8" s="1891" t="s">
        <v>446</v>
      </c>
      <c r="G8" s="1892"/>
      <c r="H8" s="1893"/>
      <c r="I8" s="1893"/>
      <c r="J8" s="975"/>
    </row>
    <row r="9" spans="1:10" ht="12.75" customHeight="1">
      <c r="A9" s="1877"/>
      <c r="B9" s="1882"/>
      <c r="C9" s="1883"/>
      <c r="D9" s="1884"/>
      <c r="E9" s="1889"/>
      <c r="F9" s="1894" t="s">
        <v>447</v>
      </c>
      <c r="G9" s="1895"/>
      <c r="H9" s="1894" t="s">
        <v>448</v>
      </c>
      <c r="I9" s="1896"/>
      <c r="J9" s="1909" t="s">
        <v>449</v>
      </c>
    </row>
    <row r="10" spans="1:10" ht="12.75" customHeight="1">
      <c r="A10" s="1877"/>
      <c r="B10" s="1882"/>
      <c r="C10" s="1883"/>
      <c r="D10" s="1884"/>
      <c r="E10" s="1889"/>
      <c r="F10" s="1897" t="s">
        <v>450</v>
      </c>
      <c r="G10" s="1899" t="s">
        <v>451</v>
      </c>
      <c r="H10" s="1897" t="s">
        <v>452</v>
      </c>
      <c r="I10" s="1897" t="s">
        <v>453</v>
      </c>
      <c r="J10" s="1910"/>
    </row>
    <row r="11" spans="1:10" ht="37.5" customHeight="1" thickBot="1">
      <c r="A11" s="1878"/>
      <c r="B11" s="1885"/>
      <c r="C11" s="1886"/>
      <c r="D11" s="1887"/>
      <c r="E11" s="1890"/>
      <c r="F11" s="1898"/>
      <c r="G11" s="1900"/>
      <c r="H11" s="1898"/>
      <c r="I11" s="1898"/>
      <c r="J11" s="1911"/>
    </row>
    <row r="12" spans="1:10">
      <c r="A12" s="1919"/>
      <c r="B12" s="1921" t="s">
        <v>454</v>
      </c>
      <c r="C12" s="1922"/>
      <c r="D12" s="1923"/>
      <c r="E12" s="1912"/>
      <c r="F12" s="1912"/>
      <c r="G12" s="1912"/>
      <c r="H12" s="1912"/>
      <c r="I12" s="1912"/>
      <c r="J12" s="1907"/>
    </row>
    <row r="13" spans="1:10">
      <c r="A13" s="1920"/>
      <c r="B13" s="1924"/>
      <c r="C13" s="1925"/>
      <c r="D13" s="1926"/>
      <c r="E13" s="1913"/>
      <c r="F13" s="1913"/>
      <c r="G13" s="1913"/>
      <c r="H13" s="1913"/>
      <c r="I13" s="1913"/>
      <c r="J13" s="1908"/>
    </row>
    <row r="14" spans="1:10" ht="19.899999999999999" customHeight="1">
      <c r="A14" s="1127" t="s">
        <v>120</v>
      </c>
      <c r="B14" s="1901" t="s">
        <v>1136</v>
      </c>
      <c r="C14" s="1902"/>
      <c r="D14" s="1903"/>
      <c r="E14" s="1213">
        <v>15.9</v>
      </c>
      <c r="F14" s="1213">
        <v>15.9</v>
      </c>
      <c r="G14" s="1213"/>
      <c r="H14" s="1213"/>
      <c r="I14" s="1213"/>
      <c r="J14" s="1128"/>
    </row>
    <row r="15" spans="1:10" ht="19.899999999999999" customHeight="1">
      <c r="A15" s="1129" t="s">
        <v>121</v>
      </c>
      <c r="B15" s="1901" t="s">
        <v>1137</v>
      </c>
      <c r="C15" s="1902"/>
      <c r="D15" s="1903"/>
      <c r="E15" s="1213">
        <v>0.8</v>
      </c>
      <c r="F15" s="1213">
        <v>0.8</v>
      </c>
      <c r="G15" s="1213"/>
      <c r="H15" s="1213"/>
      <c r="I15" s="1213"/>
      <c r="J15" s="1128"/>
    </row>
    <row r="16" spans="1:10" ht="19.899999999999999" customHeight="1">
      <c r="A16" s="1133" t="s">
        <v>122</v>
      </c>
      <c r="B16" s="1901" t="s">
        <v>1138</v>
      </c>
      <c r="C16" s="1902"/>
      <c r="D16" s="1903"/>
      <c r="E16" s="1213">
        <v>1.3</v>
      </c>
      <c r="F16" s="1213">
        <v>1.3</v>
      </c>
      <c r="G16" s="1213"/>
      <c r="H16" s="1213"/>
      <c r="I16" s="1213"/>
      <c r="J16" s="1128"/>
    </row>
    <row r="17" spans="1:10" ht="19.899999999999999" customHeight="1">
      <c r="A17" s="1133" t="s">
        <v>419</v>
      </c>
      <c r="B17" s="1901" t="s">
        <v>1139</v>
      </c>
      <c r="C17" s="1902"/>
      <c r="D17" s="1903"/>
      <c r="E17" s="1213">
        <v>60.9</v>
      </c>
      <c r="F17" s="1213">
        <v>41.75</v>
      </c>
      <c r="G17" s="1213">
        <v>1.25</v>
      </c>
      <c r="H17" s="1213">
        <v>16</v>
      </c>
      <c r="I17" s="1213">
        <v>1.9</v>
      </c>
      <c r="J17" s="1128"/>
    </row>
    <row r="18" spans="1:10" ht="19.899999999999999" customHeight="1">
      <c r="A18" s="1133" t="s">
        <v>420</v>
      </c>
      <c r="B18" s="1901" t="s">
        <v>1140</v>
      </c>
      <c r="C18" s="1902"/>
      <c r="D18" s="1903"/>
      <c r="E18" s="1213">
        <v>3.7</v>
      </c>
      <c r="F18" s="1213">
        <v>3.7</v>
      </c>
      <c r="G18" s="1213"/>
      <c r="H18" s="1213"/>
      <c r="I18" s="1213"/>
      <c r="J18" s="1128"/>
    </row>
    <row r="19" spans="1:10" ht="19.899999999999999" customHeight="1">
      <c r="A19" s="1133" t="s">
        <v>429</v>
      </c>
      <c r="B19" s="1901" t="s">
        <v>1141</v>
      </c>
      <c r="C19" s="1902"/>
      <c r="D19" s="1903"/>
      <c r="E19" s="1213">
        <v>20.6</v>
      </c>
      <c r="F19" s="1213">
        <v>20.100000000000001</v>
      </c>
      <c r="G19" s="1213">
        <v>0.5</v>
      </c>
      <c r="H19" s="1213"/>
      <c r="I19" s="1213"/>
      <c r="J19" s="1128"/>
    </row>
    <row r="20" spans="1:10" ht="19.899999999999999" customHeight="1">
      <c r="A20" s="1133" t="s">
        <v>455</v>
      </c>
      <c r="B20" s="1901" t="s">
        <v>1142</v>
      </c>
      <c r="C20" s="1902"/>
      <c r="D20" s="1903"/>
      <c r="E20" s="1213">
        <v>53.4</v>
      </c>
      <c r="F20" s="1213">
        <v>47.15</v>
      </c>
      <c r="G20" s="1213">
        <v>2.25</v>
      </c>
      <c r="H20" s="1213">
        <v>4</v>
      </c>
      <c r="I20" s="1213"/>
      <c r="J20" s="1128"/>
    </row>
    <row r="21" spans="1:10" ht="19.899999999999999" customHeight="1">
      <c r="A21" s="1133" t="s">
        <v>378</v>
      </c>
      <c r="B21" s="1901" t="s">
        <v>1143</v>
      </c>
      <c r="C21" s="1902"/>
      <c r="D21" s="1903"/>
      <c r="E21" s="1213">
        <v>20.100000000000001</v>
      </c>
      <c r="F21" s="1213">
        <v>19.350000000000001</v>
      </c>
      <c r="G21" s="1213">
        <v>0.75</v>
      </c>
      <c r="H21" s="1213"/>
      <c r="I21" s="1213"/>
      <c r="J21" s="1128"/>
    </row>
    <row r="22" spans="1:10" ht="19.899999999999999" customHeight="1">
      <c r="A22" s="1133" t="s">
        <v>379</v>
      </c>
      <c r="B22" s="1901" t="s">
        <v>1144</v>
      </c>
      <c r="C22" s="1902"/>
      <c r="D22" s="1903"/>
      <c r="E22" s="1213">
        <v>17.899999999999999</v>
      </c>
      <c r="F22" s="1213">
        <v>17.399999999999999</v>
      </c>
      <c r="G22" s="1213">
        <v>0.5</v>
      </c>
      <c r="H22" s="1213"/>
      <c r="I22" s="1213"/>
      <c r="J22" s="1128"/>
    </row>
    <row r="23" spans="1:10" ht="19.899999999999999" customHeight="1">
      <c r="A23" s="1133" t="s">
        <v>456</v>
      </c>
      <c r="B23" s="1901" t="s">
        <v>1145</v>
      </c>
      <c r="C23" s="1902"/>
      <c r="D23" s="1903"/>
      <c r="E23" s="1213">
        <v>14.3</v>
      </c>
      <c r="F23" s="1213">
        <v>14.3</v>
      </c>
      <c r="G23" s="1213"/>
      <c r="H23" s="1213"/>
      <c r="I23" s="1213"/>
      <c r="J23" s="1128"/>
    </row>
    <row r="24" spans="1:10" ht="19.899999999999999" customHeight="1" thickBot="1">
      <c r="A24" s="974" t="s">
        <v>457</v>
      </c>
      <c r="B24" s="1916" t="s">
        <v>1146</v>
      </c>
      <c r="C24" s="1917"/>
      <c r="D24" s="1918"/>
      <c r="E24" s="1213">
        <v>49.4</v>
      </c>
      <c r="F24" s="1213">
        <v>34.4</v>
      </c>
      <c r="G24" s="1213"/>
      <c r="H24" s="1213">
        <v>15</v>
      </c>
      <c r="I24" s="1213"/>
      <c r="J24" s="1128"/>
    </row>
    <row r="25" spans="1:10" ht="12.6" customHeight="1">
      <c r="A25" s="1930"/>
      <c r="B25" s="1932" t="s">
        <v>130</v>
      </c>
      <c r="C25" s="1932"/>
      <c r="D25" s="1932"/>
      <c r="E25" s="1934">
        <f>SUM(E14:E24)</f>
        <v>258.3</v>
      </c>
      <c r="F25" s="1934">
        <f>SUM(F14:F24)</f>
        <v>216.15000000000003</v>
      </c>
      <c r="G25" s="1934">
        <f>SUM(G14:G24)</f>
        <v>5.25</v>
      </c>
      <c r="H25" s="1934">
        <f>SUM(H14:H24)</f>
        <v>35</v>
      </c>
      <c r="I25" s="1934">
        <f>SUM(I14:I24)</f>
        <v>1.9</v>
      </c>
      <c r="J25" s="1914"/>
    </row>
    <row r="26" spans="1:10" ht="12.6" customHeight="1" thickBot="1">
      <c r="A26" s="1931"/>
      <c r="B26" s="1933"/>
      <c r="C26" s="1933"/>
      <c r="D26" s="1933"/>
      <c r="E26" s="1935"/>
      <c r="F26" s="1935"/>
      <c r="G26" s="1935"/>
      <c r="H26" s="1935"/>
      <c r="I26" s="1935"/>
      <c r="J26" s="1915"/>
    </row>
    <row r="27" spans="1:10">
      <c r="A27" s="394"/>
      <c r="B27" s="395"/>
      <c r="C27" s="395"/>
      <c r="D27" s="395"/>
      <c r="E27" s="218"/>
      <c r="F27" s="218"/>
      <c r="G27" s="218"/>
      <c r="H27" s="218"/>
      <c r="I27" s="218"/>
      <c r="J27" s="218"/>
    </row>
    <row r="28" spans="1:10">
      <c r="A28" s="394"/>
      <c r="B28" s="395"/>
      <c r="C28" s="395"/>
      <c r="D28" s="395"/>
      <c r="E28" s="218"/>
      <c r="F28" s="218"/>
      <c r="G28" s="218"/>
      <c r="H28" s="218"/>
      <c r="I28" s="218"/>
      <c r="J28" s="218"/>
    </row>
    <row r="29" spans="1:10" ht="13.5" thickBot="1">
      <c r="A29" s="394"/>
      <c r="B29" s="395"/>
      <c r="C29" s="395"/>
      <c r="D29" s="395"/>
      <c r="E29" s="218"/>
      <c r="F29" s="218"/>
      <c r="G29" s="218"/>
      <c r="H29" s="218"/>
      <c r="I29" s="218"/>
      <c r="J29" s="218"/>
    </row>
    <row r="30" spans="1:10">
      <c r="A30" s="1876" t="s">
        <v>445</v>
      </c>
      <c r="B30" s="1879" t="s">
        <v>1148</v>
      </c>
      <c r="C30" s="1880"/>
      <c r="D30" s="1881"/>
      <c r="E30" s="1888" t="s">
        <v>1147</v>
      </c>
      <c r="F30" s="1891" t="s">
        <v>446</v>
      </c>
      <c r="G30" s="1892"/>
      <c r="H30" s="1893"/>
      <c r="I30" s="1893"/>
      <c r="J30" s="975"/>
    </row>
    <row r="31" spans="1:10">
      <c r="A31" s="1877"/>
      <c r="B31" s="1882"/>
      <c r="C31" s="1883"/>
      <c r="D31" s="1884"/>
      <c r="E31" s="1889"/>
      <c r="F31" s="1894" t="s">
        <v>447</v>
      </c>
      <c r="G31" s="1895"/>
      <c r="H31" s="1894" t="s">
        <v>448</v>
      </c>
      <c r="I31" s="1896"/>
      <c r="J31" s="1909" t="s">
        <v>449</v>
      </c>
    </row>
    <row r="32" spans="1:10">
      <c r="A32" s="1877"/>
      <c r="B32" s="1882"/>
      <c r="C32" s="1883"/>
      <c r="D32" s="1884"/>
      <c r="E32" s="1889"/>
      <c r="F32" s="1897" t="s">
        <v>450</v>
      </c>
      <c r="G32" s="1899" t="s">
        <v>451</v>
      </c>
      <c r="H32" s="1897" t="s">
        <v>452</v>
      </c>
      <c r="I32" s="1897" t="s">
        <v>453</v>
      </c>
      <c r="J32" s="1910"/>
    </row>
    <row r="33" spans="1:10" ht="25.15" customHeight="1" thickBot="1">
      <c r="A33" s="1878"/>
      <c r="B33" s="1885"/>
      <c r="C33" s="1886"/>
      <c r="D33" s="1887"/>
      <c r="E33" s="1890"/>
      <c r="F33" s="1898"/>
      <c r="G33" s="1900"/>
      <c r="H33" s="1898"/>
      <c r="I33" s="1898"/>
      <c r="J33" s="1911"/>
    </row>
    <row r="34" spans="1:10" ht="19.899999999999999" customHeight="1">
      <c r="A34" s="1130" t="s">
        <v>458</v>
      </c>
      <c r="B34" s="1927" t="s">
        <v>461</v>
      </c>
      <c r="C34" s="1928"/>
      <c r="D34" s="1929"/>
      <c r="E34" s="1213">
        <v>31</v>
      </c>
      <c r="F34" s="1213">
        <v>32</v>
      </c>
      <c r="G34" s="1213"/>
      <c r="H34" s="1213"/>
      <c r="I34" s="1213"/>
      <c r="J34" s="1131"/>
    </row>
    <row r="35" spans="1:10" ht="19.899999999999999" customHeight="1">
      <c r="A35" s="1132" t="s">
        <v>459</v>
      </c>
      <c r="B35" s="1936" t="s">
        <v>463</v>
      </c>
      <c r="C35" s="1937"/>
      <c r="D35" s="1938"/>
      <c r="E35" s="1213">
        <v>29</v>
      </c>
      <c r="F35" s="1213">
        <v>31</v>
      </c>
      <c r="G35" s="1213"/>
      <c r="H35" s="1213"/>
      <c r="I35" s="1213"/>
      <c r="J35" s="1128"/>
    </row>
    <row r="36" spans="1:10" ht="19.899999999999999" customHeight="1">
      <c r="A36" s="1132" t="s">
        <v>570</v>
      </c>
      <c r="B36" s="1936" t="s">
        <v>465</v>
      </c>
      <c r="C36" s="1937"/>
      <c r="D36" s="1938"/>
      <c r="E36" s="1213">
        <v>16</v>
      </c>
      <c r="F36" s="1213">
        <v>16</v>
      </c>
      <c r="G36" s="1213"/>
      <c r="H36" s="1213"/>
      <c r="I36" s="1213"/>
      <c r="J36" s="1128"/>
    </row>
    <row r="37" spans="1:10" ht="19.899999999999999" customHeight="1">
      <c r="A37" s="1132" t="s">
        <v>460</v>
      </c>
      <c r="B37" s="1936" t="s">
        <v>467</v>
      </c>
      <c r="C37" s="1937"/>
      <c r="D37" s="1938"/>
      <c r="E37" s="1213">
        <v>58</v>
      </c>
      <c r="F37" s="1213">
        <v>67</v>
      </c>
      <c r="G37" s="1213"/>
      <c r="H37" s="1213"/>
      <c r="I37" s="1213"/>
      <c r="J37" s="1128"/>
    </row>
    <row r="38" spans="1:10" ht="19.899999999999999" customHeight="1">
      <c r="A38" s="1132" t="s">
        <v>462</v>
      </c>
      <c r="B38" s="1936" t="s">
        <v>469</v>
      </c>
      <c r="C38" s="1937"/>
      <c r="D38" s="1938"/>
      <c r="E38" s="1213">
        <v>31</v>
      </c>
      <c r="F38" s="1213">
        <v>32</v>
      </c>
      <c r="G38" s="1213"/>
      <c r="H38" s="1213"/>
      <c r="I38" s="1213"/>
      <c r="J38" s="1128"/>
    </row>
    <row r="39" spans="1:10" ht="19.899999999999999" customHeight="1">
      <c r="A39" s="1132" t="s">
        <v>464</v>
      </c>
      <c r="B39" s="1936" t="s">
        <v>470</v>
      </c>
      <c r="C39" s="1937"/>
      <c r="D39" s="1938"/>
      <c r="E39" s="1213">
        <v>24</v>
      </c>
      <c r="F39" s="1213">
        <v>25</v>
      </c>
      <c r="G39" s="1213"/>
      <c r="H39" s="1213"/>
      <c r="I39" s="1213"/>
      <c r="J39" s="1128"/>
    </row>
    <row r="40" spans="1:10" ht="19.899999999999999" customHeight="1">
      <c r="A40" s="1132" t="s">
        <v>466</v>
      </c>
      <c r="B40" s="1936" t="s">
        <v>472</v>
      </c>
      <c r="C40" s="1937"/>
      <c r="D40" s="1938"/>
      <c r="E40" s="1213">
        <v>15</v>
      </c>
      <c r="F40" s="1213">
        <v>16</v>
      </c>
      <c r="G40" s="1213"/>
      <c r="H40" s="1213"/>
      <c r="I40" s="1213"/>
      <c r="J40" s="1128"/>
    </row>
    <row r="41" spans="1:10" ht="19.899999999999999" customHeight="1">
      <c r="A41" s="1132" t="s">
        <v>468</v>
      </c>
      <c r="B41" s="1936" t="s">
        <v>474</v>
      </c>
      <c r="C41" s="1937"/>
      <c r="D41" s="1938"/>
      <c r="E41" s="1213">
        <v>17</v>
      </c>
      <c r="F41" s="1213">
        <v>17</v>
      </c>
      <c r="G41" s="1213"/>
      <c r="H41" s="1213"/>
      <c r="I41" s="1213"/>
      <c r="J41" s="1128"/>
    </row>
    <row r="42" spans="1:10" ht="19.899999999999999" customHeight="1">
      <c r="A42" s="1132" t="s">
        <v>1150</v>
      </c>
      <c r="B42" s="1936" t="s">
        <v>476</v>
      </c>
      <c r="C42" s="1937"/>
      <c r="D42" s="1938"/>
      <c r="E42" s="1213">
        <v>16</v>
      </c>
      <c r="F42" s="1213">
        <v>16</v>
      </c>
      <c r="G42" s="1213"/>
      <c r="H42" s="1213"/>
      <c r="I42" s="1213"/>
      <c r="J42" s="1128"/>
    </row>
    <row r="43" spans="1:10" ht="19.899999999999999" customHeight="1">
      <c r="A43" s="1132" t="s">
        <v>471</v>
      </c>
      <c r="B43" s="1936" t="s">
        <v>478</v>
      </c>
      <c r="C43" s="1937"/>
      <c r="D43" s="1938"/>
      <c r="E43" s="1213">
        <v>162</v>
      </c>
      <c r="F43" s="1213">
        <v>165</v>
      </c>
      <c r="G43" s="1213"/>
      <c r="H43" s="1213"/>
      <c r="I43" s="1213"/>
      <c r="J43" s="1128"/>
    </row>
    <row r="44" spans="1:10" ht="19.899999999999999" customHeight="1">
      <c r="A44" s="1132" t="s">
        <v>473</v>
      </c>
      <c r="B44" s="1936" t="s">
        <v>480</v>
      </c>
      <c r="C44" s="1937"/>
      <c r="D44" s="1938"/>
      <c r="E44" s="1213">
        <v>109</v>
      </c>
      <c r="F44" s="1213">
        <v>69</v>
      </c>
      <c r="G44" s="1213">
        <v>1</v>
      </c>
      <c r="H44" s="1213">
        <v>46</v>
      </c>
      <c r="I44" s="1213"/>
      <c r="J44" s="1128"/>
    </row>
    <row r="45" spans="1:10" ht="19.899999999999999" customHeight="1">
      <c r="A45" s="1132" t="s">
        <v>475</v>
      </c>
      <c r="B45" s="1936" t="s">
        <v>241</v>
      </c>
      <c r="C45" s="1937"/>
      <c r="D45" s="1938"/>
      <c r="E45" s="1213">
        <v>140</v>
      </c>
      <c r="F45" s="1213">
        <v>123</v>
      </c>
      <c r="G45" s="1213">
        <v>11</v>
      </c>
      <c r="H45" s="1213">
        <v>22</v>
      </c>
      <c r="I45" s="1213">
        <v>2</v>
      </c>
      <c r="J45" s="1128"/>
    </row>
    <row r="46" spans="1:10" ht="19.899999999999999" customHeight="1">
      <c r="A46" s="1132" t="s">
        <v>477</v>
      </c>
      <c r="B46" s="1936" t="s">
        <v>482</v>
      </c>
      <c r="C46" s="1937"/>
      <c r="D46" s="1938"/>
      <c r="E46" s="1213">
        <v>24</v>
      </c>
      <c r="F46" s="1213">
        <v>25</v>
      </c>
      <c r="G46" s="1213"/>
      <c r="H46" s="1213"/>
      <c r="I46" s="1213"/>
      <c r="J46" s="1128"/>
    </row>
    <row r="47" spans="1:10" ht="19.899999999999999" customHeight="1">
      <c r="A47" s="1132" t="s">
        <v>479</v>
      </c>
      <c r="B47" s="1936" t="s">
        <v>483</v>
      </c>
      <c r="C47" s="1937"/>
      <c r="D47" s="1938"/>
      <c r="E47" s="1213">
        <v>15</v>
      </c>
      <c r="F47" s="1213">
        <v>15</v>
      </c>
      <c r="G47" s="1213"/>
      <c r="H47" s="1213"/>
      <c r="I47" s="1213"/>
      <c r="J47" s="1128"/>
    </row>
    <row r="48" spans="1:10" ht="19.899999999999999" customHeight="1" thickBot="1">
      <c r="A48" s="1132" t="s">
        <v>481</v>
      </c>
      <c r="B48" s="1936" t="s">
        <v>894</v>
      </c>
      <c r="C48" s="1937"/>
      <c r="D48" s="1938"/>
      <c r="E48" s="1213">
        <v>234</v>
      </c>
      <c r="F48" s="1213">
        <v>109</v>
      </c>
      <c r="G48" s="1213">
        <v>91</v>
      </c>
      <c r="H48" s="1213">
        <v>25</v>
      </c>
      <c r="I48" s="1213">
        <v>9</v>
      </c>
      <c r="J48" s="1398">
        <v>0</v>
      </c>
    </row>
    <row r="49" spans="1:10" ht="32.450000000000003" customHeight="1" thickBot="1">
      <c r="A49" s="976"/>
      <c r="B49" s="1939" t="s">
        <v>968</v>
      </c>
      <c r="C49" s="1940"/>
      <c r="D49" s="1941"/>
      <c r="E49" s="992">
        <f>SUM(E34:E48)</f>
        <v>921</v>
      </c>
      <c r="F49" s="992">
        <f>SUM(F34:F48)</f>
        <v>758</v>
      </c>
      <c r="G49" s="992">
        <f>SUM(G34:G48)</f>
        <v>103</v>
      </c>
      <c r="H49" s="992">
        <f>SUM(H34:H48)</f>
        <v>93</v>
      </c>
      <c r="I49" s="992">
        <f>SUM(I34:I48)</f>
        <v>11</v>
      </c>
      <c r="J49" s="993"/>
    </row>
    <row r="50" spans="1:10" ht="12.6" customHeight="1">
      <c r="A50" s="1942"/>
      <c r="B50" s="1944" t="s">
        <v>484</v>
      </c>
      <c r="C50" s="1945"/>
      <c r="D50" s="1946"/>
      <c r="E50" s="1934">
        <f>SUM(E49+E25)</f>
        <v>1179.3</v>
      </c>
      <c r="F50" s="1934">
        <f>SUM(F49+F25)</f>
        <v>974.15000000000009</v>
      </c>
      <c r="G50" s="1934">
        <f>SUM(G49+G25)</f>
        <v>108.25</v>
      </c>
      <c r="H50" s="1934">
        <f>SUM(H49+H25)</f>
        <v>128</v>
      </c>
      <c r="I50" s="1934">
        <f>SUM(I49+I25)</f>
        <v>12.9</v>
      </c>
      <c r="J50" s="1914"/>
    </row>
    <row r="51" spans="1:10" ht="12.6" customHeight="1" thickBot="1">
      <c r="A51" s="1943"/>
      <c r="B51" s="1947"/>
      <c r="C51" s="1948"/>
      <c r="D51" s="1949"/>
      <c r="E51" s="1935"/>
      <c r="F51" s="1935"/>
      <c r="G51" s="1935"/>
      <c r="H51" s="1935"/>
      <c r="I51" s="1935"/>
      <c r="J51" s="1915"/>
    </row>
    <row r="53" spans="1:10">
      <c r="E53" s="1212"/>
      <c r="F53" s="1212"/>
      <c r="G53" s="1212"/>
      <c r="H53" s="1212"/>
      <c r="I53" s="1212"/>
    </row>
    <row r="58" spans="1:10">
      <c r="E58" s="1636"/>
      <c r="F58" s="1636"/>
      <c r="G58" s="1636"/>
      <c r="H58" s="1636"/>
      <c r="I58" s="1636"/>
      <c r="J58" s="1636"/>
    </row>
  </sheetData>
  <mergeCells count="75">
    <mergeCell ref="J31:J33"/>
    <mergeCell ref="F32:F33"/>
    <mergeCell ref="G32:G33"/>
    <mergeCell ref="H32:H33"/>
    <mergeCell ref="I32:I33"/>
    <mergeCell ref="F31:G31"/>
    <mergeCell ref="H31:I31"/>
    <mergeCell ref="I50:I51"/>
    <mergeCell ref="J50:J51"/>
    <mergeCell ref="A50:A51"/>
    <mergeCell ref="B50:D51"/>
    <mergeCell ref="E50:E51"/>
    <mergeCell ref="F50:F51"/>
    <mergeCell ref="G50:G51"/>
    <mergeCell ref="H50:H51"/>
    <mergeCell ref="B47:D47"/>
    <mergeCell ref="B49:D49"/>
    <mergeCell ref="B48:D48"/>
    <mergeCell ref="B46:D46"/>
    <mergeCell ref="B45:D45"/>
    <mergeCell ref="B44:D44"/>
    <mergeCell ref="B43:D43"/>
    <mergeCell ref="B42:D42"/>
    <mergeCell ref="B41:D41"/>
    <mergeCell ref="B40:D40"/>
    <mergeCell ref="B39:D39"/>
    <mergeCell ref="B38:D38"/>
    <mergeCell ref="B37:D37"/>
    <mergeCell ref="B36:D36"/>
    <mergeCell ref="B35:D35"/>
    <mergeCell ref="B34:D34"/>
    <mergeCell ref="A25:A26"/>
    <mergeCell ref="B25:D26"/>
    <mergeCell ref="E25:E26"/>
    <mergeCell ref="F25:F26"/>
    <mergeCell ref="A30:A33"/>
    <mergeCell ref="B30:D33"/>
    <mergeCell ref="E30:E33"/>
    <mergeCell ref="F30:I30"/>
    <mergeCell ref="G25:G26"/>
    <mergeCell ref="H25:H26"/>
    <mergeCell ref="I25:I26"/>
    <mergeCell ref="J25:J26"/>
    <mergeCell ref="B24:D24"/>
    <mergeCell ref="A12:A13"/>
    <mergeCell ref="B12:D13"/>
    <mergeCell ref="B23:D23"/>
    <mergeCell ref="B22:D22"/>
    <mergeCell ref="B21:D21"/>
    <mergeCell ref="B20:D20"/>
    <mergeCell ref="B19:D19"/>
    <mergeCell ref="F12:F13"/>
    <mergeCell ref="G12:G13"/>
    <mergeCell ref="H12:H13"/>
    <mergeCell ref="I12:I13"/>
    <mergeCell ref="B18:D18"/>
    <mergeCell ref="B17:D17"/>
    <mergeCell ref="B15:D15"/>
    <mergeCell ref="B16:D16"/>
    <mergeCell ref="B2:J2"/>
    <mergeCell ref="B4:J4"/>
    <mergeCell ref="J12:J13"/>
    <mergeCell ref="B14:D14"/>
    <mergeCell ref="J9:J11"/>
    <mergeCell ref="E12:E13"/>
    <mergeCell ref="A8:A11"/>
    <mergeCell ref="B8:D11"/>
    <mergeCell ref="E8:E11"/>
    <mergeCell ref="F8:I8"/>
    <mergeCell ref="F9:G9"/>
    <mergeCell ref="H9:I9"/>
    <mergeCell ref="F10:F11"/>
    <mergeCell ref="G10:G11"/>
    <mergeCell ref="H10:H11"/>
    <mergeCell ref="I10:I11"/>
  </mergeCells>
  <pageMargins left="0.78740157480314965" right="0.78740157480314965" top="0.59055118110236227" bottom="0.19685039370078741" header="0.11811023622047245" footer="0.11811023622047245"/>
  <pageSetup paperSize="9" scale="71" firstPageNumber="51" orientation="landscape" useFirstPageNumber="1" r:id="rId1"/>
  <headerFooter alignWithMargins="0">
    <oddFooter>&amp;C&amp;P. oldal</oddFooter>
  </headerFooter>
  <rowBreaks count="1" manualBreakCount="1">
    <brk id="33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16"/>
  <sheetViews>
    <sheetView topLeftCell="C1" zoomScale="85" zoomScaleNormal="85" workbookViewId="0">
      <selection activeCell="M4" sqref="M4"/>
    </sheetView>
  </sheetViews>
  <sheetFormatPr defaultColWidth="8.85546875" defaultRowHeight="15"/>
  <cols>
    <col min="1" max="1" width="41" style="1005" customWidth="1"/>
    <col min="2" max="12" width="19.7109375" style="1005" customWidth="1"/>
    <col min="13" max="13" width="19.5703125" customWidth="1"/>
  </cols>
  <sheetData>
    <row r="1" spans="1:13" ht="14.25">
      <c r="A1" s="1950" t="s">
        <v>1134</v>
      </c>
      <c r="B1" s="1950"/>
      <c r="C1" s="1950"/>
      <c r="D1" s="1950"/>
      <c r="E1" s="1950"/>
      <c r="F1" s="1950"/>
      <c r="G1" s="1950"/>
      <c r="H1" s="1950"/>
      <c r="I1" s="1950"/>
      <c r="J1" s="1950"/>
      <c r="K1" s="1950"/>
      <c r="L1" s="1950"/>
    </row>
    <row r="2" spans="1:13" ht="14.25">
      <c r="A2" s="1002"/>
      <c r="B2" s="1002"/>
      <c r="C2" s="1002"/>
      <c r="D2" s="1002"/>
      <c r="E2" s="1002"/>
      <c r="F2" s="1002"/>
      <c r="G2" s="1002"/>
      <c r="H2" s="1002"/>
      <c r="I2" s="1002"/>
      <c r="J2" s="1002"/>
      <c r="K2" s="1002"/>
      <c r="L2" s="1002"/>
    </row>
    <row r="3" spans="1:13" ht="14.25">
      <c r="A3" s="1950" t="s">
        <v>1166</v>
      </c>
      <c r="B3" s="1950"/>
      <c r="C3" s="1950"/>
      <c r="D3" s="1950"/>
      <c r="E3" s="1950"/>
      <c r="F3" s="1950"/>
      <c r="G3" s="1950"/>
      <c r="H3" s="1950"/>
      <c r="I3" s="1950"/>
      <c r="J3" s="1950"/>
      <c r="K3" s="1950"/>
      <c r="L3" s="1950"/>
    </row>
    <row r="4" spans="1:13" ht="15.75" thickBot="1">
      <c r="A4" s="1002"/>
      <c r="B4" s="1002"/>
      <c r="C4" s="1002"/>
      <c r="D4" s="1002"/>
      <c r="E4" s="1002"/>
      <c r="F4" s="1002"/>
      <c r="G4" s="1002"/>
      <c r="H4" s="1002"/>
      <c r="I4" s="1002"/>
      <c r="J4" s="1002"/>
      <c r="K4" s="1002"/>
      <c r="L4" s="1003"/>
      <c r="M4" s="1401" t="s">
        <v>1353</v>
      </c>
    </row>
    <row r="5" spans="1:13" ht="142.5">
      <c r="A5" s="1135" t="s">
        <v>1153</v>
      </c>
      <c r="B5" s="994" t="s">
        <v>1154</v>
      </c>
      <c r="C5" s="994" t="s">
        <v>1167</v>
      </c>
      <c r="D5" s="994" t="s">
        <v>1168</v>
      </c>
      <c r="E5" s="994" t="s">
        <v>1169</v>
      </c>
      <c r="F5" s="994" t="s">
        <v>1170</v>
      </c>
      <c r="G5" s="994" t="s">
        <v>1155</v>
      </c>
      <c r="H5" s="994" t="s">
        <v>1171</v>
      </c>
      <c r="I5" s="994" t="s">
        <v>1156</v>
      </c>
      <c r="J5" s="994" t="s">
        <v>1172</v>
      </c>
      <c r="K5" s="994" t="s">
        <v>1173</v>
      </c>
      <c r="L5" s="994" t="s">
        <v>1174</v>
      </c>
      <c r="M5" s="1136" t="s">
        <v>1157</v>
      </c>
    </row>
    <row r="6" spans="1:13" thickBot="1">
      <c r="A6" s="1137" t="s">
        <v>120</v>
      </c>
      <c r="B6" s="1138" t="s">
        <v>121</v>
      </c>
      <c r="C6" s="1138" t="s">
        <v>122</v>
      </c>
      <c r="D6" s="1138" t="s">
        <v>419</v>
      </c>
      <c r="E6" s="1138" t="s">
        <v>420</v>
      </c>
      <c r="F6" s="1138" t="s">
        <v>429</v>
      </c>
      <c r="G6" s="1138" t="s">
        <v>455</v>
      </c>
      <c r="H6" s="1138" t="s">
        <v>378</v>
      </c>
      <c r="I6" s="1138" t="s">
        <v>379</v>
      </c>
      <c r="J6" s="1138" t="s">
        <v>456</v>
      </c>
      <c r="K6" s="1138" t="s">
        <v>457</v>
      </c>
      <c r="L6" s="1138" t="s">
        <v>458</v>
      </c>
      <c r="M6" s="1139" t="s">
        <v>459</v>
      </c>
    </row>
    <row r="7" spans="1:13" ht="42" customHeight="1">
      <c r="A7" s="1144" t="s">
        <v>1158</v>
      </c>
      <c r="B7" s="1134">
        <v>937381005</v>
      </c>
      <c r="C7" s="1134">
        <v>0</v>
      </c>
      <c r="D7" s="1134">
        <v>0</v>
      </c>
      <c r="E7" s="1134">
        <f>SUM(B7:D7)</f>
        <v>937381005</v>
      </c>
      <c r="F7" s="1134">
        <f t="shared" ref="F7:F14" si="0">E7-D7-C7-B7</f>
        <v>0</v>
      </c>
      <c r="G7" s="1134">
        <v>937381005</v>
      </c>
      <c r="H7" s="1134">
        <v>937381005</v>
      </c>
      <c r="I7" s="1134">
        <v>0</v>
      </c>
      <c r="J7" s="1134">
        <v>0</v>
      </c>
      <c r="K7" s="1134">
        <v>0</v>
      </c>
      <c r="L7" s="1134">
        <v>0</v>
      </c>
      <c r="M7" s="1145">
        <f>I7-L7</f>
        <v>0</v>
      </c>
    </row>
    <row r="8" spans="1:13" ht="42" customHeight="1">
      <c r="A8" s="1146" t="s">
        <v>1159</v>
      </c>
      <c r="B8" s="1004">
        <v>1654014798</v>
      </c>
      <c r="C8" s="1004">
        <v>54368024</v>
      </c>
      <c r="D8" s="1004">
        <v>11278230</v>
      </c>
      <c r="E8" s="1134">
        <v>1719224116</v>
      </c>
      <c r="F8" s="1134">
        <f t="shared" si="0"/>
        <v>-436936</v>
      </c>
      <c r="G8" s="1004">
        <v>1719661052</v>
      </c>
      <c r="H8" s="1004">
        <v>1719224116</v>
      </c>
      <c r="I8" s="1004">
        <f>E8-(B8+C8+D8)</f>
        <v>-436936</v>
      </c>
      <c r="J8" s="1004">
        <v>207753300</v>
      </c>
      <c r="K8" s="1004">
        <v>268353591</v>
      </c>
      <c r="L8" s="1004">
        <v>0</v>
      </c>
      <c r="M8" s="1147">
        <f t="shared" ref="M8" si="1">I8-L8</f>
        <v>-436936</v>
      </c>
    </row>
    <row r="9" spans="1:13" ht="45">
      <c r="A9" s="1146" t="s">
        <v>1160</v>
      </c>
      <c r="B9" s="1004">
        <v>129883155</v>
      </c>
      <c r="C9" s="1004">
        <v>0</v>
      </c>
      <c r="D9" s="1004">
        <v>0</v>
      </c>
      <c r="E9" s="1134">
        <v>129883155</v>
      </c>
      <c r="F9" s="1134">
        <f t="shared" si="0"/>
        <v>0</v>
      </c>
      <c r="G9" s="1004">
        <v>129883155</v>
      </c>
      <c r="H9" s="1004">
        <v>129883155</v>
      </c>
      <c r="I9" s="1004">
        <v>0</v>
      </c>
      <c r="J9" s="1004">
        <v>0</v>
      </c>
      <c r="K9" s="1004">
        <v>0</v>
      </c>
      <c r="L9" s="1004">
        <f>J9-K9</f>
        <v>0</v>
      </c>
      <c r="M9" s="1147">
        <f>I9-L9</f>
        <v>0</v>
      </c>
    </row>
    <row r="10" spans="1:13" ht="42" customHeight="1">
      <c r="A10" s="1146" t="s">
        <v>1161</v>
      </c>
      <c r="B10" s="1004">
        <v>180338200</v>
      </c>
      <c r="C10" s="1004">
        <v>6873300</v>
      </c>
      <c r="D10" s="1004">
        <v>7932100</v>
      </c>
      <c r="E10" s="1134">
        <v>200267420</v>
      </c>
      <c r="F10" s="1134">
        <f t="shared" si="0"/>
        <v>5123820</v>
      </c>
      <c r="G10" s="1004">
        <v>195143600</v>
      </c>
      <c r="H10" s="1004">
        <v>195143600</v>
      </c>
      <c r="I10" s="1004">
        <v>0</v>
      </c>
      <c r="J10" s="1004">
        <v>0</v>
      </c>
      <c r="K10" s="1004">
        <v>0</v>
      </c>
      <c r="L10" s="1004">
        <f t="shared" ref="L10:L14" si="2">J10-K10</f>
        <v>0</v>
      </c>
      <c r="M10" s="1147">
        <f t="shared" ref="M10:M14" si="3">I10-L10</f>
        <v>0</v>
      </c>
    </row>
    <row r="11" spans="1:13" ht="42" customHeight="1">
      <c r="A11" s="1146" t="s">
        <v>1162</v>
      </c>
      <c r="B11" s="1004">
        <v>690005129</v>
      </c>
      <c r="C11" s="1004">
        <v>8719366</v>
      </c>
      <c r="D11" s="1004">
        <v>-8735722</v>
      </c>
      <c r="E11" s="1134">
        <v>687929373</v>
      </c>
      <c r="F11" s="1134">
        <f t="shared" si="0"/>
        <v>-2059400</v>
      </c>
      <c r="G11" s="1004">
        <v>1251092177</v>
      </c>
      <c r="H11" s="1004">
        <v>687929373</v>
      </c>
      <c r="I11" s="1004">
        <f t="shared" ref="I11:I13" si="4">E11-(B11+C11+D11)</f>
        <v>-2059400</v>
      </c>
      <c r="J11" s="1004">
        <v>0</v>
      </c>
      <c r="K11" s="1004">
        <v>0</v>
      </c>
      <c r="L11" s="1004">
        <f t="shared" si="2"/>
        <v>0</v>
      </c>
      <c r="M11" s="1147">
        <f t="shared" si="3"/>
        <v>-2059400</v>
      </c>
    </row>
    <row r="12" spans="1:13" ht="56.45" customHeight="1">
      <c r="A12" s="1146" t="s">
        <v>1163</v>
      </c>
      <c r="B12" s="1004">
        <v>78859856</v>
      </c>
      <c r="C12" s="1004">
        <v>-9723071</v>
      </c>
      <c r="D12" s="1004">
        <v>6420697</v>
      </c>
      <c r="E12" s="1134">
        <v>75557482</v>
      </c>
      <c r="F12" s="1134">
        <f t="shared" si="0"/>
        <v>0</v>
      </c>
      <c r="G12" s="1004">
        <v>230604777</v>
      </c>
      <c r="H12" s="1004">
        <v>75557482</v>
      </c>
      <c r="I12" s="1004">
        <v>0</v>
      </c>
      <c r="J12" s="1004">
        <v>0</v>
      </c>
      <c r="K12" s="1004">
        <v>0</v>
      </c>
      <c r="L12" s="1004">
        <f t="shared" si="2"/>
        <v>0</v>
      </c>
      <c r="M12" s="1147">
        <f t="shared" si="3"/>
        <v>0</v>
      </c>
    </row>
    <row r="13" spans="1:13" ht="42" customHeight="1">
      <c r="A13" s="1146" t="s">
        <v>1164</v>
      </c>
      <c r="B13" s="1004">
        <v>515256059</v>
      </c>
      <c r="C13" s="1004">
        <v>-17736895</v>
      </c>
      <c r="D13" s="1004">
        <v>91944150</v>
      </c>
      <c r="E13" s="1134">
        <v>606375754</v>
      </c>
      <c r="F13" s="1134">
        <f t="shared" si="0"/>
        <v>16912440</v>
      </c>
      <c r="G13" s="1004">
        <v>1151458598</v>
      </c>
      <c r="H13" s="1004">
        <v>606375754</v>
      </c>
      <c r="I13" s="1004">
        <f t="shared" si="4"/>
        <v>16912440</v>
      </c>
      <c r="J13" s="1004">
        <v>0</v>
      </c>
      <c r="K13" s="1004">
        <v>0</v>
      </c>
      <c r="L13" s="1004">
        <f t="shared" si="2"/>
        <v>0</v>
      </c>
      <c r="M13" s="1147">
        <f t="shared" si="3"/>
        <v>16912440</v>
      </c>
    </row>
    <row r="14" spans="1:13" ht="42" customHeight="1">
      <c r="A14" s="1148" t="s">
        <v>1165</v>
      </c>
      <c r="B14" s="1140">
        <v>8550</v>
      </c>
      <c r="C14" s="1140">
        <v>1425</v>
      </c>
      <c r="D14" s="1140">
        <v>50730</v>
      </c>
      <c r="E14" s="1140">
        <v>63555</v>
      </c>
      <c r="F14" s="1134">
        <f t="shared" si="0"/>
        <v>2850</v>
      </c>
      <c r="G14" s="1140">
        <v>60705</v>
      </c>
      <c r="H14" s="1140">
        <v>60705</v>
      </c>
      <c r="I14" s="1140">
        <v>0</v>
      </c>
      <c r="J14" s="1004">
        <v>0</v>
      </c>
      <c r="K14" s="1004">
        <v>0</v>
      </c>
      <c r="L14" s="1004">
        <f t="shared" si="2"/>
        <v>0</v>
      </c>
      <c r="M14" s="1147">
        <f t="shared" si="3"/>
        <v>0</v>
      </c>
    </row>
    <row r="15" spans="1:13" ht="42" customHeight="1" thickBot="1">
      <c r="A15" s="1148"/>
      <c r="B15" s="1140"/>
      <c r="C15" s="1140"/>
      <c r="D15" s="1140"/>
      <c r="E15" s="1140"/>
      <c r="F15" s="1140">
        <f t="shared" ref="F15" si="5">E15-D15-C15-B15</f>
        <v>0</v>
      </c>
      <c r="G15" s="1140"/>
      <c r="H15" s="1140"/>
      <c r="I15" s="1140">
        <f t="shared" ref="I15" si="6">E15-(B15+C15+D15)</f>
        <v>0</v>
      </c>
      <c r="J15" s="1140">
        <v>0</v>
      </c>
      <c r="K15" s="1140"/>
      <c r="L15" s="1140"/>
      <c r="M15" s="1149">
        <f t="shared" ref="M15" si="7">I15-L15</f>
        <v>0</v>
      </c>
    </row>
    <row r="16" spans="1:13" ht="42" customHeight="1" thickBot="1">
      <c r="A16" s="1141" t="s">
        <v>111</v>
      </c>
      <c r="B16" s="1142">
        <f>SUM(B7:B15)</f>
        <v>4185746752</v>
      </c>
      <c r="C16" s="1142">
        <f t="shared" ref="C16:M16" si="8">SUM(C7:C15)</f>
        <v>42502149</v>
      </c>
      <c r="D16" s="1142">
        <f t="shared" si="8"/>
        <v>108890185</v>
      </c>
      <c r="E16" s="1142">
        <f t="shared" si="8"/>
        <v>4356681860</v>
      </c>
      <c r="F16" s="1142">
        <f t="shared" si="8"/>
        <v>19542774</v>
      </c>
      <c r="G16" s="1142">
        <f t="shared" si="8"/>
        <v>5615285069</v>
      </c>
      <c r="H16" s="1142">
        <f t="shared" si="8"/>
        <v>4351555190</v>
      </c>
      <c r="I16" s="1142">
        <f t="shared" si="8"/>
        <v>14416104</v>
      </c>
      <c r="J16" s="1142">
        <f t="shared" si="8"/>
        <v>207753300</v>
      </c>
      <c r="K16" s="1142">
        <f t="shared" si="8"/>
        <v>268353591</v>
      </c>
      <c r="L16" s="1142">
        <f t="shared" si="8"/>
        <v>0</v>
      </c>
      <c r="M16" s="1143">
        <f t="shared" si="8"/>
        <v>14416104</v>
      </c>
    </row>
  </sheetData>
  <mergeCells count="2">
    <mergeCell ref="A1:L1"/>
    <mergeCell ref="A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6"/>
  <sheetViews>
    <sheetView zoomScaleNormal="100" workbookViewId="0">
      <selection activeCell="E4" sqref="E4"/>
    </sheetView>
  </sheetViews>
  <sheetFormatPr defaultColWidth="8.85546875" defaultRowHeight="12.75"/>
  <cols>
    <col min="1" max="1" width="50.5703125" customWidth="1"/>
    <col min="2" max="4" width="25.85546875" customWidth="1"/>
    <col min="5" max="5" width="21" customWidth="1"/>
  </cols>
  <sheetData>
    <row r="1" spans="1:5" ht="14.25">
      <c r="A1" s="1951" t="s">
        <v>1135</v>
      </c>
      <c r="B1" s="1951"/>
      <c r="C1" s="1951"/>
      <c r="D1" s="1951"/>
      <c r="E1" s="1951"/>
    </row>
    <row r="2" spans="1:5" ht="14.25">
      <c r="A2" s="1006"/>
      <c r="B2" s="1006"/>
      <c r="C2" s="1006"/>
      <c r="D2" s="1006"/>
      <c r="E2" s="1006"/>
    </row>
    <row r="3" spans="1:5" ht="14.25">
      <c r="A3" s="1952" t="s">
        <v>1184</v>
      </c>
      <c r="B3" s="1952"/>
      <c r="C3" s="1952"/>
      <c r="D3" s="1952"/>
      <c r="E3" s="1952"/>
    </row>
    <row r="4" spans="1:5" ht="15.75" thickBot="1">
      <c r="D4" s="38"/>
      <c r="E4" s="1401" t="s">
        <v>1353</v>
      </c>
    </row>
    <row r="5" spans="1:5" ht="72" thickBot="1">
      <c r="A5" s="1338" t="s">
        <v>1153</v>
      </c>
      <c r="B5" s="1217" t="s">
        <v>1175</v>
      </c>
      <c r="C5" s="1152" t="s">
        <v>1176</v>
      </c>
      <c r="D5" s="1153" t="s">
        <v>1177</v>
      </c>
      <c r="E5" s="1154" t="s">
        <v>1178</v>
      </c>
    </row>
    <row r="6" spans="1:5" ht="14.25">
      <c r="A6" s="1218" t="s">
        <v>120</v>
      </c>
      <c r="B6" s="1218" t="s">
        <v>121</v>
      </c>
      <c r="C6" s="1150" t="s">
        <v>122</v>
      </c>
      <c r="D6" s="1151" t="s">
        <v>419</v>
      </c>
      <c r="E6" s="1157" t="s">
        <v>420</v>
      </c>
    </row>
    <row r="7" spans="1:5" ht="30">
      <c r="A7" s="1159" t="s">
        <v>1179</v>
      </c>
      <c r="B7" s="1219">
        <v>30046632</v>
      </c>
      <c r="C7" s="1007">
        <v>30046632</v>
      </c>
      <c r="D7" s="1007">
        <f>B7-C7</f>
        <v>0</v>
      </c>
      <c r="E7" s="1158">
        <f t="shared" ref="E7:E10" si="0">SUM(B7-C7)</f>
        <v>0</v>
      </c>
    </row>
    <row r="8" spans="1:5" ht="15">
      <c r="A8" s="1159" t="s">
        <v>1180</v>
      </c>
      <c r="B8" s="1219">
        <v>178707969</v>
      </c>
      <c r="C8" s="1007">
        <v>178707969</v>
      </c>
      <c r="D8" s="1007">
        <f t="shared" ref="D8:D11" si="1">B8-C8</f>
        <v>0</v>
      </c>
      <c r="E8" s="1158">
        <f t="shared" si="0"/>
        <v>0</v>
      </c>
    </row>
    <row r="9" spans="1:5" ht="15">
      <c r="A9" s="1159" t="s">
        <v>1181</v>
      </c>
      <c r="B9" s="1219"/>
      <c r="C9" s="1007"/>
      <c r="D9" s="1007">
        <f t="shared" si="1"/>
        <v>0</v>
      </c>
      <c r="E9" s="1158">
        <f t="shared" si="0"/>
        <v>0</v>
      </c>
    </row>
    <row r="10" spans="1:5" ht="15">
      <c r="A10" s="1159" t="s">
        <v>304</v>
      </c>
      <c r="B10" s="1219">
        <v>313825730</v>
      </c>
      <c r="C10" s="1007">
        <v>313825730</v>
      </c>
      <c r="D10" s="1007">
        <f t="shared" si="1"/>
        <v>0</v>
      </c>
      <c r="E10" s="1158">
        <f t="shared" si="0"/>
        <v>0</v>
      </c>
    </row>
    <row r="11" spans="1:5" ht="30">
      <c r="A11" s="1216" t="s">
        <v>1182</v>
      </c>
      <c r="B11" s="1219">
        <v>30811442</v>
      </c>
      <c r="C11" s="1007">
        <v>30811442</v>
      </c>
      <c r="D11" s="1008">
        <f t="shared" si="1"/>
        <v>0</v>
      </c>
      <c r="E11" s="1158">
        <f>SUM(C11-B11)</f>
        <v>0</v>
      </c>
    </row>
    <row r="12" spans="1:5" ht="28.5">
      <c r="A12" s="1215" t="s">
        <v>1183</v>
      </c>
      <c r="B12" s="1220">
        <f>SUM(B8:B11)</f>
        <v>523345141</v>
      </c>
      <c r="C12" s="1214">
        <f>SUM(C8:C11)</f>
        <v>523345141</v>
      </c>
      <c r="D12" s="1214">
        <f t="shared" ref="D12" si="2">SUM(D7:D11)</f>
        <v>0</v>
      </c>
      <c r="E12" s="1221">
        <f>SUM(E7:E11)</f>
        <v>0</v>
      </c>
    </row>
    <row r="13" spans="1:5" ht="15">
      <c r="A13" s="1216"/>
      <c r="B13" s="1219"/>
      <c r="C13" s="1007"/>
      <c r="D13" s="1007"/>
      <c r="E13" s="1158"/>
    </row>
    <row r="14" spans="1:5" ht="30">
      <c r="A14" s="1216" t="s">
        <v>1541</v>
      </c>
      <c r="B14" s="1219">
        <v>750000000</v>
      </c>
      <c r="C14" s="1007">
        <v>0</v>
      </c>
      <c r="D14" s="1007">
        <v>0</v>
      </c>
      <c r="E14" s="1158">
        <f t="shared" ref="E14" si="3">SUM(B14-C14)</f>
        <v>750000000</v>
      </c>
    </row>
    <row r="15" spans="1:5" ht="15.75" thickBot="1">
      <c r="A15" s="1222"/>
      <c r="B15" s="1223"/>
      <c r="C15" s="1224"/>
      <c r="D15" s="1224"/>
      <c r="E15" s="1225"/>
    </row>
    <row r="16" spans="1:5" ht="15" thickBot="1">
      <c r="A16" s="1227" t="s">
        <v>110</v>
      </c>
      <c r="B16" s="1226">
        <f>B7+B12+B14</f>
        <v>1303391773</v>
      </c>
      <c r="C16" s="1155">
        <f t="shared" ref="C16:E16" si="4">C7+C12+C14</f>
        <v>553391773</v>
      </c>
      <c r="D16" s="1155">
        <f t="shared" si="4"/>
        <v>0</v>
      </c>
      <c r="E16" s="1156">
        <f t="shared" si="4"/>
        <v>750000000</v>
      </c>
    </row>
  </sheetData>
  <mergeCells count="2">
    <mergeCell ref="A1:E1"/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zoomScaleNormal="100" workbookViewId="0">
      <selection activeCell="C10" sqref="C10"/>
    </sheetView>
  </sheetViews>
  <sheetFormatPr defaultColWidth="8.85546875" defaultRowHeight="12.75"/>
  <cols>
    <col min="1" max="1" width="8.28515625" style="1023" customWidth="1"/>
    <col min="2" max="2" width="67.7109375" style="1023" customWidth="1"/>
    <col min="3" max="3" width="12.85546875" style="1023" customWidth="1"/>
  </cols>
  <sheetData>
    <row r="1" spans="1:3">
      <c r="A1" s="1741"/>
      <c r="B1" s="1742"/>
      <c r="C1" s="1742"/>
    </row>
    <row r="2" spans="1:3">
      <c r="A2" s="1009"/>
      <c r="B2" s="1010"/>
      <c r="C2" s="1010"/>
    </row>
    <row r="3" spans="1:3">
      <c r="A3" s="1953" t="s">
        <v>1185</v>
      </c>
      <c r="B3" s="1780"/>
      <c r="C3" s="1780"/>
    </row>
    <row r="4" spans="1:3">
      <c r="A4" s="1011"/>
      <c r="B4" s="991"/>
      <c r="C4" s="991"/>
    </row>
    <row r="5" spans="1:3">
      <c r="A5" s="1741" t="s">
        <v>1186</v>
      </c>
      <c r="B5" s="1742"/>
      <c r="C5" s="1742"/>
    </row>
    <row r="6" spans="1:3">
      <c r="A6" s="1009"/>
      <c r="B6" s="1010"/>
      <c r="C6" s="1010"/>
    </row>
    <row r="7" spans="1:3">
      <c r="A7" s="1741" t="s">
        <v>1198</v>
      </c>
      <c r="B7" s="1743"/>
      <c r="C7" s="1743"/>
    </row>
    <row r="8" spans="1:3">
      <c r="A8" s="1009"/>
      <c r="B8" s="1012"/>
      <c r="C8" s="1012"/>
    </row>
    <row r="9" spans="1:3">
      <c r="A9" s="1009"/>
      <c r="B9" s="1012"/>
      <c r="C9" s="1012"/>
    </row>
    <row r="10" spans="1:3" ht="15.75" thickBot="1">
      <c r="C10" s="1401" t="s">
        <v>1353</v>
      </c>
    </row>
    <row r="11" spans="1:3">
      <c r="A11" s="1160" t="s">
        <v>1187</v>
      </c>
      <c r="B11" s="1161" t="s">
        <v>119</v>
      </c>
      <c r="C11" s="1162" t="s">
        <v>1188</v>
      </c>
    </row>
    <row r="12" spans="1:3">
      <c r="A12" s="1163"/>
      <c r="B12" s="1014"/>
      <c r="C12" s="1164"/>
    </row>
    <row r="13" spans="1:3">
      <c r="A13" s="1163"/>
      <c r="B13" s="1015" t="s">
        <v>1189</v>
      </c>
      <c r="C13" s="1165">
        <v>92244</v>
      </c>
    </row>
    <row r="14" spans="1:3">
      <c r="A14" s="1163"/>
      <c r="B14" s="1016" t="s">
        <v>1190</v>
      </c>
      <c r="C14" s="1166">
        <v>4100633</v>
      </c>
    </row>
    <row r="15" spans="1:3">
      <c r="A15" s="1163"/>
      <c r="B15" s="1017" t="s">
        <v>1191</v>
      </c>
      <c r="C15" s="1167">
        <f>SUM(C13-C14)</f>
        <v>-4008389</v>
      </c>
    </row>
    <row r="16" spans="1:3">
      <c r="A16" s="1163"/>
      <c r="B16" s="1018" t="s">
        <v>1192</v>
      </c>
      <c r="C16" s="1166">
        <v>4255925</v>
      </c>
    </row>
    <row r="17" spans="1:3">
      <c r="A17" s="1168"/>
      <c r="B17" s="1017" t="s">
        <v>1193</v>
      </c>
      <c r="C17" s="1167">
        <f>SUM(C16)</f>
        <v>4255925</v>
      </c>
    </row>
    <row r="18" spans="1:3">
      <c r="A18" s="1168"/>
      <c r="B18" s="1013" t="s">
        <v>1194</v>
      </c>
      <c r="C18" s="1169">
        <f>SUM(C17,C15)</f>
        <v>247536</v>
      </c>
    </row>
    <row r="19" spans="1:3">
      <c r="A19" s="1168"/>
      <c r="B19" s="1013"/>
      <c r="C19" s="1170"/>
    </row>
    <row r="20" spans="1:3">
      <c r="A20" s="1168"/>
      <c r="B20" s="1013"/>
      <c r="C20" s="1170"/>
    </row>
    <row r="21" spans="1:3">
      <c r="A21" s="1168"/>
      <c r="B21" s="1013" t="s">
        <v>1533</v>
      </c>
      <c r="C21" s="1170"/>
    </row>
    <row r="22" spans="1:3">
      <c r="A22" s="1211">
        <v>3011</v>
      </c>
      <c r="B22" s="1025" t="s">
        <v>83</v>
      </c>
      <c r="C22" s="1169">
        <f>SUM(C23:C26)</f>
        <v>4140</v>
      </c>
    </row>
    <row r="23" spans="1:3">
      <c r="A23" s="1168"/>
      <c r="B23" s="1019" t="s">
        <v>234</v>
      </c>
      <c r="C23" s="1171">
        <v>0</v>
      </c>
    </row>
    <row r="24" spans="1:3">
      <c r="A24" s="1168"/>
      <c r="B24" s="1019" t="s">
        <v>1195</v>
      </c>
      <c r="C24" s="1171">
        <v>0</v>
      </c>
    </row>
    <row r="25" spans="1:3">
      <c r="A25" s="1168"/>
      <c r="B25" s="1019" t="s">
        <v>235</v>
      </c>
      <c r="C25" s="1171">
        <v>1717</v>
      </c>
    </row>
    <row r="26" spans="1:3">
      <c r="A26" s="1168"/>
      <c r="B26" s="1019" t="s">
        <v>190</v>
      </c>
      <c r="C26" s="1171">
        <v>2423</v>
      </c>
    </row>
    <row r="27" spans="1:3">
      <c r="A27" s="1211">
        <v>3021</v>
      </c>
      <c r="B27" s="1025" t="s">
        <v>281</v>
      </c>
      <c r="C27" s="1169">
        <f>SUM(C28:C32)</f>
        <v>229335</v>
      </c>
    </row>
    <row r="28" spans="1:3">
      <c r="A28" s="1168"/>
      <c r="B28" s="1019" t="s">
        <v>234</v>
      </c>
      <c r="C28" s="1171">
        <v>58111</v>
      </c>
    </row>
    <row r="29" spans="1:3">
      <c r="A29" s="1168"/>
      <c r="B29" s="1020" t="s">
        <v>1195</v>
      </c>
      <c r="C29" s="1171">
        <v>23738</v>
      </c>
    </row>
    <row r="30" spans="1:3">
      <c r="A30" s="1168"/>
      <c r="B30" s="1019" t="s">
        <v>235</v>
      </c>
      <c r="C30" s="1171">
        <v>133279</v>
      </c>
    </row>
    <row r="31" spans="1:3">
      <c r="A31" s="1168"/>
      <c r="B31" s="1019" t="s">
        <v>190</v>
      </c>
      <c r="C31" s="1171">
        <v>1067</v>
      </c>
    </row>
    <row r="32" spans="1:3">
      <c r="A32" s="1168"/>
      <c r="B32" s="1019" t="s">
        <v>1532</v>
      </c>
      <c r="C32" s="1171">
        <v>13140</v>
      </c>
    </row>
    <row r="33" spans="1:3">
      <c r="A33" s="1211">
        <v>3026</v>
      </c>
      <c r="B33" s="1025" t="s">
        <v>229</v>
      </c>
      <c r="C33" s="1169">
        <f>SUM(C34:C35)</f>
        <v>85702</v>
      </c>
    </row>
    <row r="34" spans="1:3">
      <c r="A34" s="1168"/>
      <c r="B34" s="1019" t="s">
        <v>235</v>
      </c>
      <c r="C34" s="1171">
        <v>55828</v>
      </c>
    </row>
    <row r="35" spans="1:3">
      <c r="A35" s="1168"/>
      <c r="B35" s="1019" t="s">
        <v>190</v>
      </c>
      <c r="C35" s="1171">
        <v>29874</v>
      </c>
    </row>
    <row r="36" spans="1:3">
      <c r="A36" s="1172"/>
      <c r="B36" s="1021"/>
      <c r="C36" s="1169"/>
    </row>
    <row r="37" spans="1:3">
      <c r="A37" s="1172"/>
      <c r="B37" s="1021" t="s">
        <v>1196</v>
      </c>
      <c r="C37" s="1169">
        <f>C22+C27+C33</f>
        <v>319177</v>
      </c>
    </row>
    <row r="38" spans="1:3">
      <c r="A38" s="1172"/>
      <c r="B38" s="1021"/>
      <c r="C38" s="1169"/>
    </row>
    <row r="39" spans="1:3">
      <c r="A39" s="1173"/>
      <c r="B39" s="1022" t="s">
        <v>1197</v>
      </c>
      <c r="C39" s="1169">
        <f>C18-C37</f>
        <v>-71641</v>
      </c>
    </row>
    <row r="40" spans="1:3" ht="13.5" thickBot="1">
      <c r="A40" s="1177"/>
      <c r="B40" s="1178"/>
      <c r="C40" s="1179"/>
    </row>
    <row r="41" spans="1:3" ht="13.5" thickBot="1">
      <c r="A41" s="1180"/>
      <c r="B41" s="1181" t="s">
        <v>110</v>
      </c>
      <c r="C41" s="1182">
        <f>SUM(C37+C39)</f>
        <v>247536</v>
      </c>
    </row>
    <row r="42" spans="1:3">
      <c r="B42" s="1024"/>
    </row>
  </sheetData>
  <mergeCells count="4">
    <mergeCell ref="A1:C1"/>
    <mergeCell ref="A3:C3"/>
    <mergeCell ref="A5:C5"/>
    <mergeCell ref="A7:C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E109"/>
  <sheetViews>
    <sheetView topLeftCell="A81" zoomScaleNormal="100" workbookViewId="0">
      <selection activeCell="F85" sqref="F85"/>
    </sheetView>
  </sheetViews>
  <sheetFormatPr defaultColWidth="8.85546875" defaultRowHeight="12.75"/>
  <cols>
    <col min="2" max="2" width="77" customWidth="1"/>
    <col min="3" max="3" width="21.85546875" customWidth="1"/>
  </cols>
  <sheetData>
    <row r="2" spans="1:3">
      <c r="A2" s="1741" t="s">
        <v>1199</v>
      </c>
      <c r="B2" s="1742"/>
      <c r="C2" s="1742"/>
    </row>
    <row r="3" spans="1:3">
      <c r="A3" s="1009"/>
      <c r="B3" s="1010"/>
      <c r="C3" s="1010"/>
    </row>
    <row r="4" spans="1:3">
      <c r="A4" s="1741" t="s">
        <v>1200</v>
      </c>
      <c r="B4" s="1742"/>
      <c r="C4" s="1742"/>
    </row>
    <row r="5" spans="1:3">
      <c r="A5" s="1009"/>
      <c r="B5" s="1010"/>
      <c r="C5" s="1010"/>
    </row>
    <row r="6" spans="1:3">
      <c r="A6" s="1741" t="s">
        <v>1198</v>
      </c>
      <c r="B6" s="1743"/>
      <c r="C6" s="1743"/>
    </row>
    <row r="7" spans="1:3" ht="15.75" thickBot="1">
      <c r="A7" s="1023"/>
      <c r="B7" s="1023"/>
      <c r="C7" s="1401" t="s">
        <v>1353</v>
      </c>
    </row>
    <row r="8" spans="1:3">
      <c r="A8" s="1160" t="s">
        <v>1187</v>
      </c>
      <c r="B8" s="1161" t="s">
        <v>119</v>
      </c>
      <c r="C8" s="1162" t="s">
        <v>1188</v>
      </c>
    </row>
    <row r="9" spans="1:3">
      <c r="A9" s="1163"/>
      <c r="B9" s="1013"/>
      <c r="C9" s="1183"/>
    </row>
    <row r="10" spans="1:3">
      <c r="A10" s="1168"/>
      <c r="B10" s="1015" t="s">
        <v>1189</v>
      </c>
      <c r="C10" s="1184">
        <v>34595300</v>
      </c>
    </row>
    <row r="11" spans="1:3">
      <c r="A11" s="1185"/>
      <c r="B11" s="1016" t="s">
        <v>1190</v>
      </c>
      <c r="C11" s="1184">
        <v>15685730</v>
      </c>
    </row>
    <row r="12" spans="1:3">
      <c r="A12" s="1185"/>
      <c r="B12" s="1017" t="s">
        <v>1191</v>
      </c>
      <c r="C12" s="1186">
        <f>SUM(C10-C11)</f>
        <v>18909570</v>
      </c>
    </row>
    <row r="13" spans="1:3">
      <c r="A13" s="1185"/>
      <c r="B13" s="1018" t="s">
        <v>1192</v>
      </c>
      <c r="C13" s="1184">
        <v>44074159</v>
      </c>
    </row>
    <row r="14" spans="1:3">
      <c r="A14" s="1185"/>
      <c r="B14" s="1016" t="s">
        <v>1201</v>
      </c>
      <c r="C14" s="1184">
        <v>60801832</v>
      </c>
    </row>
    <row r="15" spans="1:3">
      <c r="A15" s="1185"/>
      <c r="B15" s="1017" t="s">
        <v>1193</v>
      </c>
      <c r="C15" s="1186">
        <f>SUM(C13-C14)</f>
        <v>-16727673</v>
      </c>
    </row>
    <row r="16" spans="1:3">
      <c r="A16" s="1185"/>
      <c r="B16" s="1025" t="s">
        <v>1194</v>
      </c>
      <c r="C16" s="1169">
        <f>C12+C15</f>
        <v>2181897</v>
      </c>
    </row>
    <row r="17" spans="1:3">
      <c r="A17" s="1185"/>
      <c r="B17" s="1025"/>
      <c r="C17" s="1169"/>
    </row>
    <row r="18" spans="1:3">
      <c r="A18" s="1185"/>
      <c r="B18" s="1025"/>
      <c r="C18" s="1169"/>
    </row>
    <row r="19" spans="1:3">
      <c r="A19" s="1185"/>
      <c r="B19" s="1025" t="s">
        <v>1540</v>
      </c>
      <c r="C19" s="1169">
        <v>0</v>
      </c>
    </row>
    <row r="20" spans="1:3">
      <c r="A20" s="1187"/>
      <c r="B20" s="1026"/>
      <c r="C20" s="1188"/>
    </row>
    <row r="21" spans="1:3">
      <c r="A21" s="1187"/>
      <c r="B21" s="1013" t="s">
        <v>1535</v>
      </c>
      <c r="C21" s="1188"/>
    </row>
    <row r="22" spans="1:3">
      <c r="A22" s="1187">
        <v>1801</v>
      </c>
      <c r="B22" s="1018" t="s">
        <v>1202</v>
      </c>
      <c r="C22" s="1188">
        <v>4640</v>
      </c>
    </row>
    <row r="23" spans="1:3">
      <c r="A23" s="1187"/>
      <c r="B23" s="1026"/>
      <c r="C23" s="1188"/>
    </row>
    <row r="24" spans="1:3">
      <c r="A24" s="1168"/>
      <c r="B24" s="1013" t="s">
        <v>1534</v>
      </c>
      <c r="C24" s="1189"/>
    </row>
    <row r="25" spans="1:3">
      <c r="A25" s="1168">
        <v>3056</v>
      </c>
      <c r="B25" s="1018" t="s">
        <v>381</v>
      </c>
      <c r="C25" s="1189">
        <v>6163</v>
      </c>
    </row>
    <row r="26" spans="1:3">
      <c r="A26" s="1168">
        <v>3057</v>
      </c>
      <c r="B26" s="1018" t="s">
        <v>708</v>
      </c>
      <c r="C26" s="1189">
        <v>144510</v>
      </c>
    </row>
    <row r="27" spans="1:3">
      <c r="A27" s="1168">
        <v>3058</v>
      </c>
      <c r="B27" s="1018" t="s">
        <v>709</v>
      </c>
      <c r="C27" s="1189">
        <v>11843</v>
      </c>
    </row>
    <row r="28" spans="1:3">
      <c r="A28" s="1168">
        <v>3059</v>
      </c>
      <c r="B28" s="1018" t="s">
        <v>776</v>
      </c>
      <c r="C28" s="1189">
        <v>11486</v>
      </c>
    </row>
    <row r="29" spans="1:3">
      <c r="A29" s="1168">
        <v>3061</v>
      </c>
      <c r="B29" s="1018" t="s">
        <v>90</v>
      </c>
      <c r="C29" s="1189">
        <v>3279</v>
      </c>
    </row>
    <row r="30" spans="1:3">
      <c r="A30" s="1168">
        <v>3071</v>
      </c>
      <c r="B30" s="1018" t="s">
        <v>100</v>
      </c>
      <c r="C30" s="1189">
        <v>18341</v>
      </c>
    </row>
    <row r="31" spans="1:3">
      <c r="A31" s="1168">
        <v>3081</v>
      </c>
      <c r="B31" s="1018" t="s">
        <v>104</v>
      </c>
      <c r="C31" s="1189">
        <v>2858</v>
      </c>
    </row>
    <row r="32" spans="1:3">
      <c r="A32" s="1168">
        <v>3111</v>
      </c>
      <c r="B32" s="1018" t="s">
        <v>117</v>
      </c>
      <c r="C32" s="1189">
        <v>334392</v>
      </c>
    </row>
    <row r="33" spans="1:3">
      <c r="A33" s="1168">
        <v>3112</v>
      </c>
      <c r="B33" s="1018" t="s">
        <v>314</v>
      </c>
      <c r="C33" s="1189">
        <v>37135</v>
      </c>
    </row>
    <row r="34" spans="1:3">
      <c r="A34" s="1168">
        <v>3114</v>
      </c>
      <c r="B34" s="1018" t="s">
        <v>92</v>
      </c>
      <c r="C34" s="1189">
        <v>16885</v>
      </c>
    </row>
    <row r="35" spans="1:3">
      <c r="A35" s="1168">
        <v>3115</v>
      </c>
      <c r="B35" s="1018" t="s">
        <v>393</v>
      </c>
      <c r="C35" s="1189">
        <f>9381-1689</f>
        <v>7692</v>
      </c>
    </row>
    <row r="36" spans="1:3">
      <c r="A36" s="1168">
        <v>3116</v>
      </c>
      <c r="B36" s="1018" t="s">
        <v>380</v>
      </c>
      <c r="C36" s="1189">
        <v>2596</v>
      </c>
    </row>
    <row r="37" spans="1:3">
      <c r="A37" s="1168">
        <v>3121</v>
      </c>
      <c r="B37" s="1018" t="s">
        <v>136</v>
      </c>
      <c r="C37" s="1189">
        <v>1651</v>
      </c>
    </row>
    <row r="38" spans="1:3">
      <c r="A38" s="1168">
        <v>3123</v>
      </c>
      <c r="B38" s="1018" t="s">
        <v>91</v>
      </c>
      <c r="C38" s="1189">
        <v>1663</v>
      </c>
    </row>
    <row r="39" spans="1:3">
      <c r="A39" s="1168">
        <v>3145</v>
      </c>
      <c r="B39" s="1018" t="s">
        <v>296</v>
      </c>
      <c r="C39" s="1189">
        <v>2822</v>
      </c>
    </row>
    <row r="40" spans="1:3">
      <c r="A40" s="1168">
        <v>3146</v>
      </c>
      <c r="B40" s="1018" t="s">
        <v>738</v>
      </c>
      <c r="C40" s="1189">
        <v>262</v>
      </c>
    </row>
    <row r="41" spans="1:3">
      <c r="A41" s="1168">
        <v>3148</v>
      </c>
      <c r="B41" s="1018" t="s">
        <v>855</v>
      </c>
      <c r="C41" s="1189">
        <v>984</v>
      </c>
    </row>
    <row r="42" spans="1:3">
      <c r="A42" s="1168">
        <v>3200</v>
      </c>
      <c r="B42" s="1018" t="s">
        <v>315</v>
      </c>
      <c r="C42" s="1189">
        <v>4249</v>
      </c>
    </row>
    <row r="43" spans="1:3">
      <c r="A43" s="1168">
        <v>3201</v>
      </c>
      <c r="B43" s="1018" t="s">
        <v>276</v>
      </c>
      <c r="C43" s="1189">
        <v>43045</v>
      </c>
    </row>
    <row r="44" spans="1:3">
      <c r="A44" s="1168">
        <v>3202</v>
      </c>
      <c r="B44" s="1018" t="s">
        <v>739</v>
      </c>
      <c r="C44" s="1189">
        <v>580</v>
      </c>
    </row>
    <row r="45" spans="1:3">
      <c r="A45" s="1168">
        <v>3204</v>
      </c>
      <c r="B45" s="1018" t="s">
        <v>299</v>
      </c>
      <c r="C45" s="1189">
        <v>10321</v>
      </c>
    </row>
    <row r="46" spans="1:3">
      <c r="A46" s="1168">
        <v>3205</v>
      </c>
      <c r="B46" s="1018" t="s">
        <v>1203</v>
      </c>
      <c r="C46" s="1189">
        <v>25682</v>
      </c>
    </row>
    <row r="47" spans="1:3">
      <c r="A47" s="1168">
        <v>3206</v>
      </c>
      <c r="B47" s="1018" t="s">
        <v>762</v>
      </c>
      <c r="C47" s="1189">
        <v>2481</v>
      </c>
    </row>
    <row r="48" spans="1:3">
      <c r="A48" s="1168">
        <v>3207</v>
      </c>
      <c r="B48" s="1018" t="s">
        <v>225</v>
      </c>
      <c r="C48" s="1189">
        <v>123</v>
      </c>
    </row>
    <row r="49" spans="1:3">
      <c r="A49" s="1168">
        <v>3208</v>
      </c>
      <c r="B49" s="1018" t="s">
        <v>139</v>
      </c>
      <c r="C49" s="1189">
        <v>9178</v>
      </c>
    </row>
    <row r="50" spans="1:3">
      <c r="A50" s="1168">
        <v>3211</v>
      </c>
      <c r="B50" s="1018" t="s">
        <v>417</v>
      </c>
      <c r="C50" s="1189">
        <v>85464</v>
      </c>
    </row>
    <row r="51" spans="1:3">
      <c r="A51" s="1168">
        <v>3212</v>
      </c>
      <c r="B51" s="1018" t="s">
        <v>316</v>
      </c>
      <c r="C51" s="1189">
        <v>133080</v>
      </c>
    </row>
    <row r="52" spans="1:3">
      <c r="A52" s="1168">
        <v>3213</v>
      </c>
      <c r="B52" s="1018" t="s">
        <v>648</v>
      </c>
      <c r="C52" s="1189">
        <v>48440</v>
      </c>
    </row>
    <row r="53" spans="1:3">
      <c r="A53" s="1168">
        <v>3216</v>
      </c>
      <c r="B53" s="1018" t="s">
        <v>659</v>
      </c>
      <c r="C53" s="1189">
        <v>33996</v>
      </c>
    </row>
    <row r="54" spans="1:3">
      <c r="A54" s="1168">
        <v>3217</v>
      </c>
      <c r="B54" s="1018" t="s">
        <v>842</v>
      </c>
      <c r="C54" s="1189">
        <v>15527</v>
      </c>
    </row>
    <row r="55" spans="1:3">
      <c r="A55" s="1168">
        <v>3223</v>
      </c>
      <c r="B55" s="1018" t="s">
        <v>53</v>
      </c>
      <c r="C55" s="1189">
        <v>1469</v>
      </c>
    </row>
    <row r="56" spans="1:3">
      <c r="A56" s="1168">
        <v>3227</v>
      </c>
      <c r="B56" s="1018" t="s">
        <v>896</v>
      </c>
      <c r="C56" s="1189">
        <v>4829</v>
      </c>
    </row>
    <row r="57" spans="1:3">
      <c r="A57" s="1168">
        <v>3301</v>
      </c>
      <c r="B57" s="1018" t="s">
        <v>109</v>
      </c>
      <c r="C57" s="1189">
        <v>960</v>
      </c>
    </row>
    <row r="58" spans="1:3">
      <c r="A58" s="1168">
        <v>3306</v>
      </c>
      <c r="B58" s="1018" t="s">
        <v>711</v>
      </c>
      <c r="C58" s="1189">
        <v>5</v>
      </c>
    </row>
    <row r="59" spans="1:3">
      <c r="A59" s="1168">
        <v>3308</v>
      </c>
      <c r="B59" s="1018" t="s">
        <v>849</v>
      </c>
      <c r="C59" s="1189">
        <v>6791</v>
      </c>
    </row>
    <row r="60" spans="1:3">
      <c r="A60" s="1168">
        <v>3312</v>
      </c>
      <c r="B60" s="1018" t="s">
        <v>295</v>
      </c>
      <c r="C60" s="1189">
        <v>107</v>
      </c>
    </row>
    <row r="61" spans="1:3">
      <c r="A61" s="1168">
        <v>3313</v>
      </c>
      <c r="B61" s="1018" t="s">
        <v>751</v>
      </c>
      <c r="C61" s="1189">
        <v>75</v>
      </c>
    </row>
    <row r="62" spans="1:3">
      <c r="A62" s="1168">
        <v>3317</v>
      </c>
      <c r="B62" s="1018" t="s">
        <v>712</v>
      </c>
      <c r="C62" s="1189">
        <v>74</v>
      </c>
    </row>
    <row r="63" spans="1:3">
      <c r="A63" s="1168">
        <v>3340</v>
      </c>
      <c r="B63" s="1018" t="s">
        <v>361</v>
      </c>
      <c r="C63" s="1189">
        <v>2983</v>
      </c>
    </row>
    <row r="64" spans="1:3">
      <c r="A64" s="1168">
        <v>3341</v>
      </c>
      <c r="B64" s="1018" t="s">
        <v>297</v>
      </c>
      <c r="C64" s="1189">
        <v>2656</v>
      </c>
    </row>
    <row r="65" spans="1:3">
      <c r="A65" s="1168">
        <v>3344</v>
      </c>
      <c r="B65" s="1018" t="s">
        <v>214</v>
      </c>
      <c r="C65" s="1189">
        <v>2567</v>
      </c>
    </row>
    <row r="66" spans="1:3">
      <c r="A66" s="1168">
        <v>3346</v>
      </c>
      <c r="B66" s="1018" t="s">
        <v>86</v>
      </c>
      <c r="C66" s="1189">
        <v>3187</v>
      </c>
    </row>
    <row r="67" spans="1:3">
      <c r="A67" s="1168">
        <v>3347</v>
      </c>
      <c r="B67" s="1018" t="s">
        <v>87</v>
      </c>
      <c r="C67" s="1189">
        <v>2000</v>
      </c>
    </row>
    <row r="68" spans="1:3">
      <c r="A68" s="1168">
        <v>3350</v>
      </c>
      <c r="B68" s="1018" t="s">
        <v>395</v>
      </c>
      <c r="C68" s="1189">
        <v>393</v>
      </c>
    </row>
    <row r="69" spans="1:3">
      <c r="A69" s="1168">
        <v>3352</v>
      </c>
      <c r="B69" s="1018" t="s">
        <v>392</v>
      </c>
      <c r="C69" s="1189">
        <v>13469</v>
      </c>
    </row>
    <row r="70" spans="1:3">
      <c r="A70" s="1168">
        <v>3353</v>
      </c>
      <c r="B70" s="1018" t="s">
        <v>728</v>
      </c>
      <c r="C70" s="1189">
        <v>1412</v>
      </c>
    </row>
    <row r="71" spans="1:3">
      <c r="A71" s="1168">
        <v>3355</v>
      </c>
      <c r="B71" s="1018" t="s">
        <v>956</v>
      </c>
      <c r="C71" s="1189">
        <v>9730</v>
      </c>
    </row>
    <row r="72" spans="1:3">
      <c r="A72" s="1168">
        <v>3412</v>
      </c>
      <c r="B72" s="1018" t="s">
        <v>298</v>
      </c>
      <c r="C72" s="1189">
        <v>10507</v>
      </c>
    </row>
    <row r="73" spans="1:3">
      <c r="A73" s="1168">
        <v>3413</v>
      </c>
      <c r="B73" s="1018" t="s">
        <v>101</v>
      </c>
      <c r="C73" s="1189">
        <v>4318</v>
      </c>
    </row>
    <row r="74" spans="1:3">
      <c r="A74" s="1168">
        <v>3415</v>
      </c>
      <c r="B74" s="1018" t="s">
        <v>814</v>
      </c>
      <c r="C74" s="1189">
        <v>1500</v>
      </c>
    </row>
    <row r="75" spans="1:3">
      <c r="A75" s="1168">
        <v>3421</v>
      </c>
      <c r="B75" s="1018" t="s">
        <v>306</v>
      </c>
      <c r="C75" s="1189">
        <v>17464</v>
      </c>
    </row>
    <row r="76" spans="1:3">
      <c r="A76" s="1168">
        <v>3422</v>
      </c>
      <c r="B76" s="1018" t="s">
        <v>779</v>
      </c>
      <c r="C76" s="1189">
        <v>5623</v>
      </c>
    </row>
    <row r="77" spans="1:3">
      <c r="A77" s="1168">
        <v>3423</v>
      </c>
      <c r="B77" s="1018" t="s">
        <v>102</v>
      </c>
      <c r="C77" s="1189">
        <v>5841</v>
      </c>
    </row>
    <row r="78" spans="1:3">
      <c r="A78" s="1168">
        <v>3424</v>
      </c>
      <c r="B78" s="1018" t="s">
        <v>778</v>
      </c>
      <c r="C78" s="1189">
        <v>3810</v>
      </c>
    </row>
    <row r="79" spans="1:3">
      <c r="A79" s="1168">
        <v>3433</v>
      </c>
      <c r="B79" s="1018" t="s">
        <v>810</v>
      </c>
      <c r="C79" s="1189">
        <v>19539</v>
      </c>
    </row>
    <row r="80" spans="1:3">
      <c r="A80" s="1168">
        <v>3451</v>
      </c>
      <c r="B80" s="1018" t="s">
        <v>1204</v>
      </c>
      <c r="C80" s="1189">
        <v>2077</v>
      </c>
    </row>
    <row r="81" spans="1:5">
      <c r="A81" s="1168"/>
      <c r="B81" s="1013" t="s">
        <v>1536</v>
      </c>
      <c r="C81" s="1169">
        <f>SUM(C25:C80)</f>
        <v>1140114</v>
      </c>
      <c r="E81" s="30"/>
    </row>
    <row r="82" spans="1:5">
      <c r="A82" s="1168"/>
      <c r="B82" s="1013"/>
      <c r="C82" s="1169"/>
    </row>
    <row r="83" spans="1:5">
      <c r="A83" s="1168"/>
      <c r="B83" s="1013" t="s">
        <v>1537</v>
      </c>
      <c r="C83" s="1169"/>
    </row>
    <row r="84" spans="1:5">
      <c r="A84" s="1168">
        <v>3911</v>
      </c>
      <c r="B84" s="1016" t="s">
        <v>661</v>
      </c>
      <c r="C84" s="1190">
        <v>53</v>
      </c>
    </row>
    <row r="85" spans="1:5">
      <c r="A85" s="1168">
        <v>3924</v>
      </c>
      <c r="B85" s="1016" t="s">
        <v>397</v>
      </c>
      <c r="C85" s="1190">
        <v>750</v>
      </c>
    </row>
    <row r="86" spans="1:5">
      <c r="A86" s="1168">
        <v>3926</v>
      </c>
      <c r="B86" s="1016" t="s">
        <v>763</v>
      </c>
      <c r="C86" s="1190">
        <v>2000</v>
      </c>
    </row>
    <row r="87" spans="1:5" ht="12" customHeight="1">
      <c r="A87" s="1168">
        <v>3928</v>
      </c>
      <c r="B87" s="1016" t="s">
        <v>112</v>
      </c>
      <c r="C87" s="1190">
        <v>211961</v>
      </c>
    </row>
    <row r="88" spans="1:5" ht="12" customHeight="1">
      <c r="A88" s="1168">
        <v>3931</v>
      </c>
      <c r="B88" s="1016" t="s">
        <v>115</v>
      </c>
      <c r="C88" s="1190">
        <v>125</v>
      </c>
    </row>
    <row r="89" spans="1:5">
      <c r="A89" s="1168">
        <v>3972</v>
      </c>
      <c r="B89" s="1018" t="s">
        <v>721</v>
      </c>
      <c r="C89" s="1190">
        <v>3259</v>
      </c>
    </row>
    <row r="90" spans="1:5">
      <c r="A90" s="1168">
        <v>3973</v>
      </c>
      <c r="B90" s="1018" t="s">
        <v>734</v>
      </c>
      <c r="C90" s="1190">
        <v>1517</v>
      </c>
    </row>
    <row r="91" spans="1:5">
      <c r="A91" s="1168"/>
      <c r="B91" s="1013" t="s">
        <v>1538</v>
      </c>
      <c r="C91" s="1169">
        <f>SUM(C84:C90)</f>
        <v>219665</v>
      </c>
    </row>
    <row r="92" spans="1:5">
      <c r="A92" s="1187"/>
      <c r="B92" s="1016"/>
      <c r="C92" s="1188"/>
    </row>
    <row r="93" spans="1:5">
      <c r="A93" s="1168"/>
      <c r="B93" s="1013" t="s">
        <v>1205</v>
      </c>
      <c r="C93" s="1169">
        <v>0</v>
      </c>
    </row>
    <row r="94" spans="1:5">
      <c r="A94" s="1168"/>
      <c r="B94" s="1018"/>
      <c r="C94" s="1189"/>
    </row>
    <row r="95" spans="1:5">
      <c r="A95" s="1172"/>
      <c r="B95" s="1013" t="s">
        <v>1539</v>
      </c>
      <c r="C95" s="1169">
        <f>SUM(C94:C94)</f>
        <v>0</v>
      </c>
      <c r="D95" s="30"/>
    </row>
    <row r="96" spans="1:5">
      <c r="A96" s="1172"/>
      <c r="B96" s="1013"/>
      <c r="C96" s="1169"/>
    </row>
    <row r="97" spans="1:3">
      <c r="A97" s="1172"/>
      <c r="B97" s="1013" t="s">
        <v>1206</v>
      </c>
      <c r="C97" s="1169">
        <v>0</v>
      </c>
    </row>
    <row r="98" spans="1:3">
      <c r="A98" s="1168"/>
      <c r="B98" s="1018"/>
      <c r="C98" s="1190"/>
    </row>
    <row r="99" spans="1:3">
      <c r="A99" s="1172"/>
      <c r="B99" s="1013" t="s">
        <v>1207</v>
      </c>
      <c r="C99" s="1169">
        <f>SUM(C98:C98)</f>
        <v>0</v>
      </c>
    </row>
    <row r="100" spans="1:3">
      <c r="A100" s="1172"/>
      <c r="B100" s="1013"/>
      <c r="C100" s="1169"/>
    </row>
    <row r="101" spans="1:3">
      <c r="A101" s="1172"/>
      <c r="B101" s="1013" t="s">
        <v>1196</v>
      </c>
      <c r="C101" s="1169">
        <f>C22+C81+C91+C95+C99</f>
        <v>1364419</v>
      </c>
    </row>
    <row r="102" spans="1:3">
      <c r="A102" s="1172"/>
      <c r="B102" s="1013"/>
      <c r="C102" s="1169"/>
    </row>
    <row r="103" spans="1:3">
      <c r="A103" s="1172"/>
      <c r="B103" s="1013" t="s">
        <v>1797</v>
      </c>
      <c r="C103" s="1169">
        <v>465460</v>
      </c>
    </row>
    <row r="104" spans="1:3">
      <c r="A104" s="1172"/>
      <c r="B104" s="1013" t="s">
        <v>1798</v>
      </c>
      <c r="C104" s="1169">
        <v>71641</v>
      </c>
    </row>
    <row r="105" spans="1:3" s="1715" customFormat="1">
      <c r="A105" s="1740"/>
      <c r="B105" s="1025" t="s">
        <v>1799</v>
      </c>
      <c r="C105" s="1169">
        <v>3983</v>
      </c>
    </row>
    <row r="106" spans="1:3">
      <c r="A106" s="1172"/>
      <c r="B106" s="1013"/>
      <c r="C106" s="1169"/>
    </row>
    <row r="107" spans="1:3">
      <c r="A107" s="1172"/>
      <c r="B107" s="1013" t="s">
        <v>1800</v>
      </c>
      <c r="C107" s="1169">
        <f>SUM(C16-C101-C103-C104-C105)</f>
        <v>276394</v>
      </c>
    </row>
    <row r="108" spans="1:3">
      <c r="A108" s="1172"/>
      <c r="B108" s="1027"/>
      <c r="C108" s="1169"/>
    </row>
    <row r="109" spans="1:3" ht="13.5" thickBot="1">
      <c r="A109" s="1174"/>
      <c r="B109" s="1175" t="s">
        <v>130</v>
      </c>
      <c r="C109" s="1176">
        <f>SUM(C107,C105,C104,C103,C101)</f>
        <v>2181897</v>
      </c>
    </row>
  </sheetData>
  <mergeCells count="3">
    <mergeCell ref="A2:C2"/>
    <mergeCell ref="A4:C4"/>
    <mergeCell ref="A6:C6"/>
  </mergeCells>
  <pageMargins left="0.7" right="0.7" top="0.75" bottom="0.75" header="0.3" footer="0.3"/>
  <pageSetup paperSize="9" scale="82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Q37"/>
  <sheetViews>
    <sheetView view="pageBreakPreview" topLeftCell="A7" zoomScale="60" zoomScaleNormal="90" workbookViewId="0">
      <selection activeCell="R36" sqref="R36"/>
    </sheetView>
  </sheetViews>
  <sheetFormatPr defaultColWidth="8.85546875" defaultRowHeight="12.75"/>
  <cols>
    <col min="1" max="1" width="18" customWidth="1"/>
    <col min="2" max="2" width="16.42578125" customWidth="1"/>
    <col min="3" max="3" width="15.5703125" customWidth="1"/>
    <col min="4" max="4" width="16.42578125" customWidth="1"/>
    <col min="5" max="5" width="16.140625" customWidth="1"/>
    <col min="6" max="8" width="13.5703125" customWidth="1"/>
    <col min="9" max="9" width="15.140625" customWidth="1"/>
    <col min="10" max="10" width="13.85546875" customWidth="1"/>
    <col min="11" max="12" width="11.140625" customWidth="1"/>
    <col min="13" max="13" width="11.85546875" customWidth="1"/>
    <col min="14" max="15" width="12" customWidth="1"/>
  </cols>
  <sheetData>
    <row r="2" spans="1:17">
      <c r="A2" s="1965" t="s">
        <v>1208</v>
      </c>
      <c r="B2" s="1965"/>
      <c r="C2" s="1965"/>
      <c r="D2" s="1965"/>
      <c r="E2" s="1965"/>
      <c r="F2" s="1965"/>
      <c r="G2" s="1965"/>
      <c r="H2" s="1965"/>
      <c r="I2" s="1965"/>
      <c r="J2" s="1965"/>
      <c r="K2" s="1965"/>
      <c r="L2" s="1965"/>
      <c r="M2" s="1965"/>
    </row>
    <row r="3" spans="1:17">
      <c r="A3" s="1028"/>
      <c r="B3" s="1028"/>
      <c r="C3" s="1028"/>
      <c r="D3" s="1028"/>
      <c r="E3" s="1028"/>
      <c r="F3" s="1028"/>
      <c r="G3" s="1028"/>
      <c r="H3" s="1028"/>
      <c r="I3" s="1028"/>
      <c r="J3" s="1028"/>
      <c r="K3" s="1028"/>
      <c r="L3" s="1028"/>
      <c r="M3" s="1028"/>
    </row>
    <row r="4" spans="1:17">
      <c r="A4" s="1965" t="s">
        <v>1209</v>
      </c>
      <c r="B4" s="1965"/>
      <c r="C4" s="1965"/>
      <c r="D4" s="1965"/>
      <c r="E4" s="1965"/>
      <c r="F4" s="1965"/>
      <c r="G4" s="1965"/>
      <c r="H4" s="1965"/>
      <c r="I4" s="1965"/>
      <c r="J4" s="1965"/>
      <c r="K4" s="1965"/>
      <c r="L4" s="1965"/>
      <c r="M4" s="1965"/>
    </row>
    <row r="5" spans="1:17">
      <c r="A5" s="1028"/>
      <c r="B5" s="1028"/>
      <c r="C5" s="1028"/>
      <c r="D5" s="1028"/>
      <c r="E5" s="1028"/>
      <c r="F5" s="1028"/>
      <c r="G5" s="1028"/>
      <c r="H5" s="1028"/>
      <c r="I5" s="1028"/>
      <c r="J5" s="1028"/>
      <c r="K5" s="1028"/>
      <c r="L5" s="1028"/>
      <c r="M5" s="1028"/>
    </row>
    <row r="6" spans="1:17">
      <c r="A6" s="1965" t="s">
        <v>1795</v>
      </c>
      <c r="B6" s="1965"/>
      <c r="C6" s="1965"/>
      <c r="D6" s="1965"/>
      <c r="E6" s="1965"/>
      <c r="F6" s="1965"/>
      <c r="G6" s="1965"/>
      <c r="H6" s="1965"/>
      <c r="I6" s="1965"/>
      <c r="J6" s="1965"/>
      <c r="K6" s="1965"/>
      <c r="L6" s="1965"/>
      <c r="M6" s="1965"/>
    </row>
    <row r="7" spans="1:17">
      <c r="A7" s="1028"/>
      <c r="B7" s="1028"/>
      <c r="C7" s="1028"/>
      <c r="D7" s="1028"/>
      <c r="E7" s="1028"/>
      <c r="F7" s="1028"/>
      <c r="G7" s="1028"/>
      <c r="H7" s="1028"/>
      <c r="I7" s="1028"/>
      <c r="J7" s="1028"/>
      <c r="K7" s="1028"/>
      <c r="L7" s="1028"/>
      <c r="M7" s="1028"/>
    </row>
    <row r="8" spans="1:17" ht="15.75" thickBot="1">
      <c r="A8" s="1715" t="s">
        <v>1210</v>
      </c>
      <c r="B8" s="1716"/>
      <c r="C8" s="1716"/>
      <c r="N8" s="1401"/>
      <c r="O8" s="1401" t="s">
        <v>1353</v>
      </c>
    </row>
    <row r="9" spans="1:17" ht="13.15" customHeight="1">
      <c r="A9" s="1957" t="s">
        <v>1148</v>
      </c>
      <c r="B9" s="1959" t="s">
        <v>1189</v>
      </c>
      <c r="C9" s="1961" t="s">
        <v>1190</v>
      </c>
      <c r="D9" s="1961" t="s">
        <v>1191</v>
      </c>
      <c r="E9" s="1959" t="s">
        <v>1211</v>
      </c>
      <c r="F9" s="1961" t="s">
        <v>1212</v>
      </c>
      <c r="G9" s="1959" t="s">
        <v>1213</v>
      </c>
      <c r="H9" s="1961" t="s">
        <v>1214</v>
      </c>
      <c r="I9" s="1961" t="s">
        <v>1215</v>
      </c>
      <c r="J9" s="1963" t="s">
        <v>1784</v>
      </c>
      <c r="K9" s="1966" t="s">
        <v>1216</v>
      </c>
      <c r="L9" s="1967"/>
      <c r="M9" s="1967"/>
      <c r="N9" s="1967"/>
      <c r="O9" s="1968"/>
    </row>
    <row r="10" spans="1:17" ht="66" customHeight="1" thickBot="1">
      <c r="A10" s="1958"/>
      <c r="B10" s="1960"/>
      <c r="C10" s="1962"/>
      <c r="D10" s="1962"/>
      <c r="E10" s="1960"/>
      <c r="F10" s="1962"/>
      <c r="G10" s="1960"/>
      <c r="H10" s="1962"/>
      <c r="I10" s="1962"/>
      <c r="J10" s="1964"/>
      <c r="K10" s="1717" t="s">
        <v>234</v>
      </c>
      <c r="L10" s="1714" t="s">
        <v>1217</v>
      </c>
      <c r="M10" s="1714" t="s">
        <v>235</v>
      </c>
      <c r="N10" s="1714" t="s">
        <v>376</v>
      </c>
      <c r="O10" s="1718" t="s">
        <v>377</v>
      </c>
    </row>
    <row r="11" spans="1:17" ht="13.5" thickTop="1">
      <c r="A11" s="1719" t="s">
        <v>461</v>
      </c>
      <c r="B11" s="1029">
        <v>1670</v>
      </c>
      <c r="C11" s="1029">
        <v>317722</v>
      </c>
      <c r="D11" s="231">
        <f>SUM(B11-C11)</f>
        <v>-316052</v>
      </c>
      <c r="E11" s="1029">
        <v>318948</v>
      </c>
      <c r="F11" s="231">
        <f>SUM(D11+E11)</f>
        <v>2896</v>
      </c>
      <c r="G11" s="1029">
        <v>0</v>
      </c>
      <c r="H11" s="1029">
        <f>F11-G11</f>
        <v>2896</v>
      </c>
      <c r="I11" s="1029">
        <v>3402</v>
      </c>
      <c r="J11" s="1728">
        <f>I11-F11</f>
        <v>506</v>
      </c>
      <c r="K11" s="1730">
        <v>135</v>
      </c>
      <c r="L11" s="1029">
        <v>1353</v>
      </c>
      <c r="M11" s="1029">
        <f>1408+506</f>
        <v>1914</v>
      </c>
      <c r="N11" s="1029">
        <v>0</v>
      </c>
      <c r="O11" s="1720">
        <v>0</v>
      </c>
      <c r="P11" s="30"/>
      <c r="Q11" s="30"/>
    </row>
    <row r="12" spans="1:17">
      <c r="A12" s="1721" t="s">
        <v>463</v>
      </c>
      <c r="B12" s="1029">
        <v>830</v>
      </c>
      <c r="C12" s="1029">
        <v>313085</v>
      </c>
      <c r="D12" s="231">
        <f t="shared" ref="D12:D24" si="0">SUM(B12-C12)</f>
        <v>-312255</v>
      </c>
      <c r="E12" s="231">
        <v>313130</v>
      </c>
      <c r="F12" s="231">
        <f t="shared" ref="F12:F25" si="1">SUM(D12+E12)</f>
        <v>875</v>
      </c>
      <c r="G12" s="231">
        <v>0</v>
      </c>
      <c r="H12" s="1029">
        <f t="shared" ref="H12:H25" si="2">F12-G12</f>
        <v>875</v>
      </c>
      <c r="I12" s="231">
        <v>3181</v>
      </c>
      <c r="J12" s="1728">
        <f t="shared" ref="J12:J24" si="3">I12-F12</f>
        <v>2306</v>
      </c>
      <c r="K12" s="1731">
        <v>706</v>
      </c>
      <c r="L12" s="231">
        <f>169+1465</f>
        <v>1634</v>
      </c>
      <c r="M12" s="231">
        <v>841</v>
      </c>
      <c r="N12" s="231">
        <v>0</v>
      </c>
      <c r="O12" s="1722">
        <v>0</v>
      </c>
      <c r="P12" s="30"/>
      <c r="Q12" s="30"/>
    </row>
    <row r="13" spans="1:17">
      <c r="A13" s="1721" t="s">
        <v>465</v>
      </c>
      <c r="B13" s="1029">
        <v>1971</v>
      </c>
      <c r="C13" s="1029">
        <v>160075</v>
      </c>
      <c r="D13" s="231">
        <f t="shared" si="0"/>
        <v>-158104</v>
      </c>
      <c r="E13" s="231">
        <v>160646</v>
      </c>
      <c r="F13" s="231">
        <f t="shared" si="1"/>
        <v>2542</v>
      </c>
      <c r="G13" s="231">
        <v>380</v>
      </c>
      <c r="H13" s="1029">
        <f t="shared" si="2"/>
        <v>2162</v>
      </c>
      <c r="I13" s="231">
        <v>2162</v>
      </c>
      <c r="J13" s="1728">
        <v>0</v>
      </c>
      <c r="K13" s="1731">
        <v>82</v>
      </c>
      <c r="L13" s="231">
        <v>230</v>
      </c>
      <c r="M13" s="231">
        <v>1550</v>
      </c>
      <c r="N13" s="231">
        <v>300</v>
      </c>
      <c r="O13" s="1722">
        <v>0</v>
      </c>
      <c r="P13" s="30"/>
      <c r="Q13" s="30"/>
    </row>
    <row r="14" spans="1:17">
      <c r="A14" s="1721" t="s">
        <v>467</v>
      </c>
      <c r="B14" s="1029">
        <v>4552</v>
      </c>
      <c r="C14" s="1029">
        <v>550757</v>
      </c>
      <c r="D14" s="231">
        <f t="shared" si="0"/>
        <v>-546205</v>
      </c>
      <c r="E14" s="231">
        <v>553076</v>
      </c>
      <c r="F14" s="231">
        <f t="shared" si="1"/>
        <v>6871</v>
      </c>
      <c r="G14" s="231">
        <v>0</v>
      </c>
      <c r="H14" s="1029">
        <f t="shared" si="2"/>
        <v>6871</v>
      </c>
      <c r="I14" s="231">
        <v>7248</v>
      </c>
      <c r="J14" s="1728">
        <f t="shared" si="3"/>
        <v>377</v>
      </c>
      <c r="K14" s="1731">
        <v>38</v>
      </c>
      <c r="L14" s="231">
        <v>2370</v>
      </c>
      <c r="M14" s="231">
        <f>4455+377</f>
        <v>4832</v>
      </c>
      <c r="N14" s="231">
        <v>8</v>
      </c>
      <c r="O14" s="1722">
        <v>0</v>
      </c>
      <c r="P14" s="30"/>
      <c r="Q14" s="30"/>
    </row>
    <row r="15" spans="1:17">
      <c r="A15" s="1721" t="s">
        <v>469</v>
      </c>
      <c r="B15" s="1029">
        <v>2650</v>
      </c>
      <c r="C15" s="1029">
        <v>322906</v>
      </c>
      <c r="D15" s="231">
        <f t="shared" si="0"/>
        <v>-320256</v>
      </c>
      <c r="E15" s="231">
        <v>323749</v>
      </c>
      <c r="F15" s="231">
        <f t="shared" si="1"/>
        <v>3493</v>
      </c>
      <c r="G15" s="231">
        <v>282</v>
      </c>
      <c r="H15" s="1029">
        <f t="shared" si="2"/>
        <v>3211</v>
      </c>
      <c r="I15" s="231">
        <v>3211</v>
      </c>
      <c r="J15" s="1728">
        <v>0</v>
      </c>
      <c r="K15" s="1731">
        <v>295</v>
      </c>
      <c r="L15" s="231">
        <v>417</v>
      </c>
      <c r="M15" s="231">
        <v>2199</v>
      </c>
      <c r="N15" s="231">
        <v>300</v>
      </c>
      <c r="O15" s="1722">
        <v>0</v>
      </c>
      <c r="P15" s="30"/>
      <c r="Q15" s="30"/>
    </row>
    <row r="16" spans="1:17">
      <c r="A16" s="1721" t="s">
        <v>1218</v>
      </c>
      <c r="B16" s="1029">
        <v>1680</v>
      </c>
      <c r="C16" s="1029">
        <v>248782</v>
      </c>
      <c r="D16" s="231">
        <f t="shared" si="0"/>
        <v>-247102</v>
      </c>
      <c r="E16" s="231">
        <v>249736</v>
      </c>
      <c r="F16" s="231">
        <f t="shared" si="1"/>
        <v>2634</v>
      </c>
      <c r="G16" s="231">
        <v>1174</v>
      </c>
      <c r="H16" s="1029">
        <f t="shared" si="2"/>
        <v>1460</v>
      </c>
      <c r="I16" s="231">
        <v>1460</v>
      </c>
      <c r="J16" s="1728">
        <v>0</v>
      </c>
      <c r="K16" s="1731">
        <v>36</v>
      </c>
      <c r="L16" s="231">
        <v>14</v>
      </c>
      <c r="M16" s="231">
        <v>1410</v>
      </c>
      <c r="N16" s="231">
        <v>0</v>
      </c>
      <c r="O16" s="1722">
        <v>0</v>
      </c>
      <c r="P16" s="30"/>
      <c r="Q16" s="30"/>
    </row>
    <row r="17" spans="1:17">
      <c r="A17" s="1721" t="s">
        <v>1219</v>
      </c>
      <c r="B17" s="1029">
        <v>1881</v>
      </c>
      <c r="C17" s="1029">
        <v>159733</v>
      </c>
      <c r="D17" s="231">
        <f t="shared" si="0"/>
        <v>-157852</v>
      </c>
      <c r="E17" s="231">
        <v>160265</v>
      </c>
      <c r="F17" s="231">
        <f t="shared" si="1"/>
        <v>2413</v>
      </c>
      <c r="G17" s="231">
        <v>586</v>
      </c>
      <c r="H17" s="1029">
        <f t="shared" si="2"/>
        <v>1827</v>
      </c>
      <c r="I17" s="231">
        <v>1827</v>
      </c>
      <c r="J17" s="1728">
        <v>0</v>
      </c>
      <c r="K17" s="1731">
        <v>126</v>
      </c>
      <c r="L17" s="231">
        <v>463</v>
      </c>
      <c r="M17" s="231">
        <v>1238</v>
      </c>
      <c r="N17" s="231">
        <v>0</v>
      </c>
      <c r="O17" s="1722">
        <v>0</v>
      </c>
      <c r="P17" s="30"/>
      <c r="Q17" s="30"/>
    </row>
    <row r="18" spans="1:17">
      <c r="A18" s="1721" t="s">
        <v>474</v>
      </c>
      <c r="B18" s="1029">
        <v>2163</v>
      </c>
      <c r="C18" s="1029">
        <v>172479</v>
      </c>
      <c r="D18" s="231">
        <f t="shared" si="0"/>
        <v>-170316</v>
      </c>
      <c r="E18" s="231">
        <v>172970</v>
      </c>
      <c r="F18" s="231">
        <f t="shared" si="1"/>
        <v>2654</v>
      </c>
      <c r="G18" s="231">
        <v>453</v>
      </c>
      <c r="H18" s="1029">
        <f t="shared" si="2"/>
        <v>2201</v>
      </c>
      <c r="I18" s="231">
        <v>2201</v>
      </c>
      <c r="J18" s="1728">
        <v>0</v>
      </c>
      <c r="K18" s="1731">
        <v>0</v>
      </c>
      <c r="L18" s="231">
        <v>234</v>
      </c>
      <c r="M18" s="231">
        <v>1967</v>
      </c>
      <c r="N18" s="231">
        <v>0</v>
      </c>
      <c r="O18" s="1722">
        <v>0</v>
      </c>
      <c r="P18" s="30"/>
      <c r="Q18" s="30"/>
    </row>
    <row r="19" spans="1:17">
      <c r="A19" s="1721" t="s">
        <v>476</v>
      </c>
      <c r="B19" s="1029">
        <v>2366</v>
      </c>
      <c r="C19" s="1029">
        <v>160217</v>
      </c>
      <c r="D19" s="231">
        <f t="shared" si="0"/>
        <v>-157851</v>
      </c>
      <c r="E19" s="231">
        <v>160409</v>
      </c>
      <c r="F19" s="231">
        <f t="shared" si="1"/>
        <v>2558</v>
      </c>
      <c r="G19" s="231">
        <v>238</v>
      </c>
      <c r="H19" s="1029">
        <f t="shared" si="2"/>
        <v>2320</v>
      </c>
      <c r="I19" s="231">
        <v>2320</v>
      </c>
      <c r="J19" s="1728">
        <v>0</v>
      </c>
      <c r="K19" s="1731">
        <v>21</v>
      </c>
      <c r="L19" s="231">
        <v>292</v>
      </c>
      <c r="M19" s="231">
        <v>1677</v>
      </c>
      <c r="N19" s="231">
        <v>330</v>
      </c>
      <c r="O19" s="1722">
        <v>0</v>
      </c>
      <c r="P19" s="30"/>
      <c r="Q19" s="30"/>
    </row>
    <row r="20" spans="1:17" ht="15">
      <c r="A20" s="1721" t="s">
        <v>671</v>
      </c>
      <c r="B20" s="1029">
        <v>494361</v>
      </c>
      <c r="C20" s="1029">
        <v>3686921</v>
      </c>
      <c r="D20" s="231">
        <f t="shared" si="0"/>
        <v>-3192560</v>
      </c>
      <c r="E20" s="231">
        <v>3526598</v>
      </c>
      <c r="F20" s="231">
        <f t="shared" si="1"/>
        <v>334038</v>
      </c>
      <c r="G20" s="231">
        <v>0</v>
      </c>
      <c r="H20" s="1029">
        <f t="shared" si="2"/>
        <v>334038</v>
      </c>
      <c r="I20" s="231">
        <v>750925</v>
      </c>
      <c r="J20" s="1728">
        <f t="shared" si="3"/>
        <v>416887</v>
      </c>
      <c r="K20" s="1732">
        <v>7694</v>
      </c>
      <c r="L20" s="231">
        <v>6529</v>
      </c>
      <c r="M20" s="231">
        <f>319815+36621</f>
        <v>356436</v>
      </c>
      <c r="N20" s="1030">
        <v>129143</v>
      </c>
      <c r="O20" s="1723">
        <v>251123</v>
      </c>
      <c r="P20" s="30"/>
      <c r="Q20" s="30"/>
    </row>
    <row r="21" spans="1:17">
      <c r="A21" s="1724" t="s">
        <v>1220</v>
      </c>
      <c r="B21" s="1029">
        <v>34615</v>
      </c>
      <c r="C21" s="1029">
        <v>1201348</v>
      </c>
      <c r="D21" s="231">
        <f t="shared" si="0"/>
        <v>-1166733</v>
      </c>
      <c r="E21" s="231">
        <v>1189176</v>
      </c>
      <c r="F21" s="231">
        <f t="shared" si="1"/>
        <v>22443</v>
      </c>
      <c r="G21" s="231">
        <v>0</v>
      </c>
      <c r="H21" s="1029">
        <f t="shared" si="2"/>
        <v>22443</v>
      </c>
      <c r="I21" s="231">
        <v>23890</v>
      </c>
      <c r="J21" s="1728">
        <f t="shared" si="3"/>
        <v>1447</v>
      </c>
      <c r="K21" s="1731">
        <v>458</v>
      </c>
      <c r="L21" s="231">
        <v>4082</v>
      </c>
      <c r="M21" s="231">
        <f>17638+1447</f>
        <v>19085</v>
      </c>
      <c r="N21" s="231">
        <v>265</v>
      </c>
      <c r="O21" s="1722">
        <v>0</v>
      </c>
      <c r="P21" s="30"/>
      <c r="Q21" s="30"/>
    </row>
    <row r="22" spans="1:17">
      <c r="A22" s="1721" t="s">
        <v>241</v>
      </c>
      <c r="B22" s="1029">
        <v>91114</v>
      </c>
      <c r="C22" s="1029">
        <v>1506980</v>
      </c>
      <c r="D22" s="231">
        <f t="shared" si="0"/>
        <v>-1415866</v>
      </c>
      <c r="E22" s="231">
        <v>1426621</v>
      </c>
      <c r="F22" s="231">
        <f t="shared" si="1"/>
        <v>10755</v>
      </c>
      <c r="G22" s="231">
        <v>0</v>
      </c>
      <c r="H22" s="1029">
        <f t="shared" si="2"/>
        <v>10755</v>
      </c>
      <c r="I22" s="231">
        <v>34958</v>
      </c>
      <c r="J22" s="1728">
        <f t="shared" si="3"/>
        <v>24203</v>
      </c>
      <c r="K22" s="1731">
        <f>1515+24</f>
        <v>1539</v>
      </c>
      <c r="L22" s="231">
        <v>6193</v>
      </c>
      <c r="M22" s="231">
        <f>3047+24179</f>
        <v>27226</v>
      </c>
      <c r="N22" s="231">
        <v>0</v>
      </c>
      <c r="O22" s="1722">
        <v>0</v>
      </c>
      <c r="P22" s="30"/>
      <c r="Q22" s="30"/>
    </row>
    <row r="23" spans="1:17">
      <c r="A23" s="1719" t="s">
        <v>482</v>
      </c>
      <c r="B23" s="1029">
        <v>43109</v>
      </c>
      <c r="C23" s="1029">
        <f>453703</f>
        <v>453703</v>
      </c>
      <c r="D23" s="1029">
        <f t="shared" si="0"/>
        <v>-410594</v>
      </c>
      <c r="E23" s="1029">
        <v>462652</v>
      </c>
      <c r="F23" s="1029">
        <f t="shared" si="1"/>
        <v>52058</v>
      </c>
      <c r="G23" s="1029">
        <v>0</v>
      </c>
      <c r="H23" s="1029">
        <f t="shared" si="2"/>
        <v>52058</v>
      </c>
      <c r="I23" s="1029">
        <v>65761</v>
      </c>
      <c r="J23" s="1728">
        <f>I23-F23</f>
        <v>13703</v>
      </c>
      <c r="K23" s="1730">
        <f>969+349</f>
        <v>1318</v>
      </c>
      <c r="L23" s="1029">
        <v>2433</v>
      </c>
      <c r="M23" s="1029">
        <f>46565+11564</f>
        <v>58129</v>
      </c>
      <c r="N23" s="1029">
        <f>2091+1790</f>
        <v>3881</v>
      </c>
      <c r="O23" s="1720">
        <v>0</v>
      </c>
      <c r="P23" s="30"/>
      <c r="Q23" s="30"/>
    </row>
    <row r="24" spans="1:17">
      <c r="A24" s="1721" t="s">
        <v>483</v>
      </c>
      <c r="B24" s="1029">
        <v>55417</v>
      </c>
      <c r="C24" s="1029">
        <v>252043</v>
      </c>
      <c r="D24" s="231">
        <f t="shared" si="0"/>
        <v>-196626</v>
      </c>
      <c r="E24" s="231">
        <v>199496</v>
      </c>
      <c r="F24" s="231">
        <f t="shared" si="1"/>
        <v>2870</v>
      </c>
      <c r="G24" s="231">
        <v>0</v>
      </c>
      <c r="H24" s="1029">
        <f t="shared" si="2"/>
        <v>2870</v>
      </c>
      <c r="I24" s="231">
        <v>13876</v>
      </c>
      <c r="J24" s="1728">
        <f t="shared" si="3"/>
        <v>11006</v>
      </c>
      <c r="K24" s="1731">
        <v>117</v>
      </c>
      <c r="L24" s="231">
        <v>49</v>
      </c>
      <c r="M24" s="231">
        <f>2704+11006</f>
        <v>13710</v>
      </c>
      <c r="N24" s="231">
        <v>0</v>
      </c>
      <c r="O24" s="1722">
        <v>0</v>
      </c>
      <c r="P24" s="30"/>
      <c r="Q24" s="30"/>
    </row>
    <row r="25" spans="1:17" ht="13.5" thickBot="1">
      <c r="A25" s="1719" t="s">
        <v>1221</v>
      </c>
      <c r="B25" s="1029">
        <v>2916457</v>
      </c>
      <c r="C25" s="1029">
        <v>3690615</v>
      </c>
      <c r="D25" s="231">
        <v>-774158</v>
      </c>
      <c r="E25" s="1029">
        <v>776322</v>
      </c>
      <c r="F25" s="231">
        <f t="shared" si="1"/>
        <v>2164</v>
      </c>
      <c r="G25" s="1029">
        <v>0</v>
      </c>
      <c r="H25" s="1029">
        <f t="shared" si="2"/>
        <v>2164</v>
      </c>
      <c r="I25" s="1029">
        <v>2164</v>
      </c>
      <c r="J25" s="1728">
        <v>0</v>
      </c>
      <c r="K25" s="1730">
        <v>0</v>
      </c>
      <c r="L25" s="1029">
        <v>0</v>
      </c>
      <c r="M25" s="1029">
        <v>2164</v>
      </c>
      <c r="N25" s="1029">
        <v>0</v>
      </c>
      <c r="O25" s="1720">
        <v>0</v>
      </c>
      <c r="P25" s="30"/>
      <c r="Q25" s="30"/>
    </row>
    <row r="26" spans="1:17" ht="31.5" thickTop="1" thickBot="1">
      <c r="A26" s="1725" t="s">
        <v>1222</v>
      </c>
      <c r="B26" s="1726">
        <f t="shared" ref="B26:F26" si="4">SUM(B11:B25)</f>
        <v>3654836</v>
      </c>
      <c r="C26" s="1726">
        <f t="shared" si="4"/>
        <v>13197366</v>
      </c>
      <c r="D26" s="1726">
        <f>SUM(D11:D25)</f>
        <v>-9542530</v>
      </c>
      <c r="E26" s="1726">
        <f t="shared" si="4"/>
        <v>9993794</v>
      </c>
      <c r="F26" s="1726">
        <f t="shared" si="4"/>
        <v>451264</v>
      </c>
      <c r="G26" s="1726">
        <f>SUM(G11:G25)</f>
        <v>3113</v>
      </c>
      <c r="H26" s="1726">
        <f>SUM(H11:H25)</f>
        <v>448151</v>
      </c>
      <c r="I26" s="1726">
        <f>SUM(I11:I25)</f>
        <v>918586</v>
      </c>
      <c r="J26" s="1729">
        <f>SUM(J11:J25)</f>
        <v>470435</v>
      </c>
      <c r="K26" s="1733">
        <f>SUM(K11:K25)</f>
        <v>12565</v>
      </c>
      <c r="L26" s="1726">
        <f t="shared" ref="L26:O26" si="5">SUM(L11:L25)</f>
        <v>26293</v>
      </c>
      <c r="M26" s="1726">
        <f t="shared" si="5"/>
        <v>494378</v>
      </c>
      <c r="N26" s="1726">
        <f t="shared" si="5"/>
        <v>134227</v>
      </c>
      <c r="O26" s="1727">
        <f t="shared" si="5"/>
        <v>251123</v>
      </c>
      <c r="P26" s="30"/>
      <c r="Q26" s="30"/>
    </row>
    <row r="27" spans="1:17">
      <c r="P27" s="30"/>
    </row>
    <row r="28" spans="1:17">
      <c r="P28" s="30"/>
    </row>
    <row r="29" spans="1:17">
      <c r="P29" s="30"/>
    </row>
    <row r="30" spans="1:17">
      <c r="P30" s="30"/>
    </row>
    <row r="31" spans="1:17">
      <c r="M31" s="30"/>
      <c r="P31" s="30"/>
    </row>
    <row r="33" spans="1:12" ht="15.75" thickBot="1">
      <c r="A33" s="1715" t="s">
        <v>1787</v>
      </c>
      <c r="B33" s="1715"/>
      <c r="C33" s="1715"/>
      <c r="G33" s="1734"/>
      <c r="H33" s="1734"/>
      <c r="L33" s="1401" t="s">
        <v>1353</v>
      </c>
    </row>
    <row r="34" spans="1:12">
      <c r="A34" s="1957" t="s">
        <v>1148</v>
      </c>
      <c r="B34" s="1959" t="s">
        <v>1788</v>
      </c>
      <c r="C34" s="1961" t="s">
        <v>1789</v>
      </c>
      <c r="D34" s="1961" t="s">
        <v>1790</v>
      </c>
      <c r="E34" s="1959" t="s">
        <v>1791</v>
      </c>
      <c r="F34" s="1961" t="s">
        <v>1796</v>
      </c>
      <c r="G34" s="1961" t="s">
        <v>1792</v>
      </c>
      <c r="H34" s="1963" t="s">
        <v>1784</v>
      </c>
      <c r="I34" s="1954" t="s">
        <v>1793</v>
      </c>
      <c r="J34" s="1955"/>
      <c r="K34" s="1955"/>
      <c r="L34" s="1956"/>
    </row>
    <row r="35" spans="1:12" ht="51.75" thickBot="1">
      <c r="A35" s="1958"/>
      <c r="B35" s="1960"/>
      <c r="C35" s="1962"/>
      <c r="D35" s="1962"/>
      <c r="E35" s="1960"/>
      <c r="F35" s="1962"/>
      <c r="G35" s="1962"/>
      <c r="H35" s="1964"/>
      <c r="I35" s="1717" t="s">
        <v>234</v>
      </c>
      <c r="J35" s="1714" t="s">
        <v>1217</v>
      </c>
      <c r="K35" s="1714" t="s">
        <v>235</v>
      </c>
      <c r="L35" s="1718" t="s">
        <v>71</v>
      </c>
    </row>
    <row r="36" spans="1:12" ht="14.25" thickTop="1" thickBot="1">
      <c r="A36" s="1724" t="s">
        <v>1220</v>
      </c>
      <c r="B36" s="1029">
        <v>6866</v>
      </c>
      <c r="C36" s="1029">
        <v>5004</v>
      </c>
      <c r="D36" s="1029">
        <f>SUM(B36-C36)</f>
        <v>1862</v>
      </c>
      <c r="E36" s="1029">
        <f>D36</f>
        <v>1862</v>
      </c>
      <c r="F36" s="231">
        <f>E36*0.09</f>
        <v>167.57999999999998</v>
      </c>
      <c r="G36" s="1029">
        <f>E36-F36</f>
        <v>1694.42</v>
      </c>
      <c r="H36" s="1728">
        <f>G36</f>
        <v>1694.42</v>
      </c>
      <c r="I36" s="1730">
        <v>0</v>
      </c>
      <c r="J36" s="1029">
        <v>0</v>
      </c>
      <c r="K36" s="1029">
        <v>1694</v>
      </c>
      <c r="L36" s="1720">
        <v>0</v>
      </c>
    </row>
    <row r="37" spans="1:12" ht="39.75" thickTop="1" thickBot="1">
      <c r="A37" s="1739" t="s">
        <v>1794</v>
      </c>
      <c r="B37" s="1735">
        <f t="shared" ref="B37:H37" si="6">SUM(B36)</f>
        <v>6866</v>
      </c>
      <c r="C37" s="1735">
        <f t="shared" si="6"/>
        <v>5004</v>
      </c>
      <c r="D37" s="1735">
        <f t="shared" si="6"/>
        <v>1862</v>
      </c>
      <c r="E37" s="1735">
        <f t="shared" si="6"/>
        <v>1862</v>
      </c>
      <c r="F37" s="1735">
        <f t="shared" si="6"/>
        <v>167.57999999999998</v>
      </c>
      <c r="G37" s="1735">
        <f t="shared" si="6"/>
        <v>1694.42</v>
      </c>
      <c r="H37" s="1737">
        <f t="shared" si="6"/>
        <v>1694.42</v>
      </c>
      <c r="I37" s="1738">
        <v>0</v>
      </c>
      <c r="J37" s="1735">
        <v>0</v>
      </c>
      <c r="K37" s="1735">
        <f>SUM(K36)</f>
        <v>1694</v>
      </c>
      <c r="L37" s="1736">
        <f>SUM(L36)</f>
        <v>0</v>
      </c>
    </row>
  </sheetData>
  <mergeCells count="23">
    <mergeCell ref="I9:I10"/>
    <mergeCell ref="J9:J10"/>
    <mergeCell ref="A2:M2"/>
    <mergeCell ref="A4:M4"/>
    <mergeCell ref="A6:M6"/>
    <mergeCell ref="A9:A10"/>
    <mergeCell ref="B9:B10"/>
    <mergeCell ref="C9:C10"/>
    <mergeCell ref="D9:D10"/>
    <mergeCell ref="E9:E10"/>
    <mergeCell ref="F9:F10"/>
    <mergeCell ref="G9:G10"/>
    <mergeCell ref="K9:O9"/>
    <mergeCell ref="H9:H10"/>
    <mergeCell ref="E34:E35"/>
    <mergeCell ref="F34:F35"/>
    <mergeCell ref="G34:G35"/>
    <mergeCell ref="H34:H35"/>
    <mergeCell ref="I34:L34"/>
    <mergeCell ref="A34:A35"/>
    <mergeCell ref="B34:B35"/>
    <mergeCell ref="C34:C35"/>
    <mergeCell ref="D34:D3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F79"/>
  <sheetViews>
    <sheetView zoomScale="130" zoomScaleNormal="130" workbookViewId="0">
      <selection activeCell="H8" sqref="H8"/>
    </sheetView>
  </sheetViews>
  <sheetFormatPr defaultColWidth="8.85546875" defaultRowHeight="15"/>
  <cols>
    <col min="1" max="1" width="7.85546875" style="1340" customWidth="1"/>
    <col min="2" max="2" width="60.7109375" style="1033" customWidth="1"/>
    <col min="3" max="4" width="14.7109375" style="1394" customWidth="1"/>
    <col min="5" max="5" width="11.5703125" style="1396" bestFit="1" customWidth="1"/>
  </cols>
  <sheetData>
    <row r="1" spans="1:6">
      <c r="A1" s="1969"/>
      <c r="B1" s="1969"/>
      <c r="C1" s="1339"/>
      <c r="D1" s="1339"/>
      <c r="E1" s="1036"/>
    </row>
    <row r="2" spans="1:6">
      <c r="A2" s="1970" t="s">
        <v>1223</v>
      </c>
      <c r="B2" s="1970"/>
      <c r="C2" s="1970"/>
      <c r="D2" s="1970"/>
      <c r="E2" s="1970"/>
    </row>
    <row r="3" spans="1:6">
      <c r="A3" s="1971" t="s">
        <v>1224</v>
      </c>
      <c r="B3" s="1971"/>
      <c r="C3" s="1971"/>
      <c r="D3" s="1971"/>
      <c r="E3" s="1971"/>
    </row>
    <row r="4" spans="1:6">
      <c r="A4" s="1971" t="s">
        <v>1348</v>
      </c>
      <c r="B4" s="1971"/>
      <c r="C4" s="1971"/>
      <c r="D4" s="1971"/>
      <c r="E4" s="1971"/>
    </row>
    <row r="5" spans="1:6">
      <c r="A5" s="1972"/>
      <c r="B5" s="1972"/>
      <c r="C5" s="1972"/>
      <c r="D5" s="1972"/>
      <c r="E5" s="1972"/>
    </row>
    <row r="6" spans="1:6" ht="15.75" thickBot="1">
      <c r="B6" s="1034"/>
      <c r="C6" s="1035"/>
      <c r="D6" s="1035"/>
      <c r="E6" s="1401" t="s">
        <v>1353</v>
      </c>
    </row>
    <row r="7" spans="1:6" ht="15.75" thickBot="1">
      <c r="A7" s="1341" t="s">
        <v>1225</v>
      </c>
      <c r="B7" s="1191" t="s">
        <v>1226</v>
      </c>
      <c r="C7" s="1192" t="s">
        <v>1227</v>
      </c>
      <c r="D7" s="1192" t="s">
        <v>1228</v>
      </c>
      <c r="E7" s="1342" t="s">
        <v>1229</v>
      </c>
    </row>
    <row r="8" spans="1:6" ht="30.75" thickBot="1">
      <c r="A8" s="1343" t="s">
        <v>1187</v>
      </c>
      <c r="B8" s="1344" t="s">
        <v>119</v>
      </c>
      <c r="C8" s="1345" t="s">
        <v>1349</v>
      </c>
      <c r="D8" s="1346" t="s">
        <v>1350</v>
      </c>
      <c r="E8" s="1347" t="s">
        <v>1230</v>
      </c>
    </row>
    <row r="9" spans="1:6" ht="15.75" thickBot="1">
      <c r="A9" s="1348"/>
      <c r="B9" s="1349" t="s">
        <v>1231</v>
      </c>
      <c r="C9" s="1350"/>
      <c r="D9" s="1351"/>
      <c r="E9" s="1352"/>
    </row>
    <row r="10" spans="1:6" ht="15.75" thickTop="1">
      <c r="A10" s="1353" t="s">
        <v>1232</v>
      </c>
      <c r="B10" s="1354" t="s">
        <v>1233</v>
      </c>
      <c r="C10" s="1355">
        <f>SUM(C11:C12)</f>
        <v>55949</v>
      </c>
      <c r="D10" s="1355">
        <f>SUM(D11:D12)</f>
        <v>117936</v>
      </c>
      <c r="E10" s="1356">
        <f>IF(C10=0,0,D10/C10%)</f>
        <v>210.79197125953993</v>
      </c>
      <c r="F10" s="30"/>
    </row>
    <row r="11" spans="1:6">
      <c r="A11" s="1357" t="s">
        <v>1234</v>
      </c>
      <c r="B11" s="1358" t="s">
        <v>1235</v>
      </c>
      <c r="C11" s="1031">
        <v>20447</v>
      </c>
      <c r="D11" s="1031">
        <v>51139</v>
      </c>
      <c r="E11" s="1359">
        <f>IF(C11=0,0,D11/C11%)</f>
        <v>250.10514989974078</v>
      </c>
      <c r="F11" s="30"/>
    </row>
    <row r="12" spans="1:6">
      <c r="A12" s="1357" t="s">
        <v>1236</v>
      </c>
      <c r="B12" s="1358" t="s">
        <v>1237</v>
      </c>
      <c r="C12" s="1031">
        <v>35502</v>
      </c>
      <c r="D12" s="1031">
        <v>66797</v>
      </c>
      <c r="E12" s="1359">
        <f t="shared" ref="E12:E76" si="0">IF(C12=0,0,D12/C12%)</f>
        <v>188.14996338234468</v>
      </c>
      <c r="F12" s="30"/>
    </row>
    <row r="13" spans="1:6">
      <c r="A13" s="1353" t="s">
        <v>456</v>
      </c>
      <c r="B13" s="1360" t="s">
        <v>1238</v>
      </c>
      <c r="C13" s="1361">
        <f>SUM(C14:C16)</f>
        <v>216379348</v>
      </c>
      <c r="D13" s="1361">
        <f>SUM(D14:D16)</f>
        <v>215364800</v>
      </c>
      <c r="E13" s="1362">
        <f t="shared" si="0"/>
        <v>99.531125308687038</v>
      </c>
      <c r="F13" s="30"/>
    </row>
    <row r="14" spans="1:6">
      <c r="A14" s="1357" t="s">
        <v>1239</v>
      </c>
      <c r="B14" s="1358" t="s">
        <v>1240</v>
      </c>
      <c r="C14" s="1363">
        <v>215136876</v>
      </c>
      <c r="D14" s="1031">
        <v>213030655</v>
      </c>
      <c r="E14" s="1359">
        <f t="shared" si="0"/>
        <v>99.020985598024595</v>
      </c>
      <c r="F14" s="30"/>
    </row>
    <row r="15" spans="1:6">
      <c r="A15" s="1357" t="s">
        <v>1241</v>
      </c>
      <c r="B15" s="1358" t="s">
        <v>1242</v>
      </c>
      <c r="C15" s="1363">
        <v>694686</v>
      </c>
      <c r="D15" s="1031">
        <v>761063</v>
      </c>
      <c r="E15" s="1359">
        <f t="shared" si="0"/>
        <v>109.5549644011827</v>
      </c>
      <c r="F15" s="30"/>
    </row>
    <row r="16" spans="1:6">
      <c r="A16" s="1357" t="s">
        <v>1243</v>
      </c>
      <c r="B16" s="1358" t="s">
        <v>1244</v>
      </c>
      <c r="C16" s="1363">
        <v>547786</v>
      </c>
      <c r="D16" s="1031">
        <v>1573082</v>
      </c>
      <c r="E16" s="1359">
        <f t="shared" si="0"/>
        <v>287.17090250572306</v>
      </c>
      <c r="F16" s="30"/>
    </row>
    <row r="17" spans="1:6">
      <c r="A17" s="1353" t="s">
        <v>473</v>
      </c>
      <c r="B17" s="1360" t="s">
        <v>1245</v>
      </c>
      <c r="C17" s="1361">
        <f>SUM(C18)</f>
        <v>502956</v>
      </c>
      <c r="D17" s="1361">
        <f>SUM(D18)</f>
        <v>502956</v>
      </c>
      <c r="E17" s="1362">
        <f t="shared" si="0"/>
        <v>99.999999999999986</v>
      </c>
      <c r="F17" s="30"/>
    </row>
    <row r="18" spans="1:6">
      <c r="A18" s="1357" t="s">
        <v>457</v>
      </c>
      <c r="B18" s="1358" t="s">
        <v>1246</v>
      </c>
      <c r="C18" s="1031">
        <v>502956</v>
      </c>
      <c r="D18" s="1031">
        <v>502956</v>
      </c>
      <c r="E18" s="1359">
        <f t="shared" si="0"/>
        <v>99.999999999999986</v>
      </c>
      <c r="F18" s="30"/>
    </row>
    <row r="19" spans="1:6" ht="30">
      <c r="A19" s="1353" t="s">
        <v>1247</v>
      </c>
      <c r="B19" s="1364" t="s">
        <v>1248</v>
      </c>
      <c r="C19" s="1365">
        <f>SUM(C10+C13+C17)</f>
        <v>216938253</v>
      </c>
      <c r="D19" s="1365">
        <f>SUM(D10+D13+D17)</f>
        <v>215985692</v>
      </c>
      <c r="E19" s="1366">
        <f t="shared" si="0"/>
        <v>99.560906853988556</v>
      </c>
      <c r="F19" s="30"/>
    </row>
    <row r="20" spans="1:6">
      <c r="A20" s="1353" t="s">
        <v>1249</v>
      </c>
      <c r="B20" s="1367" t="s">
        <v>1250</v>
      </c>
      <c r="C20" s="1368">
        <f>SUM(C21)</f>
        <v>6698</v>
      </c>
      <c r="D20" s="1368">
        <f>SUM(D21)</f>
        <v>23269</v>
      </c>
      <c r="E20" s="1362">
        <f t="shared" si="0"/>
        <v>347.40220961481037</v>
      </c>
      <c r="F20" s="30"/>
    </row>
    <row r="21" spans="1:6">
      <c r="A21" s="1357" t="s">
        <v>1251</v>
      </c>
      <c r="B21" s="1358" t="s">
        <v>1252</v>
      </c>
      <c r="C21" s="1363">
        <v>6698</v>
      </c>
      <c r="D21" s="1363">
        <v>23269</v>
      </c>
      <c r="E21" s="1359">
        <f t="shared" si="0"/>
        <v>347.40220961481037</v>
      </c>
      <c r="F21" s="30"/>
    </row>
    <row r="22" spans="1:6">
      <c r="A22" s="1353" t="s">
        <v>1414</v>
      </c>
      <c r="B22" s="1367" t="s">
        <v>1393</v>
      </c>
      <c r="C22" s="1368">
        <f>SUM(C23)</f>
        <v>0</v>
      </c>
      <c r="D22" s="1368">
        <f>SUM(D23)</f>
        <v>11500000</v>
      </c>
      <c r="E22" s="1362">
        <f t="shared" si="0"/>
        <v>0</v>
      </c>
      <c r="F22" s="30"/>
    </row>
    <row r="23" spans="1:6">
      <c r="A23" s="1357" t="s">
        <v>1405</v>
      </c>
      <c r="B23" s="1358" t="s">
        <v>1695</v>
      </c>
      <c r="C23" s="1363">
        <f>C24</f>
        <v>0</v>
      </c>
      <c r="D23" s="1363">
        <f>D24</f>
        <v>11500000</v>
      </c>
      <c r="E23" s="1359">
        <f t="shared" si="0"/>
        <v>0</v>
      </c>
      <c r="F23" s="30"/>
    </row>
    <row r="24" spans="1:6">
      <c r="A24" s="1357" t="s">
        <v>1410</v>
      </c>
      <c r="B24" s="1358" t="s">
        <v>1696</v>
      </c>
      <c r="C24" s="1363">
        <v>0</v>
      </c>
      <c r="D24" s="1363">
        <v>11500000</v>
      </c>
      <c r="E24" s="1359">
        <f t="shared" si="0"/>
        <v>0</v>
      </c>
      <c r="F24" s="30"/>
    </row>
    <row r="25" spans="1:6">
      <c r="A25" s="1353" t="s">
        <v>1253</v>
      </c>
      <c r="B25" s="1364" t="s">
        <v>1254</v>
      </c>
      <c r="C25" s="1365">
        <f>SUM(C22,C20)</f>
        <v>6698</v>
      </c>
      <c r="D25" s="1365">
        <f>SUM(D22,D20)</f>
        <v>11523269</v>
      </c>
      <c r="E25" s="1366">
        <f t="shared" si="0"/>
        <v>172040.44490892804</v>
      </c>
      <c r="F25" s="30"/>
    </row>
    <row r="26" spans="1:6">
      <c r="A26" s="1357" t="s">
        <v>1417</v>
      </c>
      <c r="B26" s="1369" t="s">
        <v>1697</v>
      </c>
      <c r="C26" s="1363">
        <v>0</v>
      </c>
      <c r="D26" s="1363">
        <v>701854</v>
      </c>
      <c r="E26" s="1359">
        <f t="shared" si="0"/>
        <v>0</v>
      </c>
      <c r="F26" s="30"/>
    </row>
    <row r="27" spans="1:6">
      <c r="A27" s="1357" t="s">
        <v>1255</v>
      </c>
      <c r="B27" s="1369" t="s">
        <v>1256</v>
      </c>
      <c r="C27" s="1363">
        <v>1561</v>
      </c>
      <c r="D27" s="1363">
        <v>2561</v>
      </c>
      <c r="E27" s="1359">
        <f t="shared" si="0"/>
        <v>164.06149903907752</v>
      </c>
      <c r="F27" s="30"/>
    </row>
    <row r="28" spans="1:6">
      <c r="A28" s="1357" t="s">
        <v>1257</v>
      </c>
      <c r="B28" s="1369" t="s">
        <v>1258</v>
      </c>
      <c r="C28" s="1031">
        <v>10717116</v>
      </c>
      <c r="D28" s="1031">
        <v>1082852</v>
      </c>
      <c r="E28" s="1359">
        <f t="shared" si="0"/>
        <v>10.103949607338391</v>
      </c>
      <c r="F28" s="30"/>
    </row>
    <row r="29" spans="1:6">
      <c r="A29" s="1357" t="s">
        <v>1426</v>
      </c>
      <c r="B29" s="1369" t="s">
        <v>1698</v>
      </c>
      <c r="C29" s="1031">
        <v>0</v>
      </c>
      <c r="D29" s="1031">
        <v>2659830</v>
      </c>
      <c r="E29" s="1359">
        <f t="shared" si="0"/>
        <v>0</v>
      </c>
      <c r="F29" s="30"/>
    </row>
    <row r="30" spans="1:6">
      <c r="A30" s="1357" t="s">
        <v>1429</v>
      </c>
      <c r="B30" s="1369" t="s">
        <v>1699</v>
      </c>
      <c r="C30" s="1031">
        <v>0</v>
      </c>
      <c r="D30" s="1031">
        <v>2602</v>
      </c>
      <c r="E30" s="1359">
        <f t="shared" si="0"/>
        <v>0</v>
      </c>
      <c r="F30" s="30"/>
    </row>
    <row r="31" spans="1:6">
      <c r="A31" s="1353" t="s">
        <v>1259</v>
      </c>
      <c r="B31" s="1364" t="s">
        <v>1260</v>
      </c>
      <c r="C31" s="1365">
        <f>SUM(C26:C30)</f>
        <v>10718677</v>
      </c>
      <c r="D31" s="1365">
        <f>SUM(D26:D30)</f>
        <v>4449699</v>
      </c>
      <c r="E31" s="1366">
        <f t="shared" si="0"/>
        <v>41.513509549732674</v>
      </c>
      <c r="F31" s="30"/>
    </row>
    <row r="32" spans="1:6" ht="30">
      <c r="A32" s="1353" t="s">
        <v>1261</v>
      </c>
      <c r="B32" s="1364" t="s">
        <v>1262</v>
      </c>
      <c r="C32" s="1365">
        <f>SUM(C33:C37)</f>
        <v>2162703</v>
      </c>
      <c r="D32" s="1365">
        <f>SUM(D33:D37)</f>
        <v>2128206</v>
      </c>
      <c r="E32" s="1366">
        <f t="shared" si="0"/>
        <v>98.404912741139213</v>
      </c>
      <c r="F32" s="30"/>
    </row>
    <row r="33" spans="1:6">
      <c r="A33" s="1357" t="s">
        <v>1263</v>
      </c>
      <c r="B33" s="1370" t="s">
        <v>1264</v>
      </c>
      <c r="C33" s="1031">
        <v>1288989</v>
      </c>
      <c r="D33" s="1031">
        <v>1081058</v>
      </c>
      <c r="E33" s="1359">
        <f t="shared" si="0"/>
        <v>83.868675372714591</v>
      </c>
      <c r="F33" s="30"/>
    </row>
    <row r="34" spans="1:6">
      <c r="A34" s="1357" t="s">
        <v>1265</v>
      </c>
      <c r="B34" s="1370" t="s">
        <v>1266</v>
      </c>
      <c r="C34" s="1363">
        <v>827463</v>
      </c>
      <c r="D34" s="1363">
        <v>984429</v>
      </c>
      <c r="E34" s="1359">
        <f t="shared" si="0"/>
        <v>118.96954909162103</v>
      </c>
      <c r="F34" s="30"/>
    </row>
    <row r="35" spans="1:6">
      <c r="A35" s="1357" t="s">
        <v>1267</v>
      </c>
      <c r="B35" s="1370" t="s">
        <v>1268</v>
      </c>
      <c r="C35" s="1363">
        <v>16252</v>
      </c>
      <c r="D35" s="1363">
        <v>30978</v>
      </c>
      <c r="E35" s="1359">
        <f t="shared" si="0"/>
        <v>190.6103864139798</v>
      </c>
      <c r="F35" s="30"/>
    </row>
    <row r="36" spans="1:6" ht="30">
      <c r="A36" s="1357" t="s">
        <v>1269</v>
      </c>
      <c r="B36" s="1370" t="s">
        <v>1270</v>
      </c>
      <c r="C36" s="1363">
        <v>9926</v>
      </c>
      <c r="D36" s="1363">
        <v>11062</v>
      </c>
      <c r="E36" s="1359">
        <f t="shared" si="0"/>
        <v>111.44469071126335</v>
      </c>
      <c r="F36" s="30"/>
    </row>
    <row r="37" spans="1:6" ht="30">
      <c r="A37" s="1357" t="s">
        <v>1271</v>
      </c>
      <c r="B37" s="1370" t="s">
        <v>1272</v>
      </c>
      <c r="C37" s="1363">
        <v>20073</v>
      </c>
      <c r="D37" s="1363">
        <v>20679</v>
      </c>
      <c r="E37" s="1359">
        <f t="shared" si="0"/>
        <v>103.01898072037065</v>
      </c>
      <c r="F37" s="30"/>
    </row>
    <row r="38" spans="1:6" ht="30">
      <c r="A38" s="1353" t="s">
        <v>1273</v>
      </c>
      <c r="B38" s="1371" t="s">
        <v>1274</v>
      </c>
      <c r="C38" s="1361">
        <f>SUM(C39:C43)</f>
        <v>4917726</v>
      </c>
      <c r="D38" s="1361">
        <f>SUM(D39:D43)</f>
        <v>5774508</v>
      </c>
      <c r="E38" s="1362">
        <f t="shared" si="0"/>
        <v>117.42232080437176</v>
      </c>
      <c r="F38" s="30"/>
    </row>
    <row r="39" spans="1:6" ht="30">
      <c r="A39" s="1357" t="s">
        <v>1700</v>
      </c>
      <c r="B39" s="1370" t="s">
        <v>1701</v>
      </c>
      <c r="C39" s="1363">
        <v>0</v>
      </c>
      <c r="D39" s="1363">
        <v>426652</v>
      </c>
      <c r="E39" s="1359">
        <f t="shared" si="0"/>
        <v>0</v>
      </c>
      <c r="F39" s="30"/>
    </row>
    <row r="40" spans="1:6" ht="30">
      <c r="A40" s="1357" t="s">
        <v>1275</v>
      </c>
      <c r="B40" s="1370" t="s">
        <v>1276</v>
      </c>
      <c r="C40" s="1363">
        <v>4082442</v>
      </c>
      <c r="D40" s="1363">
        <v>4471874</v>
      </c>
      <c r="E40" s="1359">
        <f t="shared" si="0"/>
        <v>109.53919247352442</v>
      </c>
      <c r="F40" s="30"/>
    </row>
    <row r="41" spans="1:6" ht="30">
      <c r="A41" s="1357" t="s">
        <v>1277</v>
      </c>
      <c r="B41" s="1370" t="s">
        <v>1278</v>
      </c>
      <c r="C41" s="1363">
        <v>114619</v>
      </c>
      <c r="D41" s="1363">
        <v>270784</v>
      </c>
      <c r="E41" s="1359">
        <f t="shared" si="0"/>
        <v>236.24704455631263</v>
      </c>
      <c r="F41" s="30"/>
    </row>
    <row r="42" spans="1:6" ht="30">
      <c r="A42" s="1357" t="s">
        <v>1279</v>
      </c>
      <c r="B42" s="1370" t="s">
        <v>1280</v>
      </c>
      <c r="C42" s="1363">
        <v>665814</v>
      </c>
      <c r="D42" s="1363">
        <v>555994</v>
      </c>
      <c r="E42" s="1359">
        <f t="shared" si="0"/>
        <v>83.50590405128159</v>
      </c>
      <c r="F42" s="30"/>
    </row>
    <row r="43" spans="1:6" ht="30">
      <c r="A43" s="1357" t="s">
        <v>1281</v>
      </c>
      <c r="B43" s="1370" t="s">
        <v>1282</v>
      </c>
      <c r="C43" s="1363">
        <v>54851</v>
      </c>
      <c r="D43" s="1363">
        <v>49204</v>
      </c>
      <c r="E43" s="1359">
        <f t="shared" si="0"/>
        <v>89.704836739530734</v>
      </c>
      <c r="F43" s="30"/>
    </row>
    <row r="44" spans="1:6">
      <c r="A44" s="1353" t="s">
        <v>1283</v>
      </c>
      <c r="B44" s="1360" t="s">
        <v>1284</v>
      </c>
      <c r="C44" s="1361">
        <v>119089</v>
      </c>
      <c r="D44" s="1361">
        <v>307532</v>
      </c>
      <c r="E44" s="1362">
        <f t="shared" si="0"/>
        <v>258.23711677820785</v>
      </c>
      <c r="F44" s="30"/>
    </row>
    <row r="45" spans="1:6">
      <c r="A45" s="1353" t="s">
        <v>1285</v>
      </c>
      <c r="B45" s="1372" t="s">
        <v>1286</v>
      </c>
      <c r="C45" s="1368">
        <f>SUM(C32,C38,C44)</f>
        <v>7199518</v>
      </c>
      <c r="D45" s="1368">
        <f>SUM(D32,D38,D44)</f>
        <v>8210246</v>
      </c>
      <c r="E45" s="1373">
        <f t="shared" si="0"/>
        <v>114.03882871047757</v>
      </c>
      <c r="F45" s="30"/>
    </row>
    <row r="46" spans="1:6">
      <c r="A46" s="1353" t="s">
        <v>1287</v>
      </c>
      <c r="B46" s="1372" t="s">
        <v>1288</v>
      </c>
      <c r="C46" s="1361">
        <v>73272</v>
      </c>
      <c r="D46" s="1361">
        <v>75653</v>
      </c>
      <c r="E46" s="1373">
        <f t="shared" si="0"/>
        <v>103.24953597554318</v>
      </c>
      <c r="F46" s="30"/>
    </row>
    <row r="47" spans="1:6">
      <c r="A47" s="1353" t="s">
        <v>1289</v>
      </c>
      <c r="B47" s="1372" t="s">
        <v>1290</v>
      </c>
      <c r="C47" s="1361">
        <v>-80422</v>
      </c>
      <c r="D47" s="1361">
        <v>-88042</v>
      </c>
      <c r="E47" s="1373">
        <f t="shared" si="0"/>
        <v>109.47501927333316</v>
      </c>
      <c r="F47" s="30"/>
    </row>
    <row r="48" spans="1:6" ht="30">
      <c r="A48" s="1357" t="s">
        <v>1291</v>
      </c>
      <c r="B48" s="1369" t="s">
        <v>1292</v>
      </c>
      <c r="C48" s="1363">
        <v>4296</v>
      </c>
      <c r="D48" s="1363">
        <v>1260</v>
      </c>
      <c r="E48" s="1359">
        <f t="shared" si="0"/>
        <v>29.329608938547487</v>
      </c>
      <c r="F48" s="30"/>
    </row>
    <row r="49" spans="1:6">
      <c r="A49" s="1353" t="s">
        <v>1293</v>
      </c>
      <c r="B49" s="1372" t="s">
        <v>1294</v>
      </c>
      <c r="C49" s="1361">
        <f>SUM(C46:C48)</f>
        <v>-2854</v>
      </c>
      <c r="D49" s="1361">
        <f>SUM(D46:D48)</f>
        <v>-11129</v>
      </c>
      <c r="E49" s="1366">
        <f t="shared" si="0"/>
        <v>389.94393833216537</v>
      </c>
      <c r="F49" s="30"/>
    </row>
    <row r="50" spans="1:6">
      <c r="A50" s="1353" t="s">
        <v>1295</v>
      </c>
      <c r="B50" s="1372" t="s">
        <v>1296</v>
      </c>
      <c r="C50" s="1361">
        <v>29781</v>
      </c>
      <c r="D50" s="1361">
        <v>32654</v>
      </c>
      <c r="E50" s="1366">
        <f t="shared" si="0"/>
        <v>109.64709042678217</v>
      </c>
      <c r="F50" s="30"/>
    </row>
    <row r="51" spans="1:6">
      <c r="A51" s="1353" t="s">
        <v>1297</v>
      </c>
      <c r="B51" s="1372" t="s">
        <v>1298</v>
      </c>
      <c r="C51" s="1361">
        <f>SUM(C19,C25,C31,C45,C49:C50)</f>
        <v>234890073</v>
      </c>
      <c r="D51" s="1361">
        <f>SUM(D19,D25,D31,D45,D49:D50)</f>
        <v>240190431</v>
      </c>
      <c r="E51" s="1366">
        <f t="shared" si="0"/>
        <v>102.25652703509526</v>
      </c>
      <c r="F51" s="30"/>
    </row>
    <row r="52" spans="1:6">
      <c r="A52" s="1353"/>
      <c r="B52" s="1372" t="s">
        <v>1299</v>
      </c>
      <c r="C52" s="1365"/>
      <c r="D52" s="1365"/>
      <c r="E52" s="1362"/>
      <c r="F52" s="30"/>
    </row>
    <row r="53" spans="1:6">
      <c r="A53" s="1357" t="s">
        <v>1300</v>
      </c>
      <c r="B53" s="1374" t="s">
        <v>1301</v>
      </c>
      <c r="C53" s="1031">
        <v>232769746</v>
      </c>
      <c r="D53" s="1031">
        <v>232769746</v>
      </c>
      <c r="E53" s="1375">
        <f t="shared" si="0"/>
        <v>100</v>
      </c>
      <c r="F53" s="30"/>
    </row>
    <row r="54" spans="1:6">
      <c r="A54" s="1357" t="s">
        <v>1302</v>
      </c>
      <c r="B54" s="1374" t="s">
        <v>1303</v>
      </c>
      <c r="C54" s="1031">
        <v>-6100121</v>
      </c>
      <c r="D54" s="1031">
        <v>-6100121</v>
      </c>
      <c r="E54" s="1375">
        <f t="shared" si="0"/>
        <v>100</v>
      </c>
      <c r="F54" s="30"/>
    </row>
    <row r="55" spans="1:6">
      <c r="A55" s="1357" t="s">
        <v>1304</v>
      </c>
      <c r="B55" s="1374" t="s">
        <v>1305</v>
      </c>
      <c r="C55" s="1031">
        <v>1786404</v>
      </c>
      <c r="D55" s="1031">
        <v>1786404</v>
      </c>
      <c r="E55" s="1375">
        <f t="shared" si="0"/>
        <v>100</v>
      </c>
      <c r="F55" s="30"/>
    </row>
    <row r="56" spans="1:6">
      <c r="A56" s="1357" t="s">
        <v>1306</v>
      </c>
      <c r="B56" s="1374" t="s">
        <v>1307</v>
      </c>
      <c r="C56" s="1031">
        <v>-11785133</v>
      </c>
      <c r="D56" s="1031">
        <v>-11201549</v>
      </c>
      <c r="E56" s="1375">
        <f t="shared" si="0"/>
        <v>95.048133949782326</v>
      </c>
      <c r="F56" s="30"/>
    </row>
    <row r="57" spans="1:6">
      <c r="A57" s="1357" t="s">
        <v>1308</v>
      </c>
      <c r="B57" s="1374" t="s">
        <v>1309</v>
      </c>
      <c r="C57" s="1031">
        <v>583583</v>
      </c>
      <c r="D57" s="1031">
        <v>3585911</v>
      </c>
      <c r="E57" s="1375">
        <f t="shared" si="0"/>
        <v>614.46460914728493</v>
      </c>
      <c r="F57" s="30"/>
    </row>
    <row r="58" spans="1:6">
      <c r="A58" s="1353" t="s">
        <v>1310</v>
      </c>
      <c r="B58" s="1372" t="s">
        <v>1311</v>
      </c>
      <c r="C58" s="1376">
        <f>SUM(C53:C57)</f>
        <v>217254479</v>
      </c>
      <c r="D58" s="1376">
        <f>SUM(D53:D57)</f>
        <v>220840391</v>
      </c>
      <c r="E58" s="1366">
        <f t="shared" si="0"/>
        <v>101.65055837582985</v>
      </c>
      <c r="F58" s="30"/>
    </row>
    <row r="59" spans="1:6" ht="30">
      <c r="A59" s="1353" t="s">
        <v>1312</v>
      </c>
      <c r="B59" s="1364" t="s">
        <v>1313</v>
      </c>
      <c r="C59" s="1376">
        <f>SUM(C60:C63)</f>
        <v>150348</v>
      </c>
      <c r="D59" s="1376">
        <f>SUM(D60:D63)</f>
        <v>242927</v>
      </c>
      <c r="E59" s="1366">
        <f t="shared" si="0"/>
        <v>161.57647590922394</v>
      </c>
      <c r="F59" s="30"/>
    </row>
    <row r="60" spans="1:6" ht="30">
      <c r="A60" s="1377" t="s">
        <v>1314</v>
      </c>
      <c r="B60" s="1378" t="s">
        <v>1315</v>
      </c>
      <c r="C60" s="1379">
        <v>5289</v>
      </c>
      <c r="D60" s="1379">
        <v>5647</v>
      </c>
      <c r="E60" s="1380">
        <f t="shared" si="0"/>
        <v>106.76876536207223</v>
      </c>
      <c r="F60" s="30"/>
    </row>
    <row r="61" spans="1:6">
      <c r="A61" s="1377" t="s">
        <v>1316</v>
      </c>
      <c r="B61" s="1370" t="s">
        <v>1317</v>
      </c>
      <c r="C61" s="1031">
        <v>134960</v>
      </c>
      <c r="D61" s="1031">
        <v>169171</v>
      </c>
      <c r="E61" s="1381">
        <f t="shared" si="0"/>
        <v>125.34899229401304</v>
      </c>
      <c r="F61" s="30"/>
    </row>
    <row r="62" spans="1:6">
      <c r="A62" s="1377" t="s">
        <v>1318</v>
      </c>
      <c r="B62" s="1370" t="s">
        <v>1319</v>
      </c>
      <c r="C62" s="1031">
        <v>9445</v>
      </c>
      <c r="D62" s="1031">
        <v>12583</v>
      </c>
      <c r="E62" s="1381">
        <f t="shared" si="0"/>
        <v>133.22392800423503</v>
      </c>
      <c r="F62" s="30"/>
    </row>
    <row r="63" spans="1:6">
      <c r="A63" s="1377" t="s">
        <v>1320</v>
      </c>
      <c r="B63" s="1370" t="s">
        <v>1321</v>
      </c>
      <c r="C63" s="1031">
        <v>654</v>
      </c>
      <c r="D63" s="1031">
        <v>55526</v>
      </c>
      <c r="E63" s="1381">
        <f t="shared" si="0"/>
        <v>8490.214067278288</v>
      </c>
      <c r="F63" s="30"/>
    </row>
    <row r="64" spans="1:6" ht="30">
      <c r="A64" s="1353" t="s">
        <v>1322</v>
      </c>
      <c r="B64" s="1382" t="s">
        <v>1323</v>
      </c>
      <c r="C64" s="1361">
        <f>SUM(C65:C71)</f>
        <v>833012</v>
      </c>
      <c r="D64" s="1361">
        <f>SUM(D65:D71)</f>
        <v>527043</v>
      </c>
      <c r="E64" s="1362">
        <f t="shared" si="0"/>
        <v>63.269556741079356</v>
      </c>
      <c r="F64" s="30"/>
    </row>
    <row r="65" spans="1:6" ht="30">
      <c r="A65" s="1357" t="s">
        <v>1324</v>
      </c>
      <c r="B65" s="1370" t="s">
        <v>1325</v>
      </c>
      <c r="C65" s="1032">
        <v>1470</v>
      </c>
      <c r="D65" s="1032">
        <v>339</v>
      </c>
      <c r="E65" s="1359">
        <f t="shared" si="0"/>
        <v>23.061224489795919</v>
      </c>
      <c r="F65" s="30"/>
    </row>
    <row r="66" spans="1:6" ht="30">
      <c r="A66" s="1357" t="s">
        <v>1326</v>
      </c>
      <c r="B66" s="1370" t="s">
        <v>1327</v>
      </c>
      <c r="C66" s="1032">
        <v>421309</v>
      </c>
      <c r="D66" s="1032">
        <v>302037</v>
      </c>
      <c r="E66" s="1359">
        <f t="shared" si="0"/>
        <v>71.69013716773199</v>
      </c>
      <c r="F66" s="30"/>
    </row>
    <row r="67" spans="1:6" ht="30">
      <c r="A67" s="1357" t="s">
        <v>1328</v>
      </c>
      <c r="B67" s="1370" t="s">
        <v>1329</v>
      </c>
      <c r="C67" s="1032">
        <v>1410</v>
      </c>
      <c r="D67" s="1032">
        <v>0</v>
      </c>
      <c r="E67" s="1359">
        <f t="shared" si="0"/>
        <v>0</v>
      </c>
      <c r="F67" s="30"/>
    </row>
    <row r="68" spans="1:6" ht="30">
      <c r="A68" s="1357" t="s">
        <v>1702</v>
      </c>
      <c r="B68" s="1370" t="s">
        <v>1703</v>
      </c>
      <c r="C68" s="1032">
        <v>0</v>
      </c>
      <c r="D68" s="1032">
        <v>4215</v>
      </c>
      <c r="E68" s="1359">
        <f t="shared" si="0"/>
        <v>0</v>
      </c>
      <c r="F68" s="30"/>
    </row>
    <row r="69" spans="1:6" ht="30">
      <c r="A69" s="1357" t="s">
        <v>1704</v>
      </c>
      <c r="B69" s="1370" t="s">
        <v>1705</v>
      </c>
      <c r="C69" s="1032">
        <v>125099</v>
      </c>
      <c r="D69" s="1032">
        <v>6496</v>
      </c>
      <c r="E69" s="1359">
        <f t="shared" si="0"/>
        <v>5.1926873915858636</v>
      </c>
      <c r="F69" s="30"/>
    </row>
    <row r="70" spans="1:6" ht="30">
      <c r="A70" s="1357" t="s">
        <v>1330</v>
      </c>
      <c r="B70" s="1370" t="s">
        <v>1331</v>
      </c>
      <c r="C70" s="1032">
        <v>145132</v>
      </c>
      <c r="D70" s="1032">
        <v>42496</v>
      </c>
      <c r="E70" s="1359">
        <f t="shared" si="0"/>
        <v>29.280930463302376</v>
      </c>
      <c r="F70" s="30"/>
    </row>
    <row r="71" spans="1:6" ht="30">
      <c r="A71" s="1357" t="s">
        <v>1332</v>
      </c>
      <c r="B71" s="1370" t="s">
        <v>1333</v>
      </c>
      <c r="C71" s="1032">
        <v>138592</v>
      </c>
      <c r="D71" s="1032">
        <v>171460</v>
      </c>
      <c r="E71" s="1359">
        <f t="shared" si="0"/>
        <v>123.71565458323713</v>
      </c>
      <c r="F71" s="30"/>
    </row>
    <row r="72" spans="1:6">
      <c r="A72" s="1353" t="s">
        <v>1334</v>
      </c>
      <c r="B72" s="1382" t="s">
        <v>1335</v>
      </c>
      <c r="C72" s="1361">
        <v>1148081</v>
      </c>
      <c r="D72" s="1361">
        <v>1189951</v>
      </c>
      <c r="E72" s="1362">
        <f t="shared" si="0"/>
        <v>103.64695522354259</v>
      </c>
      <c r="F72" s="30"/>
    </row>
    <row r="73" spans="1:6">
      <c r="A73" s="1353" t="s">
        <v>1336</v>
      </c>
      <c r="B73" s="1383" t="s">
        <v>1337</v>
      </c>
      <c r="C73" s="1365">
        <f>SUM(C59,C64,C72)</f>
        <v>2131441</v>
      </c>
      <c r="D73" s="1365">
        <f>SUM(D59,D64,D72)</f>
        <v>1959921</v>
      </c>
      <c r="E73" s="1366">
        <f t="shared" si="0"/>
        <v>91.952861937065109</v>
      </c>
      <c r="F73" s="30"/>
    </row>
    <row r="74" spans="1:6">
      <c r="A74" s="1357" t="s">
        <v>1338</v>
      </c>
      <c r="B74" s="1384" t="s">
        <v>1339</v>
      </c>
      <c r="C74" s="1031">
        <v>3981883</v>
      </c>
      <c r="D74" s="1031">
        <v>6000357</v>
      </c>
      <c r="E74" s="1359">
        <f t="shared" si="0"/>
        <v>150.69144422375041</v>
      </c>
      <c r="F74" s="30"/>
    </row>
    <row r="75" spans="1:6">
      <c r="A75" s="1357" t="s">
        <v>1340</v>
      </c>
      <c r="B75" s="1384" t="s">
        <v>1341</v>
      </c>
      <c r="C75" s="1031">
        <v>897271</v>
      </c>
      <c r="D75" s="1031">
        <v>1006845</v>
      </c>
      <c r="E75" s="1359">
        <f t="shared" si="0"/>
        <v>112.21191813844425</v>
      </c>
      <c r="F75" s="30"/>
    </row>
    <row r="76" spans="1:6">
      <c r="A76" s="1357" t="s">
        <v>1342</v>
      </c>
      <c r="B76" s="1385" t="s">
        <v>1343</v>
      </c>
      <c r="C76" s="1031">
        <v>10624999</v>
      </c>
      <c r="D76" s="1031">
        <v>10382917</v>
      </c>
      <c r="E76" s="1359">
        <f t="shared" si="0"/>
        <v>97.72158096203114</v>
      </c>
      <c r="F76" s="30"/>
    </row>
    <row r="77" spans="1:6" ht="15.75" thickBot="1">
      <c r="A77" s="1386" t="s">
        <v>1344</v>
      </c>
      <c r="B77" s="1387" t="s">
        <v>1345</v>
      </c>
      <c r="C77" s="1388">
        <f>SUM(C74:C76)</f>
        <v>15504153</v>
      </c>
      <c r="D77" s="1388">
        <f>SUM(D74:D76)</f>
        <v>17390119</v>
      </c>
      <c r="E77" s="1389">
        <f>IF(C77=0,0,D77/C77%)</f>
        <v>112.16426334286047</v>
      </c>
      <c r="F77" s="30"/>
    </row>
    <row r="78" spans="1:6" ht="15.75" thickBot="1">
      <c r="A78" s="1390" t="s">
        <v>1346</v>
      </c>
      <c r="B78" s="1391" t="s">
        <v>1347</v>
      </c>
      <c r="C78" s="1392">
        <f>SUM(C77+C73+C58)</f>
        <v>234890073</v>
      </c>
      <c r="D78" s="1392">
        <f>SUM(D77+D73+D58)</f>
        <v>240190431</v>
      </c>
      <c r="E78" s="1393">
        <f>IF(C78=0,0,D78/C78%)</f>
        <v>102.25652703509526</v>
      </c>
      <c r="F78" s="30"/>
    </row>
    <row r="79" spans="1:6">
      <c r="E79" s="1395"/>
    </row>
  </sheetData>
  <mergeCells count="5">
    <mergeCell ref="A1:B1"/>
    <mergeCell ref="A2:E2"/>
    <mergeCell ref="A3:E3"/>
    <mergeCell ref="A4:E4"/>
    <mergeCell ref="A5:E5"/>
  </mergeCells>
  <pageMargins left="0.7" right="0.7" top="0.75" bottom="0.75" header="0.3" footer="0.3"/>
  <pageSetup paperSize="9" scale="8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59"/>
  <sheetViews>
    <sheetView zoomScaleNormal="100" workbookViewId="0">
      <pane ySplit="7" topLeftCell="A80" activePane="bottomLeft" state="frozen"/>
      <selection pane="bottomLeft" activeCell="D23" sqref="D23"/>
    </sheetView>
  </sheetViews>
  <sheetFormatPr defaultColWidth="8.85546875" defaultRowHeight="12.75"/>
  <cols>
    <col min="1" max="1" width="58.7109375" customWidth="1"/>
    <col min="2" max="2" width="5.5703125" bestFit="1" customWidth="1"/>
    <col min="3" max="3" width="14.42578125" bestFit="1" customWidth="1"/>
    <col min="4" max="4" width="14.7109375" customWidth="1"/>
  </cols>
  <sheetData>
    <row r="1" spans="1:4" ht="15">
      <c r="A1" s="1971" t="s">
        <v>1351</v>
      </c>
      <c r="B1" s="1971"/>
      <c r="C1" s="1971"/>
      <c r="D1" s="1971"/>
    </row>
    <row r="2" spans="1:4" ht="15">
      <c r="A2" s="1971" t="s">
        <v>1352</v>
      </c>
      <c r="B2" s="1971"/>
      <c r="C2" s="1971"/>
      <c r="D2" s="1971"/>
    </row>
    <row r="3" spans="1:4" ht="15">
      <c r="A3" s="1971" t="s">
        <v>967</v>
      </c>
      <c r="B3" s="1971"/>
      <c r="C3" s="1971"/>
      <c r="D3" s="1971"/>
    </row>
    <row r="4" spans="1:4" ht="15.75" thickBot="1">
      <c r="A4" s="1033"/>
      <c r="B4" s="1034"/>
      <c r="C4" s="1035"/>
      <c r="D4" s="1401" t="s">
        <v>1353</v>
      </c>
    </row>
    <row r="5" spans="1:4" ht="15">
      <c r="A5" s="1403" t="s">
        <v>1225</v>
      </c>
      <c r="B5" s="1404" t="s">
        <v>1226</v>
      </c>
      <c r="C5" s="1405" t="s">
        <v>1227</v>
      </c>
      <c r="D5" s="1406" t="s">
        <v>1228</v>
      </c>
    </row>
    <row r="6" spans="1:4">
      <c r="A6" s="1995" t="s">
        <v>1354</v>
      </c>
      <c r="B6" s="1996" t="s">
        <v>1355</v>
      </c>
      <c r="C6" s="1998" t="s">
        <v>1356</v>
      </c>
      <c r="D6" s="1999" t="s">
        <v>1357</v>
      </c>
    </row>
    <row r="7" spans="1:4">
      <c r="A7" s="1995"/>
      <c r="B7" s="1997"/>
      <c r="C7" s="1998"/>
      <c r="D7" s="1999"/>
    </row>
    <row r="8" spans="1:4" ht="15">
      <c r="A8" s="1193" t="s">
        <v>1233</v>
      </c>
      <c r="B8" s="1040" t="s">
        <v>120</v>
      </c>
      <c r="C8" s="1041">
        <f>C9+C10</f>
        <v>745199</v>
      </c>
      <c r="D8" s="1196">
        <f>D9+D10</f>
        <v>117936</v>
      </c>
    </row>
    <row r="9" spans="1:4" ht="15">
      <c r="A9" s="1194" t="s">
        <v>1358</v>
      </c>
      <c r="B9" s="1040" t="s">
        <v>121</v>
      </c>
      <c r="C9" s="1031">
        <v>350103</v>
      </c>
      <c r="D9" s="1195">
        <v>51139</v>
      </c>
    </row>
    <row r="10" spans="1:4" ht="15">
      <c r="A10" s="1194" t="s">
        <v>1359</v>
      </c>
      <c r="B10" s="1040" t="s">
        <v>122</v>
      </c>
      <c r="C10" s="1031">
        <v>395096</v>
      </c>
      <c r="D10" s="1195">
        <v>66797</v>
      </c>
    </row>
    <row r="11" spans="1:4" ht="15">
      <c r="A11" s="1193" t="s">
        <v>1360</v>
      </c>
      <c r="B11" s="1040" t="s">
        <v>419</v>
      </c>
      <c r="C11" s="1041">
        <f>C12+C23</f>
        <v>239932899</v>
      </c>
      <c r="D11" s="1196">
        <f>D12+D23</f>
        <v>215364800</v>
      </c>
    </row>
    <row r="12" spans="1:4" ht="15">
      <c r="A12" s="1193" t="s">
        <v>1361</v>
      </c>
      <c r="B12" s="1040" t="s">
        <v>420</v>
      </c>
      <c r="C12" s="1041">
        <f>C13+C18+C19</f>
        <v>203795867</v>
      </c>
      <c r="D12" s="1196">
        <f>D13+D18+D19</f>
        <v>187810481</v>
      </c>
    </row>
    <row r="13" spans="1:4" ht="15">
      <c r="A13" s="1197" t="s">
        <v>1362</v>
      </c>
      <c r="B13" s="1040" t="s">
        <v>429</v>
      </c>
      <c r="C13" s="1041">
        <f>C14+C15+C16+C17</f>
        <v>171538402</v>
      </c>
      <c r="D13" s="1196">
        <f>D14+D15+D16+D17</f>
        <v>158899885</v>
      </c>
    </row>
    <row r="14" spans="1:4" ht="15">
      <c r="A14" s="1194" t="s">
        <v>1363</v>
      </c>
      <c r="B14" s="1040" t="s">
        <v>455</v>
      </c>
      <c r="C14" s="1031">
        <v>93527307</v>
      </c>
      <c r="D14" s="1195">
        <v>90396772</v>
      </c>
    </row>
    <row r="15" spans="1:4" ht="15">
      <c r="A15" s="1194" t="s">
        <v>1364</v>
      </c>
      <c r="B15" s="1040" t="s">
        <v>378</v>
      </c>
      <c r="C15" s="1031">
        <v>4265452</v>
      </c>
      <c r="D15" s="1195">
        <v>3770672</v>
      </c>
    </row>
    <row r="16" spans="1:4" ht="15">
      <c r="A16" s="1194" t="s">
        <v>1365</v>
      </c>
      <c r="B16" s="1040" t="s">
        <v>379</v>
      </c>
      <c r="C16" s="1031">
        <v>72789981</v>
      </c>
      <c r="D16" s="1195">
        <v>63776779</v>
      </c>
    </row>
    <row r="17" spans="1:4" ht="15">
      <c r="A17" s="1194" t="s">
        <v>1366</v>
      </c>
      <c r="B17" s="1040" t="s">
        <v>456</v>
      </c>
      <c r="C17" s="1031">
        <v>955662</v>
      </c>
      <c r="D17" s="1195">
        <v>955662</v>
      </c>
    </row>
    <row r="18" spans="1:4" ht="30">
      <c r="A18" s="1199" t="s">
        <v>1367</v>
      </c>
      <c r="B18" s="1040" t="s">
        <v>457</v>
      </c>
      <c r="C18" s="1041">
        <v>0</v>
      </c>
      <c r="D18" s="1196">
        <v>0</v>
      </c>
    </row>
    <row r="19" spans="1:4" ht="15">
      <c r="A19" s="1200" t="s">
        <v>1368</v>
      </c>
      <c r="B19" s="1040" t="s">
        <v>458</v>
      </c>
      <c r="C19" s="1041">
        <f>C20+C21+C22</f>
        <v>32257465</v>
      </c>
      <c r="D19" s="1196">
        <f>D20+D21+D22</f>
        <v>28910596</v>
      </c>
    </row>
    <row r="20" spans="1:4" ht="15">
      <c r="A20" s="1201" t="s">
        <v>1369</v>
      </c>
      <c r="B20" s="1040" t="s">
        <v>459</v>
      </c>
      <c r="C20" s="1031">
        <v>31773532</v>
      </c>
      <c r="D20" s="1195">
        <v>28459691</v>
      </c>
    </row>
    <row r="21" spans="1:4" ht="15">
      <c r="A21" s="1201" t="s">
        <v>1370</v>
      </c>
      <c r="B21" s="1040" t="s">
        <v>570</v>
      </c>
      <c r="C21" s="1031">
        <v>279645</v>
      </c>
      <c r="D21" s="1195">
        <v>246617</v>
      </c>
    </row>
    <row r="22" spans="1:4" ht="15">
      <c r="A22" s="1201" t="s">
        <v>1371</v>
      </c>
      <c r="B22" s="1040" t="s">
        <v>460</v>
      </c>
      <c r="C22" s="1031">
        <v>204288</v>
      </c>
      <c r="D22" s="1195">
        <v>204288</v>
      </c>
    </row>
    <row r="23" spans="1:4" ht="15">
      <c r="A23" s="1193" t="s">
        <v>1372</v>
      </c>
      <c r="B23" s="1040" t="s">
        <v>462</v>
      </c>
      <c r="C23" s="1041">
        <f>C24+C28</f>
        <v>36137032</v>
      </c>
      <c r="D23" s="1196">
        <f>D24+D28</f>
        <v>27554319</v>
      </c>
    </row>
    <row r="24" spans="1:4" ht="15">
      <c r="A24" s="1197" t="s">
        <v>1373</v>
      </c>
      <c r="B24" s="1040" t="s">
        <v>464</v>
      </c>
      <c r="C24" s="1041">
        <f>C25+C26+C27</f>
        <v>32346791</v>
      </c>
      <c r="D24" s="1196">
        <f>D25+D26+D27</f>
        <v>26577122</v>
      </c>
    </row>
    <row r="25" spans="1:4" ht="15">
      <c r="A25" s="1194" t="s">
        <v>1374</v>
      </c>
      <c r="B25" s="1040" t="s">
        <v>466</v>
      </c>
      <c r="C25" s="1031">
        <v>9533660</v>
      </c>
      <c r="D25" s="1195">
        <v>9533660</v>
      </c>
    </row>
    <row r="26" spans="1:4" ht="15">
      <c r="A26" s="1194" t="s">
        <v>1375</v>
      </c>
      <c r="B26" s="1040" t="s">
        <v>468</v>
      </c>
      <c r="C26" s="1031">
        <v>22616133</v>
      </c>
      <c r="D26" s="1195">
        <v>16846464</v>
      </c>
    </row>
    <row r="27" spans="1:4" ht="15">
      <c r="A27" s="1194" t="s">
        <v>1376</v>
      </c>
      <c r="B27" s="1040" t="s">
        <v>1150</v>
      </c>
      <c r="C27" s="1031">
        <v>196998</v>
      </c>
      <c r="D27" s="1195">
        <v>196998</v>
      </c>
    </row>
    <row r="28" spans="1:4" ht="15">
      <c r="A28" s="1197" t="s">
        <v>1377</v>
      </c>
      <c r="B28" s="1040" t="s">
        <v>471</v>
      </c>
      <c r="C28" s="1041">
        <f>C29+C30</f>
        <v>3790241</v>
      </c>
      <c r="D28" s="1196">
        <f>D29+D30</f>
        <v>977197</v>
      </c>
    </row>
    <row r="29" spans="1:4" ht="15">
      <c r="A29" s="1194" t="s">
        <v>1378</v>
      </c>
      <c r="B29" s="1043" t="s">
        <v>473</v>
      </c>
      <c r="C29" s="1031">
        <v>3574107</v>
      </c>
      <c r="D29" s="1195">
        <v>761063</v>
      </c>
    </row>
    <row r="30" spans="1:4" ht="15">
      <c r="A30" s="1194" t="s">
        <v>1379</v>
      </c>
      <c r="B30" s="1040" t="s">
        <v>475</v>
      </c>
      <c r="C30" s="1031">
        <v>216134</v>
      </c>
      <c r="D30" s="1195">
        <v>216134</v>
      </c>
    </row>
    <row r="31" spans="1:4" ht="15">
      <c r="A31" s="1197" t="s">
        <v>1380</v>
      </c>
      <c r="B31" s="1040" t="s">
        <v>477</v>
      </c>
      <c r="C31" s="1041">
        <f>C32+C36</f>
        <v>502956</v>
      </c>
      <c r="D31" s="1196">
        <f>D32+D36</f>
        <v>502956</v>
      </c>
    </row>
    <row r="32" spans="1:4" ht="15">
      <c r="A32" s="1197" t="s">
        <v>1381</v>
      </c>
      <c r="B32" s="1040" t="s">
        <v>479</v>
      </c>
      <c r="C32" s="1041">
        <f>C33+C35</f>
        <v>502956</v>
      </c>
      <c r="D32" s="1196">
        <f>D33+D35</f>
        <v>502956</v>
      </c>
    </row>
    <row r="33" spans="1:4" ht="15">
      <c r="A33" s="1194" t="s">
        <v>1382</v>
      </c>
      <c r="B33" s="1040" t="s">
        <v>481</v>
      </c>
      <c r="C33" s="1042">
        <v>0</v>
      </c>
      <c r="D33" s="1198">
        <v>0</v>
      </c>
    </row>
    <row r="34" spans="1:4" ht="15">
      <c r="A34" s="1194" t="s">
        <v>1383</v>
      </c>
      <c r="B34" s="1040" t="s">
        <v>1384</v>
      </c>
      <c r="C34" s="1042">
        <v>0</v>
      </c>
      <c r="D34" s="1198">
        <v>0</v>
      </c>
    </row>
    <row r="35" spans="1:4" ht="15">
      <c r="A35" s="1202" t="s">
        <v>1385</v>
      </c>
      <c r="B35" s="1040" t="s">
        <v>1386</v>
      </c>
      <c r="C35" s="1042">
        <v>502956</v>
      </c>
      <c r="D35" s="1198">
        <v>502956</v>
      </c>
    </row>
    <row r="36" spans="1:4" ht="15">
      <c r="A36" s="1197" t="s">
        <v>1387</v>
      </c>
      <c r="B36" s="1040" t="s">
        <v>1247</v>
      </c>
      <c r="C36" s="1041">
        <v>0</v>
      </c>
      <c r="D36" s="1196">
        <v>0</v>
      </c>
    </row>
    <row r="37" spans="1:4" ht="15">
      <c r="A37" s="1200" t="s">
        <v>1388</v>
      </c>
      <c r="B37" s="1040" t="s">
        <v>1251</v>
      </c>
      <c r="C37" s="1041">
        <v>0</v>
      </c>
      <c r="D37" s="1196">
        <v>0</v>
      </c>
    </row>
    <row r="38" spans="1:4" ht="15">
      <c r="A38" s="1203" t="s">
        <v>1389</v>
      </c>
      <c r="B38" s="1040" t="s">
        <v>1390</v>
      </c>
      <c r="C38" s="1041">
        <f>C8+C11+C31+C37</f>
        <v>241181054</v>
      </c>
      <c r="D38" s="1196">
        <f>D8+D11+D31+D37</f>
        <v>215985692</v>
      </c>
    </row>
    <row r="39" spans="1:4" ht="15">
      <c r="A39" s="1197" t="s">
        <v>1391</v>
      </c>
      <c r="B39" s="1040" t="s">
        <v>1392</v>
      </c>
      <c r="C39" s="1041">
        <v>23269</v>
      </c>
      <c r="D39" s="1196">
        <v>23269</v>
      </c>
    </row>
    <row r="40" spans="1:4" ht="15">
      <c r="A40" s="1197" t="s">
        <v>1393</v>
      </c>
      <c r="B40" s="1040" t="s">
        <v>1394</v>
      </c>
      <c r="C40" s="1041">
        <v>11500000</v>
      </c>
      <c r="D40" s="1196">
        <v>11500000</v>
      </c>
    </row>
    <row r="41" spans="1:4" ht="15">
      <c r="A41" s="1203" t="s">
        <v>1395</v>
      </c>
      <c r="B41" s="1040" t="s">
        <v>1396</v>
      </c>
      <c r="C41" s="1041">
        <f>C39+C40</f>
        <v>11523269</v>
      </c>
      <c r="D41" s="1196">
        <f>D39+D40</f>
        <v>11523269</v>
      </c>
    </row>
    <row r="42" spans="1:4" ht="15">
      <c r="A42" s="1201" t="s">
        <v>1709</v>
      </c>
      <c r="B42" s="1040" t="s">
        <v>1249</v>
      </c>
      <c r="C42" s="1042">
        <v>701854</v>
      </c>
      <c r="D42" s="1204">
        <v>701854</v>
      </c>
    </row>
    <row r="43" spans="1:4" ht="15">
      <c r="A43" s="1201" t="s">
        <v>1397</v>
      </c>
      <c r="B43" s="1040" t="s">
        <v>1399</v>
      </c>
      <c r="C43" s="1042">
        <v>2561</v>
      </c>
      <c r="D43" s="1204">
        <v>2561</v>
      </c>
    </row>
    <row r="44" spans="1:4" ht="15">
      <c r="A44" s="1201" t="s">
        <v>1398</v>
      </c>
      <c r="B44" s="1040" t="s">
        <v>1401</v>
      </c>
      <c r="C44" s="1042">
        <v>3742682</v>
      </c>
      <c r="D44" s="1204">
        <v>3742682</v>
      </c>
    </row>
    <row r="45" spans="1:4" ht="15">
      <c r="A45" s="1201" t="s">
        <v>1707</v>
      </c>
      <c r="B45" s="1040" t="s">
        <v>1403</v>
      </c>
      <c r="C45" s="1042">
        <v>2602</v>
      </c>
      <c r="D45" s="1195">
        <v>2602</v>
      </c>
    </row>
    <row r="46" spans="1:4" ht="15">
      <c r="A46" s="1203" t="s">
        <v>1400</v>
      </c>
      <c r="B46" s="1040" t="s">
        <v>1405</v>
      </c>
      <c r="C46" s="1041">
        <f>C42+C43+C44+C45</f>
        <v>4449699</v>
      </c>
      <c r="D46" s="1196">
        <f>D42+D43+D44+D45</f>
        <v>4449699</v>
      </c>
    </row>
    <row r="47" spans="1:4" ht="15">
      <c r="A47" s="1201" t="s">
        <v>1402</v>
      </c>
      <c r="B47" s="1040" t="s">
        <v>1406</v>
      </c>
      <c r="C47" s="1031">
        <v>4309855</v>
      </c>
      <c r="D47" s="1198">
        <v>2128206</v>
      </c>
    </row>
    <row r="48" spans="1:4" ht="15">
      <c r="A48" s="1201" t="s">
        <v>1404</v>
      </c>
      <c r="B48" s="1040" t="s">
        <v>1408</v>
      </c>
      <c r="C48" s="1031">
        <v>5774508</v>
      </c>
      <c r="D48" s="1198">
        <v>5774508</v>
      </c>
    </row>
    <row r="49" spans="1:4" ht="15">
      <c r="A49" s="1194" t="s">
        <v>1284</v>
      </c>
      <c r="B49" s="1040" t="s">
        <v>1410</v>
      </c>
      <c r="C49" s="1042">
        <v>307532</v>
      </c>
      <c r="D49" s="1198">
        <v>307532</v>
      </c>
    </row>
    <row r="50" spans="1:4" ht="15">
      <c r="A50" s="1203" t="s">
        <v>1407</v>
      </c>
      <c r="B50" s="1040" t="s">
        <v>1412</v>
      </c>
      <c r="C50" s="1041">
        <f>C47+C48+C49</f>
        <v>10391895</v>
      </c>
      <c r="D50" s="1196">
        <f>D47+D48+D49</f>
        <v>8210246</v>
      </c>
    </row>
    <row r="51" spans="1:4" ht="15">
      <c r="A51" s="1407" t="s">
        <v>1409</v>
      </c>
      <c r="B51" s="1040" t="s">
        <v>1414</v>
      </c>
      <c r="C51" s="1042">
        <v>75653</v>
      </c>
      <c r="D51" s="1198">
        <v>75653</v>
      </c>
    </row>
    <row r="52" spans="1:4" ht="15">
      <c r="A52" s="1407" t="s">
        <v>1411</v>
      </c>
      <c r="B52" s="1040" t="s">
        <v>1253</v>
      </c>
      <c r="C52" s="1042">
        <v>-88042</v>
      </c>
      <c r="D52" s="1198">
        <v>-88042</v>
      </c>
    </row>
    <row r="53" spans="1:4" ht="15">
      <c r="A53" s="1407" t="s">
        <v>1413</v>
      </c>
      <c r="B53" s="1040" t="s">
        <v>1417</v>
      </c>
      <c r="C53" s="1042">
        <v>1260</v>
      </c>
      <c r="D53" s="1198">
        <v>1260</v>
      </c>
    </row>
    <row r="54" spans="1:4" ht="15">
      <c r="A54" s="1203" t="s">
        <v>1415</v>
      </c>
      <c r="B54" s="1040" t="s">
        <v>1419</v>
      </c>
      <c r="C54" s="1041">
        <f>C51+C52+C53</f>
        <v>-11129</v>
      </c>
      <c r="D54" s="1196">
        <f>D51+D52+D53</f>
        <v>-11129</v>
      </c>
    </row>
    <row r="55" spans="1:4" ht="15">
      <c r="A55" s="1203" t="s">
        <v>1416</v>
      </c>
      <c r="B55" s="1040" t="s">
        <v>1420</v>
      </c>
      <c r="C55" s="1041">
        <v>32654</v>
      </c>
      <c r="D55" s="1196">
        <v>32654</v>
      </c>
    </row>
    <row r="56" spans="1:4" ht="15">
      <c r="A56" s="1203" t="s">
        <v>1418</v>
      </c>
      <c r="B56" s="1040" t="s">
        <v>1255</v>
      </c>
      <c r="C56" s="1041">
        <f>C38+C41+C46+C50+C54+C55</f>
        <v>267567442</v>
      </c>
      <c r="D56" s="1196">
        <f>D38+D41+D46+D50+D54+D55</f>
        <v>240190431</v>
      </c>
    </row>
    <row r="57" spans="1:4" ht="15">
      <c r="A57" s="1205" t="s">
        <v>1301</v>
      </c>
      <c r="B57" s="1040" t="s">
        <v>1421</v>
      </c>
      <c r="C57" s="1042">
        <v>232769746</v>
      </c>
      <c r="D57" s="1198">
        <v>232769746</v>
      </c>
    </row>
    <row r="58" spans="1:4" ht="15">
      <c r="A58" s="1205" t="s">
        <v>1303</v>
      </c>
      <c r="B58" s="1040" t="s">
        <v>1422</v>
      </c>
      <c r="C58" s="1042">
        <v>-6100121</v>
      </c>
      <c r="D58" s="1198">
        <v>-6100121</v>
      </c>
    </row>
    <row r="59" spans="1:4" ht="15">
      <c r="A59" s="1205" t="s">
        <v>1305</v>
      </c>
      <c r="B59" s="1040" t="s">
        <v>1423</v>
      </c>
      <c r="C59" s="1042">
        <v>1786404</v>
      </c>
      <c r="D59" s="1198">
        <v>1786404</v>
      </c>
    </row>
    <row r="60" spans="1:4" ht="15">
      <c r="A60" s="1205" t="s">
        <v>1307</v>
      </c>
      <c r="B60" s="1040" t="s">
        <v>1257</v>
      </c>
      <c r="C60" s="1042">
        <v>-11201549</v>
      </c>
      <c r="D60" s="1198">
        <v>-11201549</v>
      </c>
    </row>
    <row r="61" spans="1:4" ht="15">
      <c r="A61" s="1205" t="s">
        <v>1309</v>
      </c>
      <c r="B61" s="1040" t="s">
        <v>1426</v>
      </c>
      <c r="C61" s="1042">
        <v>3585911</v>
      </c>
      <c r="D61" s="1198">
        <v>3585911</v>
      </c>
    </row>
    <row r="62" spans="1:4" ht="15">
      <c r="A62" s="1206" t="s">
        <v>1424</v>
      </c>
      <c r="B62" s="1040" t="s">
        <v>1428</v>
      </c>
      <c r="C62" s="1041">
        <f>C57+C58+C59+C60+C61</f>
        <v>220840391</v>
      </c>
      <c r="D62" s="1196">
        <f>SUM(D57:D61)</f>
        <v>220840391</v>
      </c>
    </row>
    <row r="63" spans="1:4" ht="15">
      <c r="A63" s="1207" t="s">
        <v>1425</v>
      </c>
      <c r="B63" s="1040" t="s">
        <v>1429</v>
      </c>
      <c r="C63" s="1042">
        <v>242927</v>
      </c>
      <c r="D63" s="1198">
        <v>242927</v>
      </c>
    </row>
    <row r="64" spans="1:4" ht="15">
      <c r="A64" s="1208" t="s">
        <v>1427</v>
      </c>
      <c r="B64" s="1040" t="s">
        <v>1431</v>
      </c>
      <c r="C64" s="1042">
        <v>527043</v>
      </c>
      <c r="D64" s="1198">
        <v>527043</v>
      </c>
    </row>
    <row r="65" spans="1:4" ht="15">
      <c r="A65" s="1208" t="s">
        <v>1335</v>
      </c>
      <c r="B65" s="1040" t="s">
        <v>1433</v>
      </c>
      <c r="C65" s="1042">
        <v>1189951</v>
      </c>
      <c r="D65" s="1198">
        <v>1189951</v>
      </c>
    </row>
    <row r="66" spans="1:4" ht="15">
      <c r="A66" s="1209" t="s">
        <v>1430</v>
      </c>
      <c r="B66" s="1040" t="s">
        <v>1259</v>
      </c>
      <c r="C66" s="1041">
        <f>C63+C64+C65</f>
        <v>1959921</v>
      </c>
      <c r="D66" s="1196">
        <f>SUM(D63:D65)</f>
        <v>1959921</v>
      </c>
    </row>
    <row r="67" spans="1:4" ht="15">
      <c r="A67" s="1209" t="s">
        <v>1432</v>
      </c>
      <c r="B67" s="1040" t="s">
        <v>1436</v>
      </c>
      <c r="C67" s="1041">
        <v>0</v>
      </c>
      <c r="D67" s="1196">
        <v>0</v>
      </c>
    </row>
    <row r="68" spans="1:4" ht="15">
      <c r="A68" s="1209" t="s">
        <v>1434</v>
      </c>
      <c r="B68" s="1040" t="s">
        <v>1708</v>
      </c>
      <c r="C68" s="1041">
        <v>17390119</v>
      </c>
      <c r="D68" s="1196">
        <v>17390119</v>
      </c>
    </row>
    <row r="69" spans="1:4" ht="15">
      <c r="A69" s="1209" t="s">
        <v>1435</v>
      </c>
      <c r="B69" s="1040" t="s">
        <v>1710</v>
      </c>
      <c r="C69" s="1041">
        <f>C62+C66+C67+C68</f>
        <v>240190431</v>
      </c>
      <c r="D69" s="1196">
        <f>D62+D66+D67+D68</f>
        <v>240190431</v>
      </c>
    </row>
    <row r="70" spans="1:4" ht="15.75" thickBot="1">
      <c r="A70" s="1408"/>
      <c r="B70" s="1210"/>
      <c r="C70" s="1409"/>
      <c r="D70" s="1410"/>
    </row>
    <row r="71" spans="1:4">
      <c r="A71" s="1988" t="s">
        <v>1354</v>
      </c>
      <c r="B71" s="1990" t="s">
        <v>1355</v>
      </c>
      <c r="C71" s="1991" t="s">
        <v>1437</v>
      </c>
      <c r="D71" s="1992" t="s">
        <v>1438</v>
      </c>
    </row>
    <row r="72" spans="1:4" ht="13.5" thickBot="1">
      <c r="A72" s="1989"/>
      <c r="B72" s="1977"/>
      <c r="C72" s="1980"/>
      <c r="D72" s="1993"/>
    </row>
    <row r="73" spans="1:4" ht="15.75" thickBot="1">
      <c r="A73" s="1973" t="s">
        <v>1527</v>
      </c>
      <c r="B73" s="1974"/>
      <c r="C73" s="1974"/>
      <c r="D73" s="1975"/>
    </row>
    <row r="74" spans="1:4" ht="15.75" thickBot="1">
      <c r="A74" s="1044" t="s">
        <v>1439</v>
      </c>
      <c r="B74" s="1045">
        <v>1</v>
      </c>
      <c r="C74" s="1046">
        <f>C75+C76</f>
        <v>583925</v>
      </c>
      <c r="D74" s="1046">
        <f>D75+D76</f>
        <v>0</v>
      </c>
    </row>
    <row r="75" spans="1:4" ht="15">
      <c r="A75" s="1047" t="s">
        <v>1440</v>
      </c>
      <c r="B75" s="1048">
        <v>2</v>
      </c>
      <c r="C75" s="1049">
        <v>583925</v>
      </c>
      <c r="D75" s="1049">
        <v>0</v>
      </c>
    </row>
    <row r="76" spans="1:4" ht="15.75" thickBot="1">
      <c r="A76" s="1050" t="s">
        <v>1441</v>
      </c>
      <c r="B76" s="1051">
        <v>3</v>
      </c>
      <c r="C76" s="1052">
        <v>0</v>
      </c>
      <c r="D76" s="1052">
        <v>0</v>
      </c>
    </row>
    <row r="77" spans="1:4" ht="15.75" thickBot="1">
      <c r="A77" s="1053" t="s">
        <v>1442</v>
      </c>
      <c r="B77" s="1054">
        <v>4</v>
      </c>
      <c r="C77" s="1046">
        <f>C78+C81+C84</f>
        <v>2458244</v>
      </c>
      <c r="D77" s="1046">
        <v>0</v>
      </c>
    </row>
    <row r="78" spans="1:4" ht="15">
      <c r="A78" s="1055" t="s">
        <v>1443</v>
      </c>
      <c r="B78" s="1056">
        <v>5</v>
      </c>
      <c r="C78" s="1049">
        <v>299831</v>
      </c>
      <c r="D78" s="1049">
        <v>0</v>
      </c>
    </row>
    <row r="79" spans="1:4" ht="15">
      <c r="A79" s="1047" t="s">
        <v>1440</v>
      </c>
      <c r="B79" s="1048">
        <v>6</v>
      </c>
      <c r="C79" s="1031">
        <v>299831</v>
      </c>
      <c r="D79" s="1057">
        <v>0</v>
      </c>
    </row>
    <row r="80" spans="1:4" ht="15">
      <c r="A80" s="1058" t="s">
        <v>1441</v>
      </c>
      <c r="B80" s="1059">
        <v>7</v>
      </c>
      <c r="C80" s="1057">
        <v>0</v>
      </c>
      <c r="D80" s="1057">
        <v>0</v>
      </c>
    </row>
    <row r="81" spans="1:4" ht="15">
      <c r="A81" s="1058" t="s">
        <v>1444</v>
      </c>
      <c r="B81" s="1059">
        <v>8</v>
      </c>
      <c r="C81" s="1057">
        <v>2158413</v>
      </c>
      <c r="D81" s="1057">
        <v>0</v>
      </c>
    </row>
    <row r="82" spans="1:4" ht="15">
      <c r="A82" s="1058" t="s">
        <v>1440</v>
      </c>
      <c r="B82" s="1059">
        <v>9</v>
      </c>
      <c r="C82" s="1057">
        <v>2158413</v>
      </c>
      <c r="D82" s="1057">
        <v>0</v>
      </c>
    </row>
    <row r="83" spans="1:4" ht="15">
      <c r="A83" s="1058" t="s">
        <v>1441</v>
      </c>
      <c r="B83" s="1059">
        <v>10</v>
      </c>
      <c r="C83" s="1057">
        <v>0</v>
      </c>
      <c r="D83" s="1057">
        <v>0</v>
      </c>
    </row>
    <row r="84" spans="1:4" ht="15">
      <c r="A84" s="1058" t="s">
        <v>1445</v>
      </c>
      <c r="B84" s="1059">
        <v>11</v>
      </c>
      <c r="C84" s="1057">
        <v>0</v>
      </c>
      <c r="D84" s="1057">
        <v>0</v>
      </c>
    </row>
    <row r="85" spans="1:4" ht="15">
      <c r="A85" s="1058" t="s">
        <v>1440</v>
      </c>
      <c r="B85" s="1059">
        <v>12</v>
      </c>
      <c r="C85" s="1057">
        <v>0</v>
      </c>
      <c r="D85" s="1057">
        <v>0</v>
      </c>
    </row>
    <row r="86" spans="1:4" ht="15.75" thickBot="1">
      <c r="A86" s="1050" t="s">
        <v>1441</v>
      </c>
      <c r="B86" s="1051">
        <v>13</v>
      </c>
      <c r="C86" s="1060">
        <v>0</v>
      </c>
      <c r="D86" s="1060">
        <v>0</v>
      </c>
    </row>
    <row r="87" spans="1:4" ht="15.75" thickBot="1">
      <c r="A87" s="1061" t="s">
        <v>1446</v>
      </c>
      <c r="B87" s="1054">
        <v>14</v>
      </c>
      <c r="C87" s="1046">
        <f>C88+C89</f>
        <v>0</v>
      </c>
      <c r="D87" s="1046">
        <v>0</v>
      </c>
    </row>
    <row r="88" spans="1:4" ht="15">
      <c r="A88" s="1047" t="s">
        <v>1440</v>
      </c>
      <c r="B88" s="1048">
        <v>15</v>
      </c>
      <c r="C88" s="1062">
        <v>0</v>
      </c>
      <c r="D88" s="1062">
        <v>0</v>
      </c>
    </row>
    <row r="89" spans="1:4" ht="15.75" thickBot="1">
      <c r="A89" s="1063" t="s">
        <v>1441</v>
      </c>
      <c r="B89" s="1064">
        <v>16</v>
      </c>
      <c r="C89" s="1060">
        <v>0</v>
      </c>
      <c r="D89" s="1060">
        <v>0</v>
      </c>
    </row>
    <row r="90" spans="1:4" ht="15.75" thickBot="1">
      <c r="A90" s="1065" t="s">
        <v>1447</v>
      </c>
      <c r="B90" s="1066">
        <v>17</v>
      </c>
      <c r="C90" s="1067">
        <f>C74+C77+C87</f>
        <v>3042169</v>
      </c>
      <c r="D90" s="1067">
        <v>0</v>
      </c>
    </row>
    <row r="91" spans="1:4" ht="15">
      <c r="A91" s="1068"/>
      <c r="B91" s="1069"/>
      <c r="C91" s="1070"/>
      <c r="D91" s="1070"/>
    </row>
    <row r="92" spans="1:4" ht="15">
      <c r="A92" s="1033"/>
      <c r="B92" s="1034"/>
      <c r="C92" s="1035"/>
      <c r="D92" s="1036" t="s">
        <v>1353</v>
      </c>
    </row>
    <row r="93" spans="1:4" ht="15.75" thickBot="1">
      <c r="A93" s="1037" t="s">
        <v>1225</v>
      </c>
      <c r="B93" s="1038" t="s">
        <v>1226</v>
      </c>
      <c r="C93" s="1039" t="s">
        <v>1227</v>
      </c>
      <c r="D93" s="1039" t="s">
        <v>1228</v>
      </c>
    </row>
    <row r="94" spans="1:4">
      <c r="A94" s="1994" t="s">
        <v>1354</v>
      </c>
      <c r="B94" s="1978" t="s">
        <v>1355</v>
      </c>
      <c r="C94" s="1979" t="s">
        <v>1448</v>
      </c>
      <c r="D94" s="1981" t="s">
        <v>1449</v>
      </c>
    </row>
    <row r="95" spans="1:4" ht="13.5" thickBot="1">
      <c r="A95" s="1989"/>
      <c r="B95" s="1977"/>
      <c r="C95" s="1980"/>
      <c r="D95" s="1982"/>
    </row>
    <row r="96" spans="1:4" ht="15.75" thickBot="1">
      <c r="A96" s="1973" t="s">
        <v>1528</v>
      </c>
      <c r="B96" s="1974"/>
      <c r="C96" s="1974"/>
      <c r="D96" s="1975"/>
    </row>
    <row r="97" spans="1:4" ht="15.75" thickBot="1">
      <c r="A97" s="1053" t="s">
        <v>1450</v>
      </c>
      <c r="B97" s="1071">
        <v>1</v>
      </c>
      <c r="C97" s="1072">
        <v>513</v>
      </c>
      <c r="D97" s="1072">
        <v>35633</v>
      </c>
    </row>
    <row r="98" spans="1:4" ht="15.75" thickBot="1">
      <c r="A98" s="1053" t="s">
        <v>1451</v>
      </c>
      <c r="B98" s="1071">
        <v>2</v>
      </c>
      <c r="C98" s="1072">
        <f>C99+C100+C101</f>
        <v>44355</v>
      </c>
      <c r="D98" s="1072">
        <f>D99+D100+D101</f>
        <v>1054184</v>
      </c>
    </row>
    <row r="99" spans="1:4" ht="15">
      <c r="A99" s="1055" t="s">
        <v>1452</v>
      </c>
      <c r="B99" s="1073">
        <v>3</v>
      </c>
      <c r="C99" s="1074">
        <v>0</v>
      </c>
      <c r="D99" s="1074">
        <v>0</v>
      </c>
    </row>
    <row r="100" spans="1:4" ht="15">
      <c r="A100" s="1058" t="s">
        <v>1453</v>
      </c>
      <c r="B100" s="1075">
        <v>4</v>
      </c>
      <c r="C100" s="1076">
        <v>44355</v>
      </c>
      <c r="D100" s="1076">
        <v>1054184</v>
      </c>
    </row>
    <row r="101" spans="1:4" ht="15.75" thickBot="1">
      <c r="A101" s="1058" t="s">
        <v>1454</v>
      </c>
      <c r="B101" s="1075">
        <v>5</v>
      </c>
      <c r="C101" s="1077">
        <v>0</v>
      </c>
      <c r="D101" s="1077">
        <v>0</v>
      </c>
    </row>
    <row r="102" spans="1:4" ht="15.75" thickBot="1">
      <c r="A102" s="1061" t="s">
        <v>1455</v>
      </c>
      <c r="B102" s="1071">
        <v>6</v>
      </c>
      <c r="C102" s="1072">
        <f>C103+C104+C105+C106+C107</f>
        <v>36732</v>
      </c>
      <c r="D102" s="1072">
        <f>D103+D104+D105+D106+D107</f>
        <v>37924</v>
      </c>
    </row>
    <row r="103" spans="1:4" ht="15">
      <c r="A103" s="1055" t="s">
        <v>1456</v>
      </c>
      <c r="B103" s="1073">
        <v>7</v>
      </c>
      <c r="C103" s="1074">
        <v>36057</v>
      </c>
      <c r="D103" s="1074">
        <v>19206</v>
      </c>
    </row>
    <row r="104" spans="1:4" ht="15">
      <c r="A104" s="1058" t="s">
        <v>1457</v>
      </c>
      <c r="B104" s="1075">
        <v>8</v>
      </c>
      <c r="C104" s="1076">
        <v>0</v>
      </c>
      <c r="D104" s="1076">
        <v>0</v>
      </c>
    </row>
    <row r="105" spans="1:4" ht="15">
      <c r="A105" s="1058" t="s">
        <v>1458</v>
      </c>
      <c r="B105" s="1075">
        <v>9</v>
      </c>
      <c r="C105" s="1076">
        <v>675</v>
      </c>
      <c r="D105" s="1076">
        <v>18718</v>
      </c>
    </row>
    <row r="106" spans="1:4" ht="15">
      <c r="A106" s="1058" t="s">
        <v>1459</v>
      </c>
      <c r="B106" s="1075">
        <v>10</v>
      </c>
      <c r="C106" s="1076">
        <v>0</v>
      </c>
      <c r="D106" s="1076">
        <v>0</v>
      </c>
    </row>
    <row r="107" spans="1:4" ht="15.75" thickBot="1">
      <c r="A107" s="1063" t="s">
        <v>1460</v>
      </c>
      <c r="B107" s="1078">
        <v>11</v>
      </c>
      <c r="C107" s="1077">
        <v>0</v>
      </c>
      <c r="D107" s="1077">
        <v>0</v>
      </c>
    </row>
    <row r="108" spans="1:4" ht="15.75" thickBot="1">
      <c r="A108" s="1065" t="s">
        <v>1461</v>
      </c>
      <c r="B108" s="1079">
        <v>12</v>
      </c>
      <c r="C108" s="1080">
        <f>C97+C98+C102</f>
        <v>81600</v>
      </c>
      <c r="D108" s="1080">
        <f>D97+D98+D102</f>
        <v>1127741</v>
      </c>
    </row>
    <row r="109" spans="1:4" ht="15">
      <c r="A109" s="1068"/>
      <c r="B109" s="1069"/>
      <c r="C109" s="1070"/>
      <c r="D109" s="1070"/>
    </row>
    <row r="110" spans="1:4" ht="15">
      <c r="A110" s="1033"/>
      <c r="B110" s="1034"/>
      <c r="C110" s="1035"/>
      <c r="D110" s="1036" t="s">
        <v>1353</v>
      </c>
    </row>
    <row r="111" spans="1:4" ht="15.75" thickBot="1">
      <c r="A111" s="1037" t="s">
        <v>1225</v>
      </c>
      <c r="B111" s="1038" t="s">
        <v>1226</v>
      </c>
      <c r="C111" s="1039" t="s">
        <v>1227</v>
      </c>
      <c r="D111" s="1039" t="s">
        <v>1228</v>
      </c>
    </row>
    <row r="112" spans="1:4">
      <c r="A112" s="1994" t="s">
        <v>1354</v>
      </c>
      <c r="B112" s="1978" t="s">
        <v>1355</v>
      </c>
      <c r="C112" s="1979" t="s">
        <v>1448</v>
      </c>
      <c r="D112" s="1981" t="s">
        <v>1462</v>
      </c>
    </row>
    <row r="113" spans="1:4" ht="13.5" thickBot="1">
      <c r="A113" s="1989"/>
      <c r="B113" s="1977"/>
      <c r="C113" s="1980"/>
      <c r="D113" s="1982"/>
    </row>
    <row r="114" spans="1:4" ht="15.75" thickBot="1">
      <c r="A114" s="1973" t="s">
        <v>1529</v>
      </c>
      <c r="B114" s="1974"/>
      <c r="C114" s="1986"/>
      <c r="D114" s="1987"/>
    </row>
    <row r="115" spans="1:4" ht="15.75" thickBot="1">
      <c r="A115" s="1053" t="s">
        <v>1463</v>
      </c>
      <c r="B115" s="1054">
        <v>1</v>
      </c>
      <c r="C115" s="1072">
        <f>C116+C117+C118+C119</f>
        <v>6933</v>
      </c>
      <c r="D115" s="1072">
        <f>D116+D117+D118+D119</f>
        <v>10364155</v>
      </c>
    </row>
    <row r="116" spans="1:4" ht="15">
      <c r="A116" s="1055" t="s">
        <v>1464</v>
      </c>
      <c r="B116" s="1056">
        <v>2</v>
      </c>
      <c r="C116" s="1081">
        <v>6882</v>
      </c>
      <c r="D116" s="1081">
        <v>10348855</v>
      </c>
    </row>
    <row r="117" spans="1:4" ht="15">
      <c r="A117" s="1047" t="s">
        <v>1465</v>
      </c>
      <c r="B117" s="1048">
        <v>3</v>
      </c>
      <c r="C117" s="1082">
        <v>51</v>
      </c>
      <c r="D117" s="1082">
        <v>15300</v>
      </c>
    </row>
    <row r="118" spans="1:4" ht="15">
      <c r="A118" s="1047" t="s">
        <v>1466</v>
      </c>
      <c r="B118" s="1048">
        <v>4</v>
      </c>
      <c r="C118" s="1082">
        <v>0</v>
      </c>
      <c r="D118" s="1082">
        <v>0</v>
      </c>
    </row>
    <row r="119" spans="1:4" ht="15.75" thickBot="1">
      <c r="A119" s="1047" t="s">
        <v>1467</v>
      </c>
      <c r="B119" s="1048">
        <v>5</v>
      </c>
      <c r="C119" s="1082">
        <v>0</v>
      </c>
      <c r="D119" s="1082">
        <v>0</v>
      </c>
    </row>
    <row r="120" spans="1:4" ht="15.75" thickBot="1">
      <c r="A120" s="1061" t="s">
        <v>1468</v>
      </c>
      <c r="B120" s="1054">
        <v>6</v>
      </c>
      <c r="C120" s="1083">
        <f>C121+C122+C123</f>
        <v>0</v>
      </c>
      <c r="D120" s="1083">
        <f>D121+D122+D123</f>
        <v>0</v>
      </c>
    </row>
    <row r="121" spans="1:4" ht="15">
      <c r="A121" s="1055" t="s">
        <v>1469</v>
      </c>
      <c r="B121" s="1056">
        <v>7</v>
      </c>
      <c r="C121" s="1084">
        <v>0</v>
      </c>
      <c r="D121" s="1084">
        <v>0</v>
      </c>
    </row>
    <row r="122" spans="1:4" ht="15">
      <c r="A122" s="1058" t="s">
        <v>1470</v>
      </c>
      <c r="B122" s="1059">
        <v>8</v>
      </c>
      <c r="C122" s="1082">
        <v>0</v>
      </c>
      <c r="D122" s="1082">
        <v>0</v>
      </c>
    </row>
    <row r="123" spans="1:4" ht="15.75" thickBot="1">
      <c r="A123" s="1058" t="s">
        <v>1471</v>
      </c>
      <c r="B123" s="1059">
        <v>9</v>
      </c>
      <c r="C123" s="1083">
        <v>0</v>
      </c>
      <c r="D123" s="1083">
        <v>0</v>
      </c>
    </row>
    <row r="124" spans="1:4" ht="15.75" thickBot="1">
      <c r="A124" s="1065" t="s">
        <v>1472</v>
      </c>
      <c r="B124" s="1066">
        <v>10</v>
      </c>
      <c r="C124" s="1080">
        <f>C115+C120</f>
        <v>6933</v>
      </c>
      <c r="D124" s="1080">
        <f>D115+D120</f>
        <v>10364155</v>
      </c>
    </row>
    <row r="125" spans="1:4" ht="15">
      <c r="A125" s="1068"/>
      <c r="B125" s="1069"/>
      <c r="C125" s="1070"/>
      <c r="D125" s="1070"/>
    </row>
    <row r="126" spans="1:4" ht="15">
      <c r="A126" s="1033"/>
      <c r="B126" s="1034"/>
      <c r="C126" s="1035"/>
      <c r="D126" s="1036" t="s">
        <v>1353</v>
      </c>
    </row>
    <row r="127" spans="1:4" ht="15.75" thickBot="1">
      <c r="A127" s="1037" t="s">
        <v>1225</v>
      </c>
      <c r="B127" s="1038" t="s">
        <v>1226</v>
      </c>
      <c r="C127" s="1039" t="s">
        <v>1227</v>
      </c>
      <c r="D127" s="1039" t="s">
        <v>1228</v>
      </c>
    </row>
    <row r="128" spans="1:4">
      <c r="A128" s="1976" t="s">
        <v>119</v>
      </c>
      <c r="B128" s="1978" t="s">
        <v>1355</v>
      </c>
      <c r="C128" s="1979" t="s">
        <v>1448</v>
      </c>
      <c r="D128" s="1981" t="s">
        <v>1449</v>
      </c>
    </row>
    <row r="129" spans="1:4" ht="13.5" thickBot="1">
      <c r="A129" s="1977" t="s">
        <v>1473</v>
      </c>
      <c r="B129" s="1977"/>
      <c r="C129" s="1980"/>
      <c r="D129" s="1982"/>
    </row>
    <row r="130" spans="1:4" ht="31.9" customHeight="1" thickBot="1">
      <c r="A130" s="1983" t="s">
        <v>1530</v>
      </c>
      <c r="B130" s="1984"/>
      <c r="C130" s="1984"/>
      <c r="D130" s="1985"/>
    </row>
    <row r="131" spans="1:4" ht="15">
      <c r="A131" s="1085" t="s">
        <v>1474</v>
      </c>
      <c r="B131" s="1086">
        <v>1</v>
      </c>
      <c r="C131" s="1087">
        <v>184</v>
      </c>
      <c r="D131" s="1087">
        <v>86833</v>
      </c>
    </row>
    <row r="132" spans="1:4" ht="15">
      <c r="A132" s="1088" t="s">
        <v>1475</v>
      </c>
      <c r="B132" s="1089">
        <v>2</v>
      </c>
      <c r="C132" s="1087">
        <v>0</v>
      </c>
      <c r="D132" s="1087">
        <v>0</v>
      </c>
    </row>
    <row r="133" spans="1:4" ht="15">
      <c r="A133" s="1090" t="s">
        <v>1476</v>
      </c>
      <c r="B133" s="1089">
        <v>3</v>
      </c>
      <c r="C133" s="1087">
        <v>0</v>
      </c>
      <c r="D133" s="1087">
        <v>0</v>
      </c>
    </row>
    <row r="134" spans="1:4" ht="15">
      <c r="A134" s="1088" t="s">
        <v>1477</v>
      </c>
      <c r="B134" s="1089">
        <v>4</v>
      </c>
      <c r="C134" s="1087">
        <v>0</v>
      </c>
      <c r="D134" s="1087">
        <v>0</v>
      </c>
    </row>
    <row r="135" spans="1:4" ht="15.75" thickBot="1">
      <c r="A135" s="1088" t="s">
        <v>1478</v>
      </c>
      <c r="B135" s="1089">
        <v>5</v>
      </c>
      <c r="C135" s="1091">
        <v>0</v>
      </c>
      <c r="D135" s="1091">
        <v>0</v>
      </c>
    </row>
    <row r="136" spans="1:4" ht="15.75" thickBot="1">
      <c r="A136" s="1065" t="s">
        <v>1479</v>
      </c>
      <c r="B136" s="1079">
        <v>6</v>
      </c>
      <c r="C136" s="1092">
        <f>C131+C132+C133+C134+C135</f>
        <v>184</v>
      </c>
      <c r="D136" s="1092">
        <f>D131+D132+D133+D134+D135</f>
        <v>86833</v>
      </c>
    </row>
    <row r="137" spans="1:4" ht="15">
      <c r="A137" s="1068"/>
      <c r="B137" s="1068"/>
      <c r="C137" s="1068"/>
      <c r="D137" s="1068"/>
    </row>
    <row r="138" spans="1:4" ht="15">
      <c r="A138" s="1033"/>
      <c r="B138" s="1034"/>
      <c r="C138" s="1035"/>
      <c r="D138" s="1036" t="s">
        <v>1353</v>
      </c>
    </row>
    <row r="139" spans="1:4" ht="15.75" thickBot="1">
      <c r="A139" s="1037" t="s">
        <v>1225</v>
      </c>
      <c r="B139" s="1038" t="s">
        <v>1226</v>
      </c>
      <c r="C139" s="1039" t="s">
        <v>1227</v>
      </c>
      <c r="D139" s="1039" t="s">
        <v>1228</v>
      </c>
    </row>
    <row r="140" spans="1:4">
      <c r="A140" s="1976" t="s">
        <v>119</v>
      </c>
      <c r="B140" s="1978" t="s">
        <v>1355</v>
      </c>
      <c r="C140" s="1979" t="s">
        <v>1448</v>
      </c>
      <c r="D140" s="1981" t="s">
        <v>1480</v>
      </c>
    </row>
    <row r="141" spans="1:4" ht="13.5" thickBot="1">
      <c r="A141" s="1977" t="s">
        <v>1473</v>
      </c>
      <c r="B141" s="1977"/>
      <c r="C141" s="1980"/>
      <c r="D141" s="1982"/>
    </row>
    <row r="142" spans="1:4" ht="28.15" customHeight="1" thickBot="1">
      <c r="A142" s="1983" t="s">
        <v>1531</v>
      </c>
      <c r="B142" s="1984"/>
      <c r="C142" s="1984"/>
      <c r="D142" s="1985"/>
    </row>
    <row r="143" spans="1:4" ht="15.75" thickBot="1">
      <c r="A143" s="1044" t="s">
        <v>1481</v>
      </c>
      <c r="B143" s="1093">
        <v>1</v>
      </c>
      <c r="C143" s="1094">
        <f>C144+C145</f>
        <v>182</v>
      </c>
      <c r="D143" s="1072">
        <f>D144+D145</f>
        <v>686081</v>
      </c>
    </row>
    <row r="144" spans="1:4" ht="15">
      <c r="A144" s="1047" t="s">
        <v>1482</v>
      </c>
      <c r="B144" s="1095">
        <v>2</v>
      </c>
      <c r="C144" s="1096">
        <v>179</v>
      </c>
      <c r="D144" s="1097">
        <v>547694</v>
      </c>
    </row>
    <row r="145" spans="1:4" ht="15.75" thickBot="1">
      <c r="A145" s="1098" t="s">
        <v>1483</v>
      </c>
      <c r="B145" s="1099">
        <v>3</v>
      </c>
      <c r="C145" s="1077">
        <v>3</v>
      </c>
      <c r="D145" s="1077">
        <v>138387</v>
      </c>
    </row>
    <row r="146" spans="1:4" ht="15.75" thickBot="1">
      <c r="A146" s="1101" t="s">
        <v>1484</v>
      </c>
      <c r="B146" s="1102">
        <v>4</v>
      </c>
      <c r="C146" s="1094">
        <v>0</v>
      </c>
      <c r="D146" s="1072">
        <v>0</v>
      </c>
    </row>
    <row r="147" spans="1:4" ht="15.75" thickBot="1">
      <c r="A147" s="1053" t="s">
        <v>1485</v>
      </c>
      <c r="B147" s="1103">
        <v>5</v>
      </c>
      <c r="C147" s="1094">
        <f>C148+C149+C150+C151+C152</f>
        <v>6</v>
      </c>
      <c r="D147" s="1072">
        <f>D148+D149+D150+D151+D152</f>
        <v>5675297</v>
      </c>
    </row>
    <row r="148" spans="1:4" ht="15">
      <c r="A148" s="1047" t="s">
        <v>1486</v>
      </c>
      <c r="B148" s="1095">
        <v>6</v>
      </c>
      <c r="C148" s="1096">
        <v>0</v>
      </c>
      <c r="D148" s="1097">
        <v>0</v>
      </c>
    </row>
    <row r="149" spans="1:4" ht="15">
      <c r="A149" s="1047" t="s">
        <v>1487</v>
      </c>
      <c r="B149" s="1095">
        <v>7</v>
      </c>
      <c r="C149" s="1076">
        <v>0</v>
      </c>
      <c r="D149" s="1076">
        <v>0</v>
      </c>
    </row>
    <row r="150" spans="1:4" ht="15">
      <c r="A150" s="1047" t="s">
        <v>1488</v>
      </c>
      <c r="B150" s="1095">
        <v>8</v>
      </c>
      <c r="C150" s="1076">
        <v>0</v>
      </c>
      <c r="D150" s="1076">
        <v>0</v>
      </c>
    </row>
    <row r="151" spans="1:4" ht="15">
      <c r="A151" s="1047" t="s">
        <v>1489</v>
      </c>
      <c r="B151" s="1095">
        <v>9</v>
      </c>
      <c r="C151" s="1076">
        <v>4</v>
      </c>
      <c r="D151" s="1076">
        <v>5595513</v>
      </c>
    </row>
    <row r="152" spans="1:4" ht="15.75" thickBot="1">
      <c r="A152" s="1047" t="s">
        <v>1490</v>
      </c>
      <c r="B152" s="1095">
        <v>10</v>
      </c>
      <c r="C152" s="1100">
        <v>2</v>
      </c>
      <c r="D152" s="1077">
        <v>79784</v>
      </c>
    </row>
    <row r="153" spans="1:4" ht="15.75" thickBot="1">
      <c r="A153" s="1104" t="s">
        <v>1491</v>
      </c>
      <c r="B153" s="1066">
        <v>11</v>
      </c>
      <c r="C153" s="1080">
        <f>C143+C146+C147</f>
        <v>188</v>
      </c>
      <c r="D153" s="1411">
        <f>D143+D146+D147</f>
        <v>6361378</v>
      </c>
    </row>
    <row r="154" spans="1:4" ht="15.75" thickBot="1">
      <c r="A154" s="1068"/>
      <c r="B154" s="1068"/>
      <c r="C154" s="1070"/>
      <c r="D154" s="1070"/>
    </row>
    <row r="155" spans="1:4">
      <c r="A155" s="1976" t="s">
        <v>119</v>
      </c>
      <c r="B155" s="1978" t="s">
        <v>1355</v>
      </c>
      <c r="C155" s="1979" t="s">
        <v>1448</v>
      </c>
      <c r="D155" s="1981" t="s">
        <v>1480</v>
      </c>
    </row>
    <row r="156" spans="1:4" ht="13.5" thickBot="1">
      <c r="A156" s="1977" t="s">
        <v>1473</v>
      </c>
      <c r="B156" s="1977"/>
      <c r="C156" s="1980"/>
      <c r="D156" s="1982"/>
    </row>
    <row r="157" spans="1:4" ht="15.75" thickBot="1">
      <c r="A157" s="1973" t="s">
        <v>1492</v>
      </c>
      <c r="B157" s="1974"/>
      <c r="C157" s="1974"/>
      <c r="D157" s="1975"/>
    </row>
    <row r="158" spans="1:4" ht="15">
      <c r="A158" s="1047" t="s">
        <v>1493</v>
      </c>
      <c r="B158" s="1105" t="s">
        <v>120</v>
      </c>
      <c r="C158" s="1106">
        <v>75</v>
      </c>
      <c r="D158" s="1106">
        <v>30198</v>
      </c>
    </row>
    <row r="159" spans="1:4" ht="15">
      <c r="A159" s="1047" t="s">
        <v>1494</v>
      </c>
      <c r="B159" s="1105" t="s">
        <v>121</v>
      </c>
      <c r="C159" s="1106">
        <v>110</v>
      </c>
      <c r="D159" s="1106">
        <v>3640</v>
      </c>
    </row>
  </sheetData>
  <mergeCells count="37">
    <mergeCell ref="A1:D1"/>
    <mergeCell ref="A2:D2"/>
    <mergeCell ref="A3:D3"/>
    <mergeCell ref="A6:A7"/>
    <mergeCell ref="B6:B7"/>
    <mergeCell ref="C6:C7"/>
    <mergeCell ref="D6:D7"/>
    <mergeCell ref="A114:D114"/>
    <mergeCell ref="A71:A72"/>
    <mergeCell ref="B71:B72"/>
    <mergeCell ref="C71:C72"/>
    <mergeCell ref="D71:D72"/>
    <mergeCell ref="A73:D73"/>
    <mergeCell ref="A94:A95"/>
    <mergeCell ref="B94:B95"/>
    <mergeCell ref="C94:C95"/>
    <mergeCell ref="D94:D95"/>
    <mergeCell ref="A96:D96"/>
    <mergeCell ref="A112:A113"/>
    <mergeCell ref="B112:B113"/>
    <mergeCell ref="C112:C113"/>
    <mergeCell ref="D112:D113"/>
    <mergeCell ref="A157:D157"/>
    <mergeCell ref="A128:A129"/>
    <mergeCell ref="B128:B129"/>
    <mergeCell ref="C128:C129"/>
    <mergeCell ref="D128:D129"/>
    <mergeCell ref="A130:D130"/>
    <mergeCell ref="A140:A141"/>
    <mergeCell ref="B140:B141"/>
    <mergeCell ref="C140:C141"/>
    <mergeCell ref="D140:D141"/>
    <mergeCell ref="A142:D142"/>
    <mergeCell ref="A155:A156"/>
    <mergeCell ref="B155:B156"/>
    <mergeCell ref="C155:C156"/>
    <mergeCell ref="D155:D156"/>
  </mergeCells>
  <phoneticPr fontId="104" type="noConversion"/>
  <pageMargins left="0.7" right="0.7" top="0.75" bottom="0.75" header="0.3" footer="0.3"/>
  <pageSetup paperSize="9" scale="93" orientation="portrait" r:id="rId1"/>
  <rowBreaks count="1" manualBreakCount="1">
    <brk id="10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3:D23"/>
  <sheetViews>
    <sheetView zoomScaleNormal="100" workbookViewId="0">
      <selection activeCell="D7" sqref="D7"/>
    </sheetView>
  </sheetViews>
  <sheetFormatPr defaultColWidth="8.85546875" defaultRowHeight="12.75"/>
  <cols>
    <col min="3" max="3" width="51.140625" customWidth="1"/>
    <col min="4" max="4" width="16" customWidth="1"/>
  </cols>
  <sheetData>
    <row r="3" spans="2:4" ht="15.75">
      <c r="B3" s="2000" t="s">
        <v>1495</v>
      </c>
      <c r="C3" s="2000"/>
      <c r="D3" s="2000"/>
    </row>
    <row r="4" spans="2:4" ht="15.75">
      <c r="B4" s="2000" t="s">
        <v>1503</v>
      </c>
      <c r="C4" s="2000"/>
      <c r="D4" s="2000"/>
    </row>
    <row r="5" spans="2:4">
      <c r="D5" s="30"/>
    </row>
    <row r="6" spans="2:4">
      <c r="D6" s="30"/>
    </row>
    <row r="7" spans="2:4" ht="15.75" thickBot="1">
      <c r="D7" s="1401" t="s">
        <v>1353</v>
      </c>
    </row>
    <row r="8" spans="2:4" ht="15.75">
      <c r="B8" s="1638" t="s">
        <v>120</v>
      </c>
      <c r="C8" s="1639" t="s">
        <v>1504</v>
      </c>
      <c r="D8" s="1640">
        <v>1561</v>
      </c>
    </row>
    <row r="9" spans="2:4" ht="16.5" thickBot="1">
      <c r="B9" s="1641" t="s">
        <v>121</v>
      </c>
      <c r="C9" s="1108" t="s">
        <v>1505</v>
      </c>
      <c r="D9" s="1642">
        <v>10717116</v>
      </c>
    </row>
    <row r="10" spans="2:4" ht="20.25" thickTop="1" thickBot="1">
      <c r="B10" s="1643" t="s">
        <v>122</v>
      </c>
      <c r="C10" s="1109" t="s">
        <v>1506</v>
      </c>
      <c r="D10" s="1644">
        <f>SUM(D8:D9)</f>
        <v>10718677</v>
      </c>
    </row>
    <row r="11" spans="2:4" ht="16.5" thickTop="1">
      <c r="B11" s="1645" t="s">
        <v>419</v>
      </c>
      <c r="C11" s="1110" t="s">
        <v>1496</v>
      </c>
      <c r="D11" s="1646">
        <v>96673124</v>
      </c>
    </row>
    <row r="12" spans="2:4" ht="15.75">
      <c r="B12" s="1647" t="s">
        <v>420</v>
      </c>
      <c r="C12" s="1107" t="s">
        <v>1497</v>
      </c>
      <c r="D12" s="1648">
        <v>9691033</v>
      </c>
    </row>
    <row r="13" spans="2:4" ht="15.75">
      <c r="B13" s="1647" t="s">
        <v>429</v>
      </c>
      <c r="C13" s="1107" t="s">
        <v>1498</v>
      </c>
      <c r="D13" s="1648">
        <v>0</v>
      </c>
    </row>
    <row r="14" spans="2:4" ht="15.75">
      <c r="B14" s="1647" t="s">
        <v>455</v>
      </c>
      <c r="C14" s="1107" t="s">
        <v>1499</v>
      </c>
      <c r="D14" s="1648">
        <v>93790565</v>
      </c>
    </row>
    <row r="15" spans="2:4" ht="15.75">
      <c r="B15" s="1647" t="s">
        <v>378</v>
      </c>
      <c r="C15" s="1107" t="s">
        <v>1500</v>
      </c>
      <c r="D15" s="1648">
        <v>-204170</v>
      </c>
    </row>
    <row r="16" spans="2:4" ht="15.75">
      <c r="B16" s="1647" t="s">
        <v>379</v>
      </c>
      <c r="C16" s="1107" t="s">
        <v>1501</v>
      </c>
      <c r="D16" s="1648">
        <v>-41870</v>
      </c>
    </row>
    <row r="17" spans="2:4" ht="63.75" thickBot="1">
      <c r="B17" s="1647" t="s">
        <v>456</v>
      </c>
      <c r="C17" s="1397" t="s">
        <v>1706</v>
      </c>
      <c r="D17" s="1649">
        <v>58</v>
      </c>
    </row>
    <row r="18" spans="2:4" ht="20.25" thickTop="1" thickBot="1">
      <c r="B18" s="1650" t="s">
        <v>457</v>
      </c>
      <c r="C18" s="1111" t="s">
        <v>1502</v>
      </c>
      <c r="D18" s="1651">
        <f>D11-D12-D13-D14+D15-D16-D17</f>
        <v>-6970832</v>
      </c>
    </row>
    <row r="19" spans="2:4" ht="16.5" thickTop="1">
      <c r="B19" s="1647" t="s">
        <v>458</v>
      </c>
      <c r="C19" s="1112" t="s">
        <v>1507</v>
      </c>
      <c r="D19" s="1652">
        <v>2561</v>
      </c>
    </row>
    <row r="20" spans="2:4" ht="16.5" thickBot="1">
      <c r="B20" s="1647" t="s">
        <v>459</v>
      </c>
      <c r="C20" s="1108" t="s">
        <v>1508</v>
      </c>
      <c r="D20" s="1653">
        <v>4447138</v>
      </c>
    </row>
    <row r="21" spans="2:4" ht="20.25" thickTop="1" thickBot="1">
      <c r="B21" s="1654" t="s">
        <v>570</v>
      </c>
      <c r="C21" s="1655" t="s">
        <v>1509</v>
      </c>
      <c r="D21" s="1656">
        <f>SUM(D19:D20)</f>
        <v>4449699</v>
      </c>
    </row>
    <row r="23" spans="2:4">
      <c r="D23" s="30"/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F118"/>
  <sheetViews>
    <sheetView view="pageBreakPreview" topLeftCell="A91" zoomScale="60" zoomScaleNormal="100" workbookViewId="0">
      <selection activeCell="B118" sqref="B118:C118"/>
    </sheetView>
  </sheetViews>
  <sheetFormatPr defaultColWidth="8.85546875" defaultRowHeight="12.75"/>
  <cols>
    <col min="1" max="1" width="8.85546875" style="205"/>
    <col min="2" max="2" width="7" style="205" customWidth="1"/>
    <col min="3" max="3" width="63.5703125" style="205" customWidth="1"/>
    <col min="4" max="5" width="10.85546875" style="205" customWidth="1"/>
    <col min="6" max="6" width="11" style="205" customWidth="1"/>
  </cols>
  <sheetData>
    <row r="1" spans="1:6" ht="15.75">
      <c r="A1" s="2012" t="s">
        <v>1152</v>
      </c>
      <c r="B1" s="2012"/>
      <c r="C1" s="2012"/>
      <c r="D1" s="2012"/>
      <c r="E1" s="2012"/>
      <c r="F1" s="2012"/>
    </row>
    <row r="2" spans="1:6" ht="15.75">
      <c r="A2" s="2013" t="s">
        <v>1510</v>
      </c>
      <c r="B2" s="2013"/>
      <c r="C2" s="2013"/>
      <c r="D2" s="2013"/>
      <c r="E2" s="2013"/>
      <c r="F2" s="2013"/>
    </row>
    <row r="3" spans="1:6">
      <c r="B3" s="206"/>
      <c r="C3" s="206"/>
      <c r="D3" s="206"/>
      <c r="E3" s="206"/>
      <c r="F3" s="206"/>
    </row>
    <row r="4" spans="1:6">
      <c r="B4"/>
      <c r="C4"/>
      <c r="D4"/>
      <c r="E4"/>
      <c r="F4"/>
    </row>
    <row r="5" spans="1:6" ht="15.75">
      <c r="D5" s="207"/>
      <c r="E5" s="207"/>
      <c r="F5" s="207"/>
    </row>
    <row r="6" spans="1:6" ht="13.9" customHeight="1">
      <c r="B6" s="2014" t="s">
        <v>1717</v>
      </c>
      <c r="C6" s="2015"/>
      <c r="D6" s="2015"/>
      <c r="E6" s="1113"/>
      <c r="F6" s="1113"/>
    </row>
    <row r="7" spans="1:6" ht="15">
      <c r="B7" s="280"/>
      <c r="C7" s="280"/>
      <c r="F7" s="1401" t="s">
        <v>1353</v>
      </c>
    </row>
    <row r="8" spans="1:6" ht="13.9" customHeight="1">
      <c r="B8" s="2016" t="s">
        <v>1511</v>
      </c>
      <c r="C8" s="2016" t="s">
        <v>1512</v>
      </c>
      <c r="D8" s="2018" t="s">
        <v>1514</v>
      </c>
      <c r="E8" s="2018" t="s">
        <v>1518</v>
      </c>
      <c r="F8" s="2018" t="s">
        <v>1722</v>
      </c>
    </row>
    <row r="9" spans="1:6">
      <c r="B9" s="2016"/>
      <c r="C9" s="2016"/>
      <c r="D9" s="2016"/>
      <c r="E9" s="2016"/>
      <c r="F9" s="2016"/>
    </row>
    <row r="10" spans="1:6" ht="55.15" customHeight="1" thickBot="1">
      <c r="B10" s="2017"/>
      <c r="C10" s="2017"/>
      <c r="D10" s="2019"/>
      <c r="E10" s="2019"/>
      <c r="F10" s="2019"/>
    </row>
    <row r="11" spans="1:6" ht="13.5" thickTop="1">
      <c r="B11" s="2003" t="s">
        <v>1513</v>
      </c>
      <c r="C11" s="2005"/>
      <c r="D11" s="2006">
        <v>0</v>
      </c>
      <c r="E11" s="2006">
        <v>0</v>
      </c>
      <c r="F11" s="2006">
        <v>0</v>
      </c>
    </row>
    <row r="12" spans="1:6">
      <c r="B12" s="2004"/>
      <c r="C12" s="2004"/>
      <c r="D12" s="2007"/>
      <c r="E12" s="2007"/>
      <c r="F12" s="2007"/>
    </row>
    <row r="13" spans="1:6">
      <c r="B13" s="1115"/>
      <c r="C13" s="1115"/>
      <c r="D13" s="1116"/>
      <c r="E13" s="1116"/>
      <c r="F13" s="1116"/>
    </row>
    <row r="14" spans="1:6">
      <c r="B14" s="1117" t="s">
        <v>430</v>
      </c>
      <c r="F14" s="1114"/>
    </row>
    <row r="15" spans="1:6" ht="15.75" thickBot="1">
      <c r="B15" s="1117"/>
      <c r="F15" s="1401" t="s">
        <v>1353</v>
      </c>
    </row>
    <row r="16" spans="1:6">
      <c r="B16" s="2008" t="s">
        <v>119</v>
      </c>
      <c r="C16" s="2009"/>
      <c r="D16" s="1657">
        <v>2027</v>
      </c>
      <c r="E16" s="1657">
        <v>2028</v>
      </c>
      <c r="F16" s="1658">
        <v>2029</v>
      </c>
    </row>
    <row r="17" spans="2:6">
      <c r="B17" s="1659" t="s">
        <v>297</v>
      </c>
      <c r="C17" s="503"/>
      <c r="D17" s="281">
        <v>5250</v>
      </c>
      <c r="E17" s="281">
        <v>5407.5</v>
      </c>
      <c r="F17" s="1660">
        <v>5569.7250000000004</v>
      </c>
    </row>
    <row r="18" spans="2:6">
      <c r="B18" s="1659" t="s">
        <v>352</v>
      </c>
      <c r="C18" s="503"/>
      <c r="D18" s="281">
        <v>924</v>
      </c>
      <c r="E18" s="281">
        <v>951.72</v>
      </c>
      <c r="F18" s="1660">
        <v>980.27160000000003</v>
      </c>
    </row>
    <row r="19" spans="2:6">
      <c r="B19" s="1659" t="s">
        <v>1718</v>
      </c>
      <c r="C19" s="503"/>
      <c r="D19" s="281">
        <v>1617</v>
      </c>
      <c r="E19" s="281">
        <v>1665.51</v>
      </c>
      <c r="F19" s="1660">
        <v>1715.4753000000001</v>
      </c>
    </row>
    <row r="20" spans="2:6">
      <c r="B20" s="1659" t="s">
        <v>1719</v>
      </c>
      <c r="C20" s="503"/>
      <c r="D20" s="281">
        <v>315</v>
      </c>
      <c r="E20" s="281">
        <v>324.45</v>
      </c>
      <c r="F20" s="1660">
        <v>334.18349999999998</v>
      </c>
    </row>
    <row r="21" spans="2:6">
      <c r="B21" s="1659" t="s">
        <v>86</v>
      </c>
      <c r="C21" s="503"/>
      <c r="D21" s="281">
        <v>4864.6500000000005</v>
      </c>
      <c r="E21" s="281">
        <v>5010.589500000001</v>
      </c>
      <c r="F21" s="1660">
        <v>5160.9071850000009</v>
      </c>
    </row>
    <row r="22" spans="2:6">
      <c r="B22" s="1659" t="s">
        <v>287</v>
      </c>
      <c r="C22" s="503"/>
      <c r="D22" s="281">
        <v>10080</v>
      </c>
      <c r="E22" s="281">
        <v>10382.4</v>
      </c>
      <c r="F22" s="1660">
        <v>10693.871999999999</v>
      </c>
    </row>
    <row r="23" spans="2:6">
      <c r="B23" s="1659" t="s">
        <v>1720</v>
      </c>
      <c r="C23" s="503"/>
      <c r="D23" s="281">
        <v>2893.8</v>
      </c>
      <c r="E23" s="281">
        <v>2980.6140000000005</v>
      </c>
      <c r="F23" s="1660">
        <v>3070.0324200000005</v>
      </c>
    </row>
    <row r="24" spans="2:6">
      <c r="B24" s="1659" t="s">
        <v>1721</v>
      </c>
      <c r="C24" s="503"/>
      <c r="D24" s="281">
        <v>3150</v>
      </c>
      <c r="E24" s="281">
        <v>3244.5</v>
      </c>
      <c r="F24" s="1660">
        <v>3341.835</v>
      </c>
    </row>
    <row r="25" spans="2:6">
      <c r="B25" s="1659" t="s">
        <v>728</v>
      </c>
      <c r="C25" s="503"/>
      <c r="D25" s="281">
        <v>1575</v>
      </c>
      <c r="E25" s="281">
        <v>1622.25</v>
      </c>
      <c r="F25" s="1660">
        <v>1670.9175</v>
      </c>
    </row>
    <row r="26" spans="2:6">
      <c r="B26" s="1659" t="s">
        <v>395</v>
      </c>
      <c r="C26" s="503"/>
      <c r="D26" s="281">
        <v>9450</v>
      </c>
      <c r="E26" s="281">
        <v>9733.5</v>
      </c>
      <c r="F26" s="1660">
        <v>10025.505000000001</v>
      </c>
    </row>
    <row r="27" spans="2:6">
      <c r="B27" s="1659" t="s">
        <v>853</v>
      </c>
      <c r="C27" s="503"/>
      <c r="D27" s="281">
        <v>9600</v>
      </c>
      <c r="E27" s="281">
        <v>9600</v>
      </c>
      <c r="F27" s="1660">
        <v>9600</v>
      </c>
    </row>
    <row r="28" spans="2:6">
      <c r="B28" s="1659" t="s">
        <v>392</v>
      </c>
      <c r="C28" s="503"/>
      <c r="D28" s="281">
        <v>26250</v>
      </c>
      <c r="E28" s="281">
        <v>27037.5</v>
      </c>
      <c r="F28" s="1660">
        <v>27848.625</v>
      </c>
    </row>
    <row r="29" spans="2:6">
      <c r="B29" s="2001" t="s">
        <v>438</v>
      </c>
      <c r="C29" s="2002"/>
      <c r="D29" s="208">
        <v>1000</v>
      </c>
      <c r="E29" s="208">
        <v>1000</v>
      </c>
      <c r="F29" s="1661">
        <v>1000</v>
      </c>
    </row>
    <row r="30" spans="2:6">
      <c r="B30" s="2010" t="s">
        <v>1012</v>
      </c>
      <c r="C30" s="2011"/>
      <c r="D30" s="208">
        <v>15000</v>
      </c>
      <c r="E30" s="208">
        <v>15000</v>
      </c>
      <c r="F30" s="1661">
        <v>0</v>
      </c>
    </row>
    <row r="31" spans="2:6">
      <c r="B31" s="2010" t="s">
        <v>361</v>
      </c>
      <c r="C31" s="2011"/>
      <c r="D31" s="208">
        <v>9000</v>
      </c>
      <c r="E31" s="208">
        <f>D31*1.05</f>
        <v>9450</v>
      </c>
      <c r="F31" s="1661">
        <v>0</v>
      </c>
    </row>
    <row r="32" spans="2:6">
      <c r="B32" s="2001" t="s">
        <v>1723</v>
      </c>
      <c r="C32" s="2002"/>
      <c r="D32" s="208">
        <v>670</v>
      </c>
      <c r="E32" s="208">
        <v>690</v>
      </c>
      <c r="F32" s="1661">
        <v>710</v>
      </c>
    </row>
    <row r="33" spans="2:6">
      <c r="B33" s="2001" t="s">
        <v>1724</v>
      </c>
      <c r="C33" s="2002"/>
      <c r="D33" s="208">
        <v>650</v>
      </c>
      <c r="E33" s="208">
        <v>700</v>
      </c>
      <c r="F33" s="1661">
        <v>750</v>
      </c>
    </row>
    <row r="34" spans="2:6">
      <c r="B34" s="2001" t="s">
        <v>1725</v>
      </c>
      <c r="C34" s="2002"/>
      <c r="D34" s="208">
        <v>2000</v>
      </c>
      <c r="E34" s="208">
        <v>2000</v>
      </c>
      <c r="F34" s="1661">
        <v>2000</v>
      </c>
    </row>
    <row r="35" spans="2:6">
      <c r="B35" s="2001" t="s">
        <v>1726</v>
      </c>
      <c r="C35" s="2002"/>
      <c r="D35" s="208">
        <v>1300</v>
      </c>
      <c r="E35" s="208">
        <v>1300</v>
      </c>
      <c r="F35" s="1661">
        <v>1300</v>
      </c>
    </row>
    <row r="36" spans="2:6">
      <c r="B36" s="2001" t="s">
        <v>1727</v>
      </c>
      <c r="C36" s="2002"/>
      <c r="D36" s="208">
        <v>4700</v>
      </c>
      <c r="E36" s="208">
        <v>4800</v>
      </c>
      <c r="F36" s="1661">
        <v>4900</v>
      </c>
    </row>
    <row r="37" spans="2:6">
      <c r="B37" s="2001" t="s">
        <v>1728</v>
      </c>
      <c r="C37" s="2002"/>
      <c r="D37" s="208">
        <v>0</v>
      </c>
      <c r="E37" s="208">
        <v>0</v>
      </c>
      <c r="F37" s="1661">
        <v>6400</v>
      </c>
    </row>
    <row r="38" spans="2:6">
      <c r="B38" s="2010" t="s">
        <v>1729</v>
      </c>
      <c r="C38" s="2011"/>
      <c r="D38" s="208">
        <v>4000</v>
      </c>
      <c r="E38" s="208">
        <v>4100</v>
      </c>
      <c r="F38" s="1661">
        <v>4200</v>
      </c>
    </row>
    <row r="39" spans="2:6">
      <c r="B39" s="2010" t="s">
        <v>1730</v>
      </c>
      <c r="C39" s="2011"/>
      <c r="D39" s="208">
        <v>5000</v>
      </c>
      <c r="E39" s="208">
        <v>5200</v>
      </c>
      <c r="F39" s="1661">
        <v>5400</v>
      </c>
    </row>
    <row r="40" spans="2:6">
      <c r="B40" s="2001" t="s">
        <v>1731</v>
      </c>
      <c r="C40" s="2002"/>
      <c r="D40" s="208">
        <v>900</v>
      </c>
      <c r="E40" s="208">
        <v>1000</v>
      </c>
      <c r="F40" s="1661">
        <v>1100</v>
      </c>
    </row>
    <row r="41" spans="2:6">
      <c r="B41" s="2001" t="s">
        <v>1732</v>
      </c>
      <c r="C41" s="2002"/>
      <c r="D41" s="208">
        <v>160</v>
      </c>
      <c r="E41" s="208">
        <v>170</v>
      </c>
      <c r="F41" s="1661">
        <v>180</v>
      </c>
    </row>
    <row r="42" spans="2:6">
      <c r="B42" s="2001" t="s">
        <v>1733</v>
      </c>
      <c r="C42" s="2002"/>
      <c r="D42" s="208">
        <v>550</v>
      </c>
      <c r="E42" s="208">
        <v>600</v>
      </c>
      <c r="F42" s="1661">
        <v>650</v>
      </c>
    </row>
    <row r="43" spans="2:6">
      <c r="B43" s="2001" t="s">
        <v>1734</v>
      </c>
      <c r="C43" s="2002"/>
      <c r="D43" s="208">
        <v>2000</v>
      </c>
      <c r="E43" s="208">
        <v>2100</v>
      </c>
      <c r="F43" s="1661">
        <v>2200</v>
      </c>
    </row>
    <row r="44" spans="2:6">
      <c r="B44" s="2001" t="s">
        <v>1735</v>
      </c>
      <c r="C44" s="2002"/>
      <c r="D44" s="208">
        <v>200</v>
      </c>
      <c r="E44" s="208">
        <v>220</v>
      </c>
      <c r="F44" s="1661">
        <v>240</v>
      </c>
    </row>
    <row r="45" spans="2:6">
      <c r="B45" s="2001" t="s">
        <v>1736</v>
      </c>
      <c r="C45" s="2002"/>
      <c r="D45" s="208">
        <v>87</v>
      </c>
      <c r="E45" s="208">
        <v>90</v>
      </c>
      <c r="F45" s="1661">
        <v>100</v>
      </c>
    </row>
    <row r="46" spans="2:6">
      <c r="B46" s="2001" t="s">
        <v>1737</v>
      </c>
      <c r="C46" s="2002"/>
      <c r="D46" s="208">
        <v>4100</v>
      </c>
      <c r="E46" s="208">
        <v>4200</v>
      </c>
      <c r="F46" s="1661">
        <v>4300</v>
      </c>
    </row>
    <row r="47" spans="2:6">
      <c r="B47" s="2001" t="s">
        <v>1738</v>
      </c>
      <c r="C47" s="2002"/>
      <c r="D47" s="208">
        <v>140</v>
      </c>
      <c r="E47" s="208">
        <v>150</v>
      </c>
      <c r="F47" s="1661">
        <v>160</v>
      </c>
    </row>
    <row r="48" spans="2:6">
      <c r="B48" s="2001" t="s">
        <v>1739</v>
      </c>
      <c r="C48" s="2002"/>
      <c r="D48" s="208">
        <v>16000</v>
      </c>
      <c r="E48" s="208">
        <v>17000</v>
      </c>
      <c r="F48" s="1661">
        <v>18000</v>
      </c>
    </row>
    <row r="49" spans="2:6">
      <c r="B49" s="2001" t="s">
        <v>1740</v>
      </c>
      <c r="C49" s="2002"/>
      <c r="D49" s="208">
        <v>9000</v>
      </c>
      <c r="E49" s="208">
        <v>10000</v>
      </c>
      <c r="F49" s="1661">
        <v>11000</v>
      </c>
    </row>
    <row r="50" spans="2:6">
      <c r="B50" s="2001" t="s">
        <v>1741</v>
      </c>
      <c r="C50" s="2002"/>
      <c r="D50" s="208">
        <v>1600</v>
      </c>
      <c r="E50" s="208">
        <v>1600</v>
      </c>
      <c r="F50" s="1661">
        <v>1600</v>
      </c>
    </row>
    <row r="51" spans="2:6">
      <c r="B51" s="2001" t="s">
        <v>1742</v>
      </c>
      <c r="C51" s="2002"/>
      <c r="D51" s="208">
        <v>3705</v>
      </c>
      <c r="E51" s="208">
        <v>3890</v>
      </c>
      <c r="F51" s="1661">
        <v>4084</v>
      </c>
    </row>
    <row r="52" spans="2:6">
      <c r="B52" s="2001" t="s">
        <v>1743</v>
      </c>
      <c r="C52" s="2002"/>
      <c r="D52" s="208">
        <v>9975</v>
      </c>
      <c r="E52" s="208">
        <v>10473</v>
      </c>
      <c r="F52" s="1661">
        <v>10996</v>
      </c>
    </row>
    <row r="53" spans="2:6">
      <c r="B53" s="2001" t="s">
        <v>1744</v>
      </c>
      <c r="C53" s="2002"/>
      <c r="D53" s="208">
        <v>1333</v>
      </c>
      <c r="E53" s="208">
        <v>1399</v>
      </c>
      <c r="F53" s="1661">
        <v>1468</v>
      </c>
    </row>
    <row r="54" spans="2:6">
      <c r="B54" s="2001" t="s">
        <v>1745</v>
      </c>
      <c r="C54" s="2002"/>
      <c r="D54" s="208">
        <v>451</v>
      </c>
      <c r="E54" s="208">
        <v>473</v>
      </c>
      <c r="F54" s="1661">
        <v>496</v>
      </c>
    </row>
    <row r="55" spans="2:6">
      <c r="B55" s="2001" t="s">
        <v>1746</v>
      </c>
      <c r="C55" s="2002"/>
      <c r="D55" s="208">
        <v>190</v>
      </c>
      <c r="E55" s="208">
        <v>199</v>
      </c>
      <c r="F55" s="1661">
        <v>208</v>
      </c>
    </row>
    <row r="56" spans="2:6">
      <c r="B56" s="2001" t="s">
        <v>1747</v>
      </c>
      <c r="C56" s="2002"/>
      <c r="D56" s="208">
        <v>5880</v>
      </c>
      <c r="E56" s="208">
        <v>6174</v>
      </c>
      <c r="F56" s="1661">
        <v>6482</v>
      </c>
    </row>
    <row r="57" spans="2:6">
      <c r="B57" s="2001" t="s">
        <v>1748</v>
      </c>
      <c r="C57" s="2002"/>
      <c r="D57" s="208">
        <v>190</v>
      </c>
      <c r="E57" s="208">
        <v>199</v>
      </c>
      <c r="F57" s="1661">
        <v>208</v>
      </c>
    </row>
    <row r="58" spans="2:6">
      <c r="B58" s="2001" t="s">
        <v>1749</v>
      </c>
      <c r="C58" s="2002"/>
      <c r="D58" s="208">
        <v>661</v>
      </c>
      <c r="E58" s="208">
        <v>694</v>
      </c>
      <c r="F58" s="1661">
        <v>728</v>
      </c>
    </row>
    <row r="59" spans="2:6">
      <c r="B59" s="2001" t="s">
        <v>1750</v>
      </c>
      <c r="C59" s="2002"/>
      <c r="D59" s="208">
        <v>165</v>
      </c>
      <c r="E59" s="208">
        <v>173</v>
      </c>
      <c r="F59" s="1661">
        <v>181</v>
      </c>
    </row>
    <row r="60" spans="2:6">
      <c r="B60" s="2001" t="s">
        <v>1751</v>
      </c>
      <c r="C60" s="2002"/>
      <c r="D60" s="208">
        <v>997</v>
      </c>
      <c r="E60" s="208">
        <v>1046</v>
      </c>
      <c r="F60" s="1661">
        <v>1098</v>
      </c>
    </row>
    <row r="61" spans="2:6">
      <c r="B61" s="2001" t="s">
        <v>1752</v>
      </c>
      <c r="C61" s="2002"/>
      <c r="D61" s="208">
        <v>132</v>
      </c>
      <c r="E61" s="208">
        <v>138</v>
      </c>
      <c r="F61" s="1661">
        <v>144</v>
      </c>
    </row>
    <row r="62" spans="2:6">
      <c r="B62" s="2001" t="s">
        <v>1753</v>
      </c>
      <c r="C62" s="2002"/>
      <c r="D62" s="208">
        <v>110</v>
      </c>
      <c r="E62" s="208">
        <v>115</v>
      </c>
      <c r="F62" s="1661">
        <v>120</v>
      </c>
    </row>
    <row r="63" spans="2:6">
      <c r="B63" s="2001" t="s">
        <v>1754</v>
      </c>
      <c r="C63" s="2002"/>
      <c r="D63" s="208">
        <v>426</v>
      </c>
      <c r="E63" s="208">
        <v>447</v>
      </c>
      <c r="F63" s="1661">
        <v>469</v>
      </c>
    </row>
    <row r="64" spans="2:6">
      <c r="B64" s="2001" t="s">
        <v>1755</v>
      </c>
      <c r="C64" s="2002"/>
      <c r="D64" s="208">
        <v>220</v>
      </c>
      <c r="E64" s="208">
        <v>231</v>
      </c>
      <c r="F64" s="1661">
        <v>242</v>
      </c>
    </row>
    <row r="65" spans="2:6">
      <c r="B65" s="2001" t="s">
        <v>1756</v>
      </c>
      <c r="C65" s="2002"/>
      <c r="D65" s="208">
        <v>123</v>
      </c>
      <c r="E65" s="208">
        <v>129</v>
      </c>
      <c r="F65" s="1661">
        <v>135</v>
      </c>
    </row>
    <row r="66" spans="2:6">
      <c r="B66" s="2001" t="s">
        <v>1757</v>
      </c>
      <c r="C66" s="2002"/>
      <c r="D66" s="208">
        <v>9555</v>
      </c>
      <c r="E66" s="208">
        <v>10032</v>
      </c>
      <c r="F66" s="1661">
        <v>10533</v>
      </c>
    </row>
    <row r="67" spans="2:6">
      <c r="B67" s="2001" t="s">
        <v>1758</v>
      </c>
      <c r="C67" s="2002"/>
      <c r="D67" s="208">
        <v>6231</v>
      </c>
      <c r="E67" s="208">
        <v>6542</v>
      </c>
      <c r="F67" s="1661">
        <v>6869</v>
      </c>
    </row>
    <row r="68" spans="2:6">
      <c r="B68" s="2001" t="s">
        <v>1775</v>
      </c>
      <c r="C68" s="2002"/>
      <c r="D68" s="208">
        <v>240</v>
      </c>
      <c r="E68" s="208">
        <v>252</v>
      </c>
      <c r="F68" s="1661">
        <v>164</v>
      </c>
    </row>
    <row r="69" spans="2:6">
      <c r="B69" s="2001" t="s">
        <v>1774</v>
      </c>
      <c r="C69" s="2002"/>
      <c r="D69" s="208">
        <v>225</v>
      </c>
      <c r="E69" s="208">
        <v>235</v>
      </c>
      <c r="F69" s="1661">
        <v>246</v>
      </c>
    </row>
    <row r="70" spans="2:6">
      <c r="B70" s="2001" t="s">
        <v>1759</v>
      </c>
      <c r="C70" s="2002"/>
      <c r="D70" s="208">
        <v>2016</v>
      </c>
      <c r="E70" s="208">
        <v>2116</v>
      </c>
      <c r="F70" s="1661">
        <v>2221</v>
      </c>
    </row>
    <row r="71" spans="2:6">
      <c r="B71" s="2001" t="s">
        <v>1760</v>
      </c>
      <c r="C71" s="2002"/>
      <c r="D71" s="208">
        <v>25200</v>
      </c>
      <c r="E71" s="208">
        <v>26460</v>
      </c>
      <c r="F71" s="1661">
        <v>27783</v>
      </c>
    </row>
    <row r="72" spans="2:6">
      <c r="B72" s="2001" t="s">
        <v>1761</v>
      </c>
      <c r="C72" s="2002"/>
      <c r="D72" s="208">
        <v>2940</v>
      </c>
      <c r="E72" s="208">
        <v>3087</v>
      </c>
      <c r="F72" s="1661">
        <v>3241</v>
      </c>
    </row>
    <row r="73" spans="2:6">
      <c r="B73" s="2001" t="s">
        <v>1762</v>
      </c>
      <c r="C73" s="2002"/>
      <c r="D73" s="208">
        <v>6300</v>
      </c>
      <c r="E73" s="208">
        <v>6615</v>
      </c>
      <c r="F73" s="1661">
        <v>6945</v>
      </c>
    </row>
    <row r="74" spans="2:6">
      <c r="B74" s="2001" t="s">
        <v>1763</v>
      </c>
      <c r="C74" s="2002"/>
      <c r="D74" s="208">
        <v>472</v>
      </c>
      <c r="E74" s="208">
        <v>495</v>
      </c>
      <c r="F74" s="1661">
        <v>519</v>
      </c>
    </row>
    <row r="75" spans="2:6">
      <c r="B75" s="2001" t="s">
        <v>1764</v>
      </c>
      <c r="C75" s="2002"/>
      <c r="D75" s="208">
        <v>2391</v>
      </c>
      <c r="E75" s="208">
        <v>2510</v>
      </c>
      <c r="F75" s="1661">
        <v>2635</v>
      </c>
    </row>
    <row r="76" spans="2:6">
      <c r="B76" s="2001" t="s">
        <v>1765</v>
      </c>
      <c r="C76" s="2002"/>
      <c r="D76" s="208">
        <v>2908</v>
      </c>
      <c r="E76" s="208">
        <v>3053</v>
      </c>
      <c r="F76" s="1661">
        <v>3205</v>
      </c>
    </row>
    <row r="77" spans="2:6">
      <c r="B77" s="2001" t="s">
        <v>1766</v>
      </c>
      <c r="C77" s="2002"/>
      <c r="D77" s="208">
        <v>1424</v>
      </c>
      <c r="E77" s="208">
        <v>1495</v>
      </c>
      <c r="F77" s="1661">
        <v>1569</v>
      </c>
    </row>
    <row r="78" spans="2:6">
      <c r="B78" s="2001" t="s">
        <v>1767</v>
      </c>
      <c r="C78" s="2002"/>
      <c r="D78" s="208">
        <v>3360</v>
      </c>
      <c r="E78" s="208">
        <v>3528</v>
      </c>
      <c r="F78" s="1661">
        <v>3704</v>
      </c>
    </row>
    <row r="79" spans="2:6">
      <c r="B79" s="2001" t="s">
        <v>1768</v>
      </c>
      <c r="C79" s="2002"/>
      <c r="D79" s="208">
        <v>696</v>
      </c>
      <c r="E79" s="208">
        <v>730</v>
      </c>
      <c r="F79" s="1661">
        <v>766</v>
      </c>
    </row>
    <row r="80" spans="2:6">
      <c r="B80" s="2001" t="s">
        <v>1769</v>
      </c>
      <c r="C80" s="2002"/>
      <c r="D80" s="208">
        <v>1092</v>
      </c>
      <c r="E80" s="208">
        <v>1146</v>
      </c>
      <c r="F80" s="1661">
        <v>1203</v>
      </c>
    </row>
    <row r="81" spans="2:6">
      <c r="B81" s="2001" t="s">
        <v>1770</v>
      </c>
      <c r="C81" s="2002"/>
      <c r="D81" s="208">
        <v>1848</v>
      </c>
      <c r="E81" s="208">
        <v>1940</v>
      </c>
      <c r="F81" s="1661">
        <v>2037</v>
      </c>
    </row>
    <row r="82" spans="2:6">
      <c r="B82" s="2001" t="s">
        <v>1771</v>
      </c>
      <c r="C82" s="2002"/>
      <c r="D82" s="208">
        <v>1284</v>
      </c>
      <c r="E82" s="208">
        <v>1348</v>
      </c>
      <c r="F82" s="1661">
        <v>1415</v>
      </c>
    </row>
    <row r="83" spans="2:6">
      <c r="B83" s="2001" t="s">
        <v>1772</v>
      </c>
      <c r="C83" s="2002"/>
      <c r="D83" s="208">
        <v>5775</v>
      </c>
      <c r="E83" s="208">
        <v>6063</v>
      </c>
      <c r="F83" s="1661">
        <v>6366</v>
      </c>
    </row>
    <row r="84" spans="2:6">
      <c r="B84" s="2001" t="s">
        <v>1773</v>
      </c>
      <c r="C84" s="2002"/>
      <c r="D84" s="208">
        <v>840</v>
      </c>
      <c r="E84" s="208">
        <v>882</v>
      </c>
      <c r="F84" s="1661">
        <v>926</v>
      </c>
    </row>
    <row r="85" spans="2:6">
      <c r="B85" s="2001" t="s">
        <v>431</v>
      </c>
      <c r="C85" s="2002"/>
      <c r="D85" s="208">
        <v>7500</v>
      </c>
      <c r="E85" s="208">
        <v>7600</v>
      </c>
      <c r="F85" s="1661">
        <v>7800</v>
      </c>
    </row>
    <row r="86" spans="2:6">
      <c r="B86" s="2001" t="s">
        <v>1515</v>
      </c>
      <c r="C86" s="2002"/>
      <c r="D86" s="208">
        <v>1500</v>
      </c>
      <c r="E86" s="208">
        <v>1600</v>
      </c>
      <c r="F86" s="1661">
        <v>1700</v>
      </c>
    </row>
    <row r="87" spans="2:6">
      <c r="B87" s="2001" t="s">
        <v>432</v>
      </c>
      <c r="C87" s="2002"/>
      <c r="D87" s="208">
        <v>2500</v>
      </c>
      <c r="E87" s="208">
        <v>2500</v>
      </c>
      <c r="F87" s="1661">
        <v>2500</v>
      </c>
    </row>
    <row r="88" spans="2:6">
      <c r="B88" s="2001" t="s">
        <v>1516</v>
      </c>
      <c r="C88" s="2002"/>
      <c r="D88" s="208">
        <v>4400</v>
      </c>
      <c r="E88" s="208">
        <v>4450</v>
      </c>
      <c r="F88" s="1661">
        <v>4500</v>
      </c>
    </row>
    <row r="89" spans="2:6">
      <c r="B89" s="2001" t="s">
        <v>1517</v>
      </c>
      <c r="C89" s="2002"/>
      <c r="D89" s="208">
        <v>700</v>
      </c>
      <c r="E89" s="208">
        <v>700</v>
      </c>
      <c r="F89" s="1661">
        <v>700</v>
      </c>
    </row>
    <row r="90" spans="2:6">
      <c r="B90" s="2001" t="s">
        <v>433</v>
      </c>
      <c r="C90" s="2002"/>
      <c r="D90" s="208">
        <v>12000</v>
      </c>
      <c r="E90" s="208">
        <v>12200</v>
      </c>
      <c r="F90" s="1661">
        <v>12500</v>
      </c>
    </row>
    <row r="91" spans="2:6">
      <c r="B91" s="2001" t="s">
        <v>861</v>
      </c>
      <c r="C91" s="2002"/>
      <c r="D91" s="208">
        <v>37639.35</v>
      </c>
      <c r="E91" s="208">
        <v>39521.317499999997</v>
      </c>
      <c r="F91" s="1661">
        <v>40000</v>
      </c>
    </row>
    <row r="92" spans="2:6">
      <c r="B92" s="2001" t="s">
        <v>862</v>
      </c>
      <c r="C92" s="2002"/>
      <c r="D92" s="208">
        <v>42000</v>
      </c>
      <c r="E92" s="208">
        <v>44100</v>
      </c>
      <c r="F92" s="1661">
        <v>45000</v>
      </c>
    </row>
    <row r="93" spans="2:6">
      <c r="B93" s="2001" t="s">
        <v>1776</v>
      </c>
      <c r="C93" s="2002"/>
      <c r="D93" s="208">
        <v>17500</v>
      </c>
      <c r="E93" s="208">
        <v>18300</v>
      </c>
      <c r="F93" s="1661">
        <v>19000</v>
      </c>
    </row>
    <row r="94" spans="2:6">
      <c r="B94" s="2001" t="s">
        <v>863</v>
      </c>
      <c r="C94" s="2002"/>
      <c r="D94" s="208">
        <v>3000</v>
      </c>
      <c r="E94" s="208">
        <v>3000</v>
      </c>
      <c r="F94" s="1661">
        <v>3000</v>
      </c>
    </row>
    <row r="95" spans="2:6">
      <c r="B95" s="2001" t="s">
        <v>434</v>
      </c>
      <c r="C95" s="2002"/>
      <c r="D95" s="208">
        <v>21072.6</v>
      </c>
      <c r="E95" s="208">
        <v>21704.777999999998</v>
      </c>
      <c r="F95" s="1661">
        <v>22500</v>
      </c>
    </row>
    <row r="96" spans="2:6">
      <c r="B96" s="2001" t="s">
        <v>864</v>
      </c>
      <c r="C96" s="2002"/>
      <c r="D96" s="208">
        <v>11778.9</v>
      </c>
      <c r="E96" s="208">
        <v>12367.844999999999</v>
      </c>
      <c r="F96" s="1661">
        <v>13050</v>
      </c>
    </row>
    <row r="97" spans="2:6">
      <c r="B97" s="2001" t="s">
        <v>435</v>
      </c>
      <c r="C97" s="2002"/>
      <c r="D97" s="208">
        <v>10668</v>
      </c>
      <c r="E97" s="208">
        <v>10988.04</v>
      </c>
      <c r="F97" s="1661">
        <v>11317.681200000001</v>
      </c>
    </row>
    <row r="98" spans="2:6">
      <c r="B98" s="2001" t="s">
        <v>436</v>
      </c>
      <c r="C98" s="2002"/>
      <c r="D98" s="208">
        <v>5670</v>
      </c>
      <c r="E98" s="208">
        <v>5840.1</v>
      </c>
      <c r="F98" s="1661">
        <v>6015.3030000000008</v>
      </c>
    </row>
    <row r="99" spans="2:6">
      <c r="B99" s="2001" t="s">
        <v>437</v>
      </c>
      <c r="C99" s="2002"/>
      <c r="D99" s="208">
        <v>694</v>
      </c>
      <c r="E99" s="208">
        <v>700</v>
      </c>
      <c r="F99" s="1661">
        <v>700</v>
      </c>
    </row>
    <row r="100" spans="2:6">
      <c r="B100" s="2001" t="s">
        <v>104</v>
      </c>
      <c r="C100" s="2002"/>
      <c r="D100" s="208">
        <v>17000</v>
      </c>
      <c r="E100" s="208">
        <v>17800</v>
      </c>
      <c r="F100" s="1661">
        <v>18500</v>
      </c>
    </row>
    <row r="101" spans="2:6">
      <c r="B101" s="2001" t="s">
        <v>921</v>
      </c>
      <c r="C101" s="2002"/>
      <c r="D101" s="208">
        <f>1828695*0.2</f>
        <v>365739</v>
      </c>
      <c r="E101" s="208">
        <v>0</v>
      </c>
      <c r="F101" s="1661">
        <v>0</v>
      </c>
    </row>
    <row r="102" spans="2:6">
      <c r="B102" s="2001" t="s">
        <v>372</v>
      </c>
      <c r="C102" s="2002"/>
      <c r="D102" s="208">
        <v>150000</v>
      </c>
      <c r="E102" s="208">
        <v>0</v>
      </c>
      <c r="F102" s="1661">
        <v>0</v>
      </c>
    </row>
    <row r="103" spans="2:6">
      <c r="B103" s="2001" t="s">
        <v>1058</v>
      </c>
      <c r="C103" s="2002"/>
      <c r="D103" s="208">
        <v>778978</v>
      </c>
      <c r="E103" s="208">
        <v>0</v>
      </c>
      <c r="F103" s="1661">
        <v>0</v>
      </c>
    </row>
    <row r="104" spans="2:6">
      <c r="B104" s="1662" t="s">
        <v>1785</v>
      </c>
      <c r="C104" s="1423"/>
      <c r="D104" s="208">
        <v>48000</v>
      </c>
      <c r="E104" s="208"/>
      <c r="F104" s="1661"/>
    </row>
    <row r="105" spans="2:6">
      <c r="B105" s="2001" t="s">
        <v>865</v>
      </c>
      <c r="C105" s="2002"/>
      <c r="D105" s="208">
        <v>120000</v>
      </c>
      <c r="E105" s="208">
        <v>60000</v>
      </c>
      <c r="F105" s="1661">
        <v>0</v>
      </c>
    </row>
    <row r="106" spans="2:6">
      <c r="B106" s="2001" t="s">
        <v>439</v>
      </c>
      <c r="C106" s="2002"/>
      <c r="D106" s="208">
        <v>768358</v>
      </c>
      <c r="E106" s="208">
        <v>720000</v>
      </c>
      <c r="F106" s="1661">
        <v>0</v>
      </c>
    </row>
    <row r="107" spans="2:6">
      <c r="B107" s="2001" t="s">
        <v>1086</v>
      </c>
      <c r="C107" s="2002"/>
      <c r="D107" s="208">
        <v>6081</v>
      </c>
      <c r="E107" s="208">
        <v>0</v>
      </c>
      <c r="F107" s="1661">
        <v>0</v>
      </c>
    </row>
    <row r="108" spans="2:6">
      <c r="B108" s="1663" t="s">
        <v>708</v>
      </c>
      <c r="C108" s="1402"/>
      <c r="D108" s="208">
        <v>140000</v>
      </c>
      <c r="E108" s="208">
        <v>23510</v>
      </c>
      <c r="F108" s="1661"/>
    </row>
    <row r="109" spans="2:6">
      <c r="B109" s="1663" t="s">
        <v>1783</v>
      </c>
      <c r="C109" s="1402"/>
      <c r="D109" s="208">
        <v>210000</v>
      </c>
      <c r="E109" s="208">
        <v>0</v>
      </c>
      <c r="F109" s="1661">
        <v>0</v>
      </c>
    </row>
    <row r="110" spans="2:6">
      <c r="B110" s="1663" t="s">
        <v>1114</v>
      </c>
      <c r="C110" s="1402"/>
      <c r="D110" s="208">
        <v>22500</v>
      </c>
      <c r="E110" s="208">
        <v>0</v>
      </c>
      <c r="F110" s="1661">
        <v>0</v>
      </c>
    </row>
    <row r="111" spans="2:6">
      <c r="B111" s="1663" t="s">
        <v>1113</v>
      </c>
      <c r="C111" s="1402"/>
      <c r="D111" s="208">
        <v>14000</v>
      </c>
      <c r="E111" s="208">
        <v>0</v>
      </c>
      <c r="F111" s="1661">
        <v>0</v>
      </c>
    </row>
    <row r="112" spans="2:6">
      <c r="B112" s="2001" t="s">
        <v>1542</v>
      </c>
      <c r="C112" s="2002"/>
      <c r="D112" s="208">
        <v>989</v>
      </c>
      <c r="E112" s="208">
        <v>989</v>
      </c>
      <c r="F112" s="1661">
        <v>989</v>
      </c>
    </row>
    <row r="113" spans="2:6">
      <c r="B113" s="2001" t="s">
        <v>1778</v>
      </c>
      <c r="C113" s="2002"/>
      <c r="D113" s="208">
        <v>6722</v>
      </c>
      <c r="E113" s="208">
        <v>6722</v>
      </c>
      <c r="F113" s="1661">
        <v>0</v>
      </c>
    </row>
    <row r="114" spans="2:6">
      <c r="B114" s="2001" t="s">
        <v>1779</v>
      </c>
      <c r="C114" s="2002"/>
      <c r="D114" s="208">
        <v>39350.188000000002</v>
      </c>
      <c r="E114" s="208">
        <v>0</v>
      </c>
      <c r="F114" s="1661">
        <v>0</v>
      </c>
    </row>
    <row r="115" spans="2:6">
      <c r="B115" s="2001" t="s">
        <v>1780</v>
      </c>
      <c r="C115" s="2002"/>
      <c r="D115" s="208">
        <v>33805.875999999997</v>
      </c>
      <c r="E115" s="208">
        <v>0</v>
      </c>
      <c r="F115" s="1661">
        <v>0</v>
      </c>
    </row>
    <row r="116" spans="2:6">
      <c r="B116" s="2001" t="s">
        <v>1781</v>
      </c>
      <c r="C116" s="2002"/>
      <c r="D116" s="208">
        <v>27226.26</v>
      </c>
      <c r="E116" s="208">
        <v>0</v>
      </c>
      <c r="F116" s="1661">
        <v>0</v>
      </c>
    </row>
    <row r="117" spans="2:6">
      <c r="B117" s="2001" t="s">
        <v>1782</v>
      </c>
      <c r="C117" s="2002"/>
      <c r="D117" s="208">
        <v>14300.2</v>
      </c>
      <c r="E117" s="208">
        <v>0</v>
      </c>
      <c r="F117" s="1661">
        <v>0</v>
      </c>
    </row>
    <row r="118" spans="2:6" ht="13.5" thickBot="1">
      <c r="B118" s="2020" t="s">
        <v>1777</v>
      </c>
      <c r="C118" s="2021"/>
      <c r="D118" s="1664">
        <v>1000000</v>
      </c>
      <c r="E118" s="1664">
        <v>500000</v>
      </c>
      <c r="F118" s="1713">
        <v>0</v>
      </c>
    </row>
  </sheetData>
  <mergeCells count="99">
    <mergeCell ref="B116:C116"/>
    <mergeCell ref="B117:C117"/>
    <mergeCell ref="B118:C118"/>
    <mergeCell ref="B113:C113"/>
    <mergeCell ref="B94:C94"/>
    <mergeCell ref="B101:C101"/>
    <mergeCell ref="B114:C114"/>
    <mergeCell ref="B115:C115"/>
    <mergeCell ref="B112:C112"/>
    <mergeCell ref="B99:C99"/>
    <mergeCell ref="B97:C97"/>
    <mergeCell ref="B98:C98"/>
    <mergeCell ref="B106:C106"/>
    <mergeCell ref="B100:C100"/>
    <mergeCell ref="B102:C102"/>
    <mergeCell ref="B103:C103"/>
    <mergeCell ref="B76:C76"/>
    <mergeCell ref="B77:C77"/>
    <mergeCell ref="B78:C78"/>
    <mergeCell ref="B85:C85"/>
    <mergeCell ref="B86:C86"/>
    <mergeCell ref="B81:C81"/>
    <mergeCell ref="B79:C79"/>
    <mergeCell ref="B80:C80"/>
    <mergeCell ref="B82:C82"/>
    <mergeCell ref="B83:C83"/>
    <mergeCell ref="B84:C84"/>
    <mergeCell ref="B71:C71"/>
    <mergeCell ref="B72:C72"/>
    <mergeCell ref="B73:C73"/>
    <mergeCell ref="B74:C74"/>
    <mergeCell ref="B75:C75"/>
    <mergeCell ref="B68:C68"/>
    <mergeCell ref="B69:C69"/>
    <mergeCell ref="B62:C62"/>
    <mergeCell ref="B63:C63"/>
    <mergeCell ref="B64:C64"/>
    <mergeCell ref="B65:C65"/>
    <mergeCell ref="B66:C66"/>
    <mergeCell ref="B58:C58"/>
    <mergeCell ref="B59:C59"/>
    <mergeCell ref="B60:C60"/>
    <mergeCell ref="B61:C61"/>
    <mergeCell ref="B67:C67"/>
    <mergeCell ref="B53:C53"/>
    <mergeCell ref="B54:C54"/>
    <mergeCell ref="B55:C55"/>
    <mergeCell ref="B56:C56"/>
    <mergeCell ref="B57:C57"/>
    <mergeCell ref="B48:C48"/>
    <mergeCell ref="B49:C49"/>
    <mergeCell ref="B50:C50"/>
    <mergeCell ref="B51:C51"/>
    <mergeCell ref="B52:C52"/>
    <mergeCell ref="B43:C43"/>
    <mergeCell ref="B44:C44"/>
    <mergeCell ref="B45:C45"/>
    <mergeCell ref="B46:C46"/>
    <mergeCell ref="B47:C47"/>
    <mergeCell ref="B38:C38"/>
    <mergeCell ref="B39:C39"/>
    <mergeCell ref="B40:C40"/>
    <mergeCell ref="B41:C41"/>
    <mergeCell ref="B42:C42"/>
    <mergeCell ref="A1:F1"/>
    <mergeCell ref="A2:F2"/>
    <mergeCell ref="B6:D6"/>
    <mergeCell ref="B8:B10"/>
    <mergeCell ref="C8:C10"/>
    <mergeCell ref="D8:D10"/>
    <mergeCell ref="E8:E10"/>
    <mergeCell ref="F8:F10"/>
    <mergeCell ref="B11:B12"/>
    <mergeCell ref="C11:C12"/>
    <mergeCell ref="F11:F12"/>
    <mergeCell ref="B16:C16"/>
    <mergeCell ref="B70:C70"/>
    <mergeCell ref="D11:D12"/>
    <mergeCell ref="E11:E12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105:C105"/>
    <mergeCell ref="B107:C107"/>
    <mergeCell ref="B87:C87"/>
    <mergeCell ref="B90:C90"/>
    <mergeCell ref="B93:C93"/>
    <mergeCell ref="B95:C95"/>
    <mergeCell ref="B96:C96"/>
    <mergeCell ref="B88:C88"/>
    <mergeCell ref="B89:C89"/>
    <mergeCell ref="B91:C91"/>
    <mergeCell ref="B92:C92"/>
  </mergeCells>
  <pageMargins left="0.7" right="0.7" top="0.75" bottom="0.75" header="0.3" footer="0.3"/>
  <pageSetup paperSize="9" scale="7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N174"/>
  <sheetViews>
    <sheetView view="pageBreakPreview" zoomScale="60" zoomScaleNormal="80" workbookViewId="0">
      <pane ySplit="9" topLeftCell="A10" activePane="bottomLeft" state="frozen"/>
      <selection pane="bottomLeft" activeCell="N7" sqref="N7"/>
    </sheetView>
  </sheetViews>
  <sheetFormatPr defaultColWidth="9.140625" defaultRowHeight="12.75"/>
  <cols>
    <col min="1" max="1" width="4.5703125" style="223" customWidth="1"/>
    <col min="2" max="2" width="61.5703125" style="223" bestFit="1" customWidth="1"/>
    <col min="3" max="3" width="15" style="223" customWidth="1"/>
    <col min="4" max="4" width="13.7109375" style="223" customWidth="1"/>
    <col min="5" max="5" width="16.7109375" style="223" customWidth="1"/>
    <col min="6" max="6" width="12.42578125" style="223" customWidth="1"/>
    <col min="7" max="7" width="12.42578125" style="223" bestFit="1" customWidth="1"/>
    <col min="8" max="8" width="10.42578125" style="223" bestFit="1" customWidth="1"/>
    <col min="9" max="9" width="12.140625" style="223" bestFit="1" customWidth="1"/>
    <col min="10" max="10" width="10.42578125" style="223" bestFit="1" customWidth="1"/>
    <col min="11" max="12" width="13.85546875" style="223" bestFit="1" customWidth="1"/>
    <col min="13" max="13" width="13.5703125" style="223" bestFit="1" customWidth="1"/>
    <col min="14" max="14" width="14.7109375" style="223" bestFit="1" customWidth="1"/>
    <col min="15" max="16384" width="9.140625" style="223"/>
  </cols>
  <sheetData>
    <row r="1" spans="1:14" ht="15.75">
      <c r="A1" s="2022" t="s">
        <v>1519</v>
      </c>
      <c r="B1" s="2022"/>
      <c r="C1" s="2022"/>
      <c r="D1" s="2022"/>
      <c r="E1" s="2022"/>
      <c r="F1" s="2022"/>
      <c r="G1" s="2022"/>
      <c r="H1" s="2022"/>
      <c r="I1" s="2022"/>
      <c r="J1" s="2022"/>
      <c r="K1" s="2022"/>
      <c r="L1" s="2022"/>
      <c r="M1" s="2022"/>
      <c r="N1" s="2022"/>
    </row>
    <row r="3" spans="1:14" ht="18.75" customHeight="1">
      <c r="A3" s="785"/>
      <c r="B3" s="785"/>
      <c r="C3" s="785"/>
      <c r="D3" s="785"/>
      <c r="E3" s="785"/>
      <c r="F3" s="785"/>
      <c r="G3" s="785"/>
      <c r="H3" s="785"/>
      <c r="I3" s="785"/>
      <c r="J3" s="785"/>
      <c r="K3" s="785"/>
      <c r="L3" s="785"/>
      <c r="M3" s="785"/>
      <c r="N3" s="785"/>
    </row>
    <row r="4" spans="1:14" ht="15.75">
      <c r="A4" s="446"/>
      <c r="B4" s="2029" t="s">
        <v>498</v>
      </c>
      <c r="C4" s="2029"/>
      <c r="D4" s="2029"/>
      <c r="E4" s="2029"/>
      <c r="F4" s="2029"/>
      <c r="G4" s="2029"/>
      <c r="H4" s="2029"/>
      <c r="I4" s="2029"/>
      <c r="J4" s="2029"/>
      <c r="K4" s="2029"/>
      <c r="L4" s="2029"/>
      <c r="M4" s="2029"/>
      <c r="N4" s="446"/>
    </row>
    <row r="5" spans="1:14" ht="15.75">
      <c r="A5" s="446"/>
      <c r="B5" s="2029" t="s">
        <v>967</v>
      </c>
      <c r="C5" s="2029"/>
      <c r="D5" s="2029"/>
      <c r="E5" s="2029"/>
      <c r="F5" s="2029"/>
      <c r="G5" s="2029"/>
      <c r="H5" s="2029"/>
      <c r="I5" s="2029"/>
      <c r="J5" s="2029"/>
      <c r="K5" s="2029"/>
      <c r="L5" s="2029"/>
      <c r="M5" s="2029"/>
      <c r="N5" s="446"/>
    </row>
    <row r="6" spans="1:14" ht="18.75">
      <c r="B6" s="436"/>
      <c r="C6" s="436"/>
      <c r="D6" s="436"/>
      <c r="E6" s="436"/>
      <c r="F6" s="436"/>
      <c r="G6" s="436"/>
      <c r="H6" s="436"/>
      <c r="I6" s="436"/>
      <c r="J6" s="436"/>
      <c r="K6" s="436"/>
      <c r="L6" s="436"/>
      <c r="M6" s="436"/>
    </row>
    <row r="7" spans="1:14" ht="15.75" thickBot="1">
      <c r="N7" s="1401" t="s">
        <v>1353</v>
      </c>
    </row>
    <row r="8" spans="1:14" ht="32.25" customHeight="1">
      <c r="A8" s="1665"/>
      <c r="B8" s="2025" t="s">
        <v>499</v>
      </c>
      <c r="C8" s="2025" t="s">
        <v>1521</v>
      </c>
      <c r="D8" s="1959" t="s">
        <v>500</v>
      </c>
      <c r="E8" s="2025" t="s">
        <v>501</v>
      </c>
      <c r="F8" s="2032" t="s">
        <v>502</v>
      </c>
      <c r="G8" s="1666" t="s">
        <v>503</v>
      </c>
      <c r="H8" s="2034" t="s">
        <v>504</v>
      </c>
      <c r="I8" s="2035"/>
      <c r="J8" s="2036" t="s">
        <v>505</v>
      </c>
      <c r="K8" s="2036"/>
      <c r="L8" s="2023" t="s">
        <v>506</v>
      </c>
      <c r="M8" s="2025" t="s">
        <v>507</v>
      </c>
      <c r="N8" s="2027" t="s">
        <v>1060</v>
      </c>
    </row>
    <row r="9" spans="1:14" ht="52.5" customHeight="1" thickBot="1">
      <c r="A9" s="1667"/>
      <c r="B9" s="2030"/>
      <c r="C9" s="2030"/>
      <c r="D9" s="2031"/>
      <c r="E9" s="2030"/>
      <c r="F9" s="2033"/>
      <c r="G9" s="1668" t="s">
        <v>508</v>
      </c>
      <c r="H9" s="1669" t="s">
        <v>509</v>
      </c>
      <c r="I9" s="1669" t="s">
        <v>510</v>
      </c>
      <c r="J9" s="1669" t="s">
        <v>509</v>
      </c>
      <c r="K9" s="1669" t="s">
        <v>511</v>
      </c>
      <c r="L9" s="2024"/>
      <c r="M9" s="2026"/>
      <c r="N9" s="2028"/>
    </row>
    <row r="10" spans="1:14" ht="21" customHeight="1">
      <c r="A10" s="1670" t="s">
        <v>120</v>
      </c>
      <c r="B10" s="437" t="s">
        <v>512</v>
      </c>
      <c r="C10" s="1414">
        <f>SUM(C11:C35)</f>
        <v>994555</v>
      </c>
      <c r="D10" s="1414">
        <f>SUM(E10:M10)</f>
        <v>1639274</v>
      </c>
      <c r="E10" s="1414">
        <v>933849</v>
      </c>
      <c r="F10" s="1414"/>
      <c r="G10" s="1414"/>
      <c r="H10" s="1414"/>
      <c r="I10" s="1414"/>
      <c r="J10" s="1414"/>
      <c r="K10" s="1414"/>
      <c r="L10" s="1415">
        <v>705425</v>
      </c>
      <c r="M10" s="1414"/>
      <c r="N10" s="1671"/>
    </row>
    <row r="11" spans="1:14" ht="21" customHeight="1">
      <c r="A11" s="1672"/>
      <c r="B11" s="438" t="s">
        <v>513</v>
      </c>
      <c r="C11" s="1417">
        <f>'6.mell.'!H17</f>
        <v>3191</v>
      </c>
      <c r="D11" s="1418"/>
      <c r="E11" s="1414"/>
      <c r="F11" s="1418"/>
      <c r="G11" s="1414"/>
      <c r="H11" s="1414"/>
      <c r="I11" s="1414"/>
      <c r="J11" s="1414"/>
      <c r="K11" s="1414"/>
      <c r="L11" s="1418">
        <v>4444</v>
      </c>
      <c r="M11" s="1414"/>
      <c r="N11" s="1673"/>
    </row>
    <row r="12" spans="1:14" ht="21" customHeight="1">
      <c r="A12" s="1672"/>
      <c r="B12" s="438" t="s">
        <v>514</v>
      </c>
      <c r="C12" s="1417">
        <f>'6.mell.'!H27</f>
        <v>11173</v>
      </c>
      <c r="D12" s="1418"/>
      <c r="E12" s="1414"/>
      <c r="F12" s="1418"/>
      <c r="G12" s="1414"/>
      <c r="H12" s="1414"/>
      <c r="I12" s="1414"/>
      <c r="J12" s="1414"/>
      <c r="K12" s="1414"/>
      <c r="L12" s="1418">
        <v>3637</v>
      </c>
      <c r="M12" s="1414"/>
      <c r="N12" s="1673"/>
    </row>
    <row r="13" spans="1:14" ht="21" customHeight="1">
      <c r="A13" s="1672"/>
      <c r="B13" s="438" t="s">
        <v>716</v>
      </c>
      <c r="C13" s="1417">
        <f>'6.mell.'!H36</f>
        <v>110773</v>
      </c>
      <c r="D13" s="1418"/>
      <c r="E13" s="1414"/>
      <c r="F13" s="1418"/>
      <c r="G13" s="1414"/>
      <c r="H13" s="1414"/>
      <c r="I13" s="1414"/>
      <c r="J13" s="1414"/>
      <c r="K13" s="1414"/>
      <c r="L13" s="1418">
        <v>115335</v>
      </c>
      <c r="M13" s="1414"/>
      <c r="N13" s="1673"/>
    </row>
    <row r="14" spans="1:14" ht="21" customHeight="1">
      <c r="A14" s="1672"/>
      <c r="B14" s="438" t="s">
        <v>717</v>
      </c>
      <c r="C14" s="1417">
        <f>'6.mell.'!H45</f>
        <v>11939</v>
      </c>
      <c r="D14" s="1418"/>
      <c r="E14" s="1414"/>
      <c r="F14" s="1418"/>
      <c r="G14" s="1414"/>
      <c r="H14" s="1414"/>
      <c r="I14" s="1414"/>
      <c r="J14" s="1414"/>
      <c r="K14" s="1414"/>
      <c r="L14" s="1418">
        <v>11939</v>
      </c>
      <c r="M14" s="1414"/>
      <c r="N14" s="1673"/>
    </row>
    <row r="15" spans="1:14" ht="21" customHeight="1">
      <c r="A15" s="1672"/>
      <c r="B15" s="438" t="s">
        <v>515</v>
      </c>
      <c r="C15" s="1419">
        <f>'6.mell.'!H63</f>
        <v>176</v>
      </c>
      <c r="D15" s="1418"/>
      <c r="E15" s="1420"/>
      <c r="F15" s="1420"/>
      <c r="G15" s="1420"/>
      <c r="H15" s="1420"/>
      <c r="I15" s="1420"/>
      <c r="J15" s="1420"/>
      <c r="K15" s="1420"/>
      <c r="L15" s="1420">
        <v>461</v>
      </c>
      <c r="M15" s="1420"/>
      <c r="N15" s="1673"/>
    </row>
    <row r="16" spans="1:14" ht="20.45" customHeight="1">
      <c r="A16" s="1672"/>
      <c r="B16" s="438" t="s">
        <v>516</v>
      </c>
      <c r="C16" s="1419">
        <f>'6.mell.'!H72</f>
        <v>45789</v>
      </c>
      <c r="D16" s="1418"/>
      <c r="E16" s="1420"/>
      <c r="F16" s="1420"/>
      <c r="G16" s="1420"/>
      <c r="H16" s="1420"/>
      <c r="I16" s="1420"/>
      <c r="J16" s="1420"/>
      <c r="K16" s="1420"/>
      <c r="L16" s="1420">
        <v>17593</v>
      </c>
      <c r="M16" s="1420"/>
      <c r="N16" s="1673"/>
    </row>
    <row r="17" spans="1:14" ht="21" customHeight="1">
      <c r="A17" s="1672"/>
      <c r="B17" s="438" t="s">
        <v>517</v>
      </c>
      <c r="C17" s="1419">
        <f>'6.mell.'!H99</f>
        <v>16756</v>
      </c>
      <c r="D17" s="1418"/>
      <c r="E17" s="1420"/>
      <c r="F17" s="1420"/>
      <c r="G17" s="1420"/>
      <c r="H17" s="1420"/>
      <c r="I17" s="1420"/>
      <c r="J17" s="1420"/>
      <c r="K17" s="1420"/>
      <c r="L17" s="1420">
        <v>17851</v>
      </c>
      <c r="M17" s="1420"/>
      <c r="N17" s="1673"/>
    </row>
    <row r="18" spans="1:14" ht="21" customHeight="1">
      <c r="A18" s="1672"/>
      <c r="B18" s="438" t="s">
        <v>518</v>
      </c>
      <c r="C18" s="1419">
        <f>'6.mell.'!H273</f>
        <v>74189</v>
      </c>
      <c r="D18" s="1418"/>
      <c r="E18" s="1420"/>
      <c r="F18" s="1420"/>
      <c r="G18" s="1420"/>
      <c r="H18" s="1420"/>
      <c r="I18" s="1420"/>
      <c r="J18" s="1420"/>
      <c r="K18" s="1420"/>
      <c r="L18" s="1420">
        <v>33479</v>
      </c>
      <c r="M18" s="1420"/>
      <c r="N18" s="1673"/>
    </row>
    <row r="19" spans="1:14" ht="21" customHeight="1">
      <c r="A19" s="1672"/>
      <c r="B19" s="438" t="s">
        <v>519</v>
      </c>
      <c r="C19" s="1419">
        <f>'6.mell.'!H356</f>
        <v>306451</v>
      </c>
      <c r="D19" s="1418"/>
      <c r="E19" s="1420"/>
      <c r="F19" s="1420"/>
      <c r="G19" s="1420"/>
      <c r="H19" s="1420"/>
      <c r="I19" s="1420"/>
      <c r="J19" s="1420"/>
      <c r="K19" s="1420"/>
      <c r="L19" s="1420">
        <v>35110</v>
      </c>
      <c r="M19" s="1420"/>
      <c r="N19" s="1673"/>
    </row>
    <row r="20" spans="1:14" ht="21" customHeight="1">
      <c r="A20" s="1672"/>
      <c r="B20" s="438" t="s">
        <v>916</v>
      </c>
      <c r="C20" s="1419">
        <f>'8.mell.'!H10</f>
        <v>0</v>
      </c>
      <c r="D20" s="1418"/>
      <c r="E20" s="1420"/>
      <c r="F20" s="1420"/>
      <c r="G20" s="1420"/>
      <c r="H20" s="1420"/>
      <c r="I20" s="1420"/>
      <c r="J20" s="1420"/>
      <c r="K20" s="1420"/>
      <c r="L20" s="1420"/>
      <c r="M20" s="1420"/>
      <c r="N20" s="1673"/>
    </row>
    <row r="21" spans="1:14" ht="20.45" customHeight="1">
      <c r="A21" s="1672"/>
      <c r="B21" s="438" t="s">
        <v>520</v>
      </c>
      <c r="C21" s="1419">
        <f>'8.mell.'!H11</f>
        <v>6947</v>
      </c>
      <c r="D21" s="1418"/>
      <c r="E21" s="1420"/>
      <c r="F21" s="1420"/>
      <c r="G21" s="1420"/>
      <c r="H21" s="1420"/>
      <c r="I21" s="1420"/>
      <c r="J21" s="1420"/>
      <c r="K21" s="1420"/>
      <c r="L21" s="1420">
        <v>6947</v>
      </c>
      <c r="M21" s="1420"/>
      <c r="N21" s="1673"/>
    </row>
    <row r="22" spans="1:14" ht="21" customHeight="1">
      <c r="A22" s="1672"/>
      <c r="B22" s="438" t="s">
        <v>772</v>
      </c>
      <c r="C22" s="1419">
        <f>'8.mell.'!H12</f>
        <v>0</v>
      </c>
      <c r="D22" s="1418"/>
      <c r="E22" s="1420"/>
      <c r="F22" s="1420"/>
      <c r="G22" s="1420"/>
      <c r="H22" s="1420"/>
      <c r="I22" s="1420"/>
      <c r="J22" s="1420"/>
      <c r="K22" s="1420"/>
      <c r="L22" s="1420">
        <v>224</v>
      </c>
      <c r="M22" s="1420"/>
      <c r="N22" s="1673"/>
    </row>
    <row r="23" spans="1:14" ht="25.5" customHeight="1">
      <c r="A23" s="1672"/>
      <c r="B23" s="439" t="s">
        <v>521</v>
      </c>
      <c r="C23" s="1419">
        <f>'8.mell.'!H14</f>
        <v>63195</v>
      </c>
      <c r="D23" s="1418"/>
      <c r="E23" s="1420"/>
      <c r="F23" s="1420"/>
      <c r="G23" s="1420"/>
      <c r="H23" s="1420"/>
      <c r="I23" s="1420"/>
      <c r="J23" s="1420"/>
      <c r="K23" s="1420"/>
      <c r="L23" s="1420">
        <v>155189</v>
      </c>
      <c r="M23" s="1420"/>
      <c r="N23" s="1673"/>
    </row>
    <row r="24" spans="1:14" ht="25.5" customHeight="1">
      <c r="A24" s="1672"/>
      <c r="B24" s="439" t="s">
        <v>773</v>
      </c>
      <c r="C24" s="1419">
        <f>'8.mell.'!H15</f>
        <v>51026</v>
      </c>
      <c r="D24" s="1418"/>
      <c r="E24" s="1420"/>
      <c r="F24" s="1420"/>
      <c r="G24" s="1420"/>
      <c r="H24" s="1420"/>
      <c r="I24" s="1420"/>
      <c r="J24" s="1420"/>
      <c r="K24" s="1420"/>
      <c r="L24" s="1420">
        <v>52654</v>
      </c>
      <c r="M24" s="1420"/>
      <c r="N24" s="1673"/>
    </row>
    <row r="25" spans="1:14" ht="25.5" customHeight="1">
      <c r="A25" s="1672"/>
      <c r="B25" s="439" t="s">
        <v>891</v>
      </c>
      <c r="C25" s="1419">
        <f>'8.mell.'!H16</f>
        <v>1080</v>
      </c>
      <c r="D25" s="1418"/>
      <c r="E25" s="1420"/>
      <c r="F25" s="1420"/>
      <c r="G25" s="1420"/>
      <c r="H25" s="1420"/>
      <c r="I25" s="1420"/>
      <c r="J25" s="1420"/>
      <c r="K25" s="1420"/>
      <c r="L25" s="1420">
        <v>1079</v>
      </c>
      <c r="M25" s="1420"/>
      <c r="N25" s="1673"/>
    </row>
    <row r="26" spans="1:14" ht="20.25" customHeight="1">
      <c r="A26" s="1672"/>
      <c r="B26" s="439" t="s">
        <v>715</v>
      </c>
      <c r="C26" s="1419">
        <f>'8.mell.'!H19</f>
        <v>134592</v>
      </c>
      <c r="D26" s="1418"/>
      <c r="E26" s="1420"/>
      <c r="F26" s="1420"/>
      <c r="G26" s="1420"/>
      <c r="H26" s="1420"/>
      <c r="I26" s="1420"/>
      <c r="J26" s="1420"/>
      <c r="K26" s="1420"/>
      <c r="L26" s="1420">
        <v>134920</v>
      </c>
      <c r="M26" s="1420"/>
      <c r="N26" s="1673"/>
    </row>
    <row r="27" spans="1:14" ht="20.25" customHeight="1">
      <c r="A27" s="1672"/>
      <c r="B27" s="439" t="s">
        <v>835</v>
      </c>
      <c r="C27" s="1419">
        <f>'8.mell.'!H20</f>
        <v>25151</v>
      </c>
      <c r="D27" s="1418"/>
      <c r="E27" s="1420"/>
      <c r="F27" s="1420"/>
      <c r="G27" s="1420"/>
      <c r="H27" s="1420"/>
      <c r="I27" s="1420"/>
      <c r="J27" s="1420"/>
      <c r="K27" s="1420"/>
      <c r="L27" s="1420">
        <v>25151</v>
      </c>
      <c r="M27" s="1420"/>
      <c r="N27" s="1673"/>
    </row>
    <row r="28" spans="1:14" ht="20.25" customHeight="1">
      <c r="A28" s="1672"/>
      <c r="B28" s="439" t="s">
        <v>741</v>
      </c>
      <c r="C28" s="1419">
        <f>'8.mell.'!H22</f>
        <v>67986</v>
      </c>
      <c r="D28" s="1418"/>
      <c r="E28" s="1420"/>
      <c r="F28" s="1420"/>
      <c r="G28" s="1420"/>
      <c r="H28" s="1420"/>
      <c r="I28" s="1420"/>
      <c r="J28" s="1420"/>
      <c r="K28" s="1420"/>
      <c r="L28" s="1420">
        <v>23852</v>
      </c>
      <c r="M28" s="1420"/>
      <c r="N28" s="1673"/>
    </row>
    <row r="29" spans="1:14" ht="20.25" customHeight="1">
      <c r="A29" s="1672"/>
      <c r="B29" s="439" t="s">
        <v>880</v>
      </c>
      <c r="C29" s="1419">
        <f>'8.mell.'!H26</f>
        <v>3115</v>
      </c>
      <c r="D29" s="1418"/>
      <c r="E29" s="1420"/>
      <c r="F29" s="1420"/>
      <c r="G29" s="1420"/>
      <c r="H29" s="1420"/>
      <c r="I29" s="1420"/>
      <c r="J29" s="1420"/>
      <c r="K29" s="1420"/>
      <c r="L29" s="1420">
        <v>30000</v>
      </c>
      <c r="M29" s="1420"/>
      <c r="N29" s="1673"/>
    </row>
    <row r="30" spans="1:14" ht="20.25" customHeight="1">
      <c r="A30" s="1672"/>
      <c r="B30" s="439" t="s">
        <v>887</v>
      </c>
      <c r="C30" s="1419">
        <f>'9.mell '!H14</f>
        <v>25466</v>
      </c>
      <c r="D30" s="1418"/>
      <c r="E30" s="1420"/>
      <c r="F30" s="1420"/>
      <c r="G30" s="1420"/>
      <c r="H30" s="1420"/>
      <c r="I30" s="1420"/>
      <c r="J30" s="1420"/>
      <c r="K30" s="1420"/>
      <c r="L30" s="1420"/>
      <c r="M30" s="1420"/>
      <c r="N30" s="1673"/>
    </row>
    <row r="31" spans="1:14" ht="20.25" customHeight="1">
      <c r="A31" s="1672"/>
      <c r="B31" s="439" t="s">
        <v>886</v>
      </c>
      <c r="C31" s="1419">
        <f>'9.mell '!H17</f>
        <v>0</v>
      </c>
      <c r="D31" s="1418"/>
      <c r="E31" s="1420"/>
      <c r="F31" s="1420"/>
      <c r="G31" s="1420"/>
      <c r="H31" s="1420"/>
      <c r="I31" s="1420"/>
      <c r="J31" s="1420"/>
      <c r="K31" s="1420"/>
      <c r="L31" s="1420"/>
      <c r="M31" s="1420"/>
      <c r="N31" s="1673"/>
    </row>
    <row r="32" spans="1:14" ht="20.25" customHeight="1">
      <c r="A32" s="1672"/>
      <c r="B32" s="439" t="s">
        <v>885</v>
      </c>
      <c r="C32" s="1419">
        <f>'9.mell '!H18</f>
        <v>35560</v>
      </c>
      <c r="D32" s="1418"/>
      <c r="E32" s="1420"/>
      <c r="F32" s="1420"/>
      <c r="G32" s="1420"/>
      <c r="H32" s="1420"/>
      <c r="I32" s="1420"/>
      <c r="J32" s="1420"/>
      <c r="K32" s="1420"/>
      <c r="L32" s="1420">
        <v>35560</v>
      </c>
      <c r="M32" s="1420"/>
      <c r="N32" s="1673"/>
    </row>
    <row r="33" spans="1:14" ht="20.25" customHeight="1">
      <c r="A33" s="1672"/>
      <c r="B33" s="439" t="s">
        <v>884</v>
      </c>
      <c r="C33" s="1419">
        <f>'9.mell '!H22</f>
        <v>0</v>
      </c>
      <c r="D33" s="1418"/>
      <c r="E33" s="1420"/>
      <c r="F33" s="1420"/>
      <c r="G33" s="1420"/>
      <c r="H33" s="1420"/>
      <c r="I33" s="1420"/>
      <c r="J33" s="1420"/>
      <c r="K33" s="1420"/>
      <c r="L33" s="1420"/>
      <c r="M33" s="1420"/>
      <c r="N33" s="1673"/>
    </row>
    <row r="34" spans="1:14" ht="21" customHeight="1">
      <c r="A34" s="1672"/>
      <c r="B34" s="435" t="s">
        <v>888</v>
      </c>
      <c r="C34" s="1417">
        <v>0</v>
      </c>
      <c r="D34" s="1418">
        <v>0</v>
      </c>
      <c r="E34" s="1420"/>
      <c r="F34" s="1420"/>
      <c r="G34" s="1420"/>
      <c r="H34" s="1420"/>
      <c r="I34" s="1420"/>
      <c r="J34" s="1420"/>
      <c r="K34" s="1420"/>
      <c r="L34" s="1420"/>
      <c r="M34" s="1420"/>
      <c r="N34" s="1673"/>
    </row>
    <row r="35" spans="1:14" ht="21" customHeight="1">
      <c r="A35" s="1672"/>
      <c r="B35" s="435" t="s">
        <v>836</v>
      </c>
      <c r="C35" s="1417">
        <v>0</v>
      </c>
      <c r="D35" s="1418"/>
      <c r="E35" s="1420"/>
      <c r="F35" s="1420"/>
      <c r="G35" s="1420"/>
      <c r="H35" s="1420"/>
      <c r="I35" s="1420"/>
      <c r="J35" s="1420"/>
      <c r="K35" s="1420"/>
      <c r="L35" s="1420"/>
      <c r="M35" s="1420"/>
      <c r="N35" s="1673"/>
    </row>
    <row r="36" spans="1:14" ht="21" customHeight="1">
      <c r="A36" s="1672" t="s">
        <v>121</v>
      </c>
      <c r="B36" s="440" t="s">
        <v>522</v>
      </c>
      <c r="C36" s="1412">
        <f>SUM(C37:C37)</f>
        <v>22802</v>
      </c>
      <c r="D36" s="1412">
        <f>SUM(E36:N36)</f>
        <v>22802</v>
      </c>
      <c r="E36" s="1412"/>
      <c r="F36" s="1412">
        <v>21823</v>
      </c>
      <c r="G36" s="1412"/>
      <c r="H36" s="1412"/>
      <c r="I36" s="1412"/>
      <c r="J36" s="1412"/>
      <c r="K36" s="1412"/>
      <c r="L36" s="1412">
        <v>979</v>
      </c>
      <c r="M36" s="1412"/>
      <c r="N36" s="1673"/>
    </row>
    <row r="37" spans="1:14" ht="21" customHeight="1">
      <c r="A37" s="1672"/>
      <c r="B37" s="435" t="s">
        <v>523</v>
      </c>
      <c r="C37" s="1417">
        <f>'7.mell.'!H10</f>
        <v>22802</v>
      </c>
      <c r="D37" s="1417"/>
      <c r="E37" s="1421"/>
      <c r="F37" s="1421"/>
      <c r="G37" s="1421"/>
      <c r="H37" s="1421"/>
      <c r="I37" s="1421"/>
      <c r="J37" s="1421"/>
      <c r="K37" s="1421"/>
      <c r="L37" s="1421">
        <v>979</v>
      </c>
      <c r="M37" s="1421"/>
      <c r="N37" s="1673"/>
    </row>
    <row r="38" spans="1:14" ht="21" customHeight="1">
      <c r="A38" s="1672" t="s">
        <v>122</v>
      </c>
      <c r="B38" s="440" t="s">
        <v>524</v>
      </c>
      <c r="C38" s="1412">
        <f>SUM(C39:C39)</f>
        <v>1381088</v>
      </c>
      <c r="D38" s="1412">
        <f>SUM(E38:M38)</f>
        <v>1381088</v>
      </c>
      <c r="E38" s="1413">
        <v>3532</v>
      </c>
      <c r="F38" s="1413"/>
      <c r="G38" s="1413">
        <v>1254685</v>
      </c>
      <c r="H38" s="1421"/>
      <c r="I38" s="1421"/>
      <c r="J38" s="1421"/>
      <c r="K38" s="1421"/>
      <c r="L38" s="1413">
        <v>122871</v>
      </c>
      <c r="M38" s="1421"/>
      <c r="N38" s="1673"/>
    </row>
    <row r="39" spans="1:14" ht="29.1" customHeight="1">
      <c r="A39" s="1672"/>
      <c r="B39" s="441" t="s">
        <v>525</v>
      </c>
      <c r="C39" s="1417">
        <f>'6.mell.'!H339</f>
        <v>1381088</v>
      </c>
      <c r="D39" s="1417"/>
      <c r="E39" s="1421"/>
      <c r="F39" s="1421"/>
      <c r="G39" s="1421"/>
      <c r="H39" s="1421"/>
      <c r="I39" s="1421"/>
      <c r="J39" s="1421"/>
      <c r="K39" s="1421"/>
      <c r="L39" s="1421">
        <v>122871</v>
      </c>
      <c r="M39" s="1421"/>
      <c r="N39" s="1673"/>
    </row>
    <row r="40" spans="1:14" ht="21" customHeight="1">
      <c r="A40" s="1672" t="s">
        <v>420</v>
      </c>
      <c r="B40" s="440" t="s">
        <v>526</v>
      </c>
      <c r="C40" s="1412">
        <f>SUM(C41:C44)</f>
        <v>1050695</v>
      </c>
      <c r="D40" s="1412">
        <f>SUM(E40:N40)</f>
        <v>1050695</v>
      </c>
      <c r="E40" s="1421"/>
      <c r="F40" s="1413">
        <v>882955</v>
      </c>
      <c r="G40" s="1413"/>
      <c r="H40" s="1421"/>
      <c r="I40" s="1413"/>
      <c r="J40" s="1421"/>
      <c r="K40" s="1413"/>
      <c r="L40" s="1412">
        <v>167740</v>
      </c>
      <c r="M40" s="1413"/>
      <c r="N40" s="1674"/>
    </row>
    <row r="41" spans="1:14" ht="21" customHeight="1">
      <c r="A41" s="1672"/>
      <c r="B41" s="435" t="s">
        <v>527</v>
      </c>
      <c r="C41" s="1417">
        <f>'6.mell.'!H328</f>
        <v>986726</v>
      </c>
      <c r="D41" s="1417"/>
      <c r="E41" s="1421"/>
      <c r="F41" s="1421"/>
      <c r="G41" s="1421"/>
      <c r="H41" s="1421"/>
      <c r="I41" s="1421"/>
      <c r="J41" s="1421"/>
      <c r="K41" s="1421"/>
      <c r="L41" s="1421">
        <v>84190</v>
      </c>
      <c r="M41" s="1421"/>
      <c r="N41" s="1673"/>
    </row>
    <row r="42" spans="1:14" ht="21" customHeight="1">
      <c r="A42" s="1672"/>
      <c r="B42" s="435" t="s">
        <v>528</v>
      </c>
      <c r="C42" s="1417">
        <f>'6.mell.'!H125</f>
        <v>5649</v>
      </c>
      <c r="D42" s="1417"/>
      <c r="E42" s="1421"/>
      <c r="F42" s="1421"/>
      <c r="G42" s="1421"/>
      <c r="H42" s="1421"/>
      <c r="I42" s="1421"/>
      <c r="J42" s="1421"/>
      <c r="K42" s="1421"/>
      <c r="L42" s="1421">
        <v>1866</v>
      </c>
      <c r="M42" s="1421"/>
      <c r="N42" s="1673"/>
    </row>
    <row r="43" spans="1:14" ht="21" customHeight="1">
      <c r="A43" s="1672"/>
      <c r="B43" s="435" t="s">
        <v>529</v>
      </c>
      <c r="C43" s="1417">
        <f>'8.mell.'!H34</f>
        <v>20793</v>
      </c>
      <c r="D43" s="1417"/>
      <c r="E43" s="1421"/>
      <c r="F43" s="1421"/>
      <c r="G43" s="1421"/>
      <c r="H43" s="1421"/>
      <c r="I43" s="1421"/>
      <c r="J43" s="1421"/>
      <c r="K43" s="1421"/>
      <c r="L43" s="1421">
        <v>54438</v>
      </c>
      <c r="M43" s="1421"/>
      <c r="N43" s="1673"/>
    </row>
    <row r="44" spans="1:14" ht="21" customHeight="1">
      <c r="A44" s="1672"/>
      <c r="B44" s="435" t="s">
        <v>530</v>
      </c>
      <c r="C44" s="1417">
        <f>'8.mell.'!H78</f>
        <v>37527</v>
      </c>
      <c r="D44" s="1417"/>
      <c r="E44" s="1421"/>
      <c r="F44" s="1421"/>
      <c r="G44" s="1421"/>
      <c r="H44" s="1421"/>
      <c r="I44" s="1421"/>
      <c r="J44" s="1421"/>
      <c r="K44" s="1421"/>
      <c r="L44" s="1421">
        <v>27246</v>
      </c>
      <c r="M44" s="1421"/>
      <c r="N44" s="1673"/>
    </row>
    <row r="45" spans="1:14" ht="21" customHeight="1">
      <c r="A45" s="1672" t="s">
        <v>429</v>
      </c>
      <c r="B45" s="440" t="s">
        <v>531</v>
      </c>
      <c r="C45" s="1412">
        <v>0</v>
      </c>
      <c r="D45" s="1412">
        <f>SUM(E45:M45)</f>
        <v>0</v>
      </c>
      <c r="E45" s="1421"/>
      <c r="F45" s="1421"/>
      <c r="G45" s="1421"/>
      <c r="H45" s="1421"/>
      <c r="I45" s="1421"/>
      <c r="J45" s="1421"/>
      <c r="K45" s="1421"/>
      <c r="L45" s="1421"/>
      <c r="M45" s="1421"/>
      <c r="N45" s="1673"/>
    </row>
    <row r="46" spans="1:14" ht="21" customHeight="1">
      <c r="A46" s="1672" t="s">
        <v>455</v>
      </c>
      <c r="B46" s="440" t="s">
        <v>532</v>
      </c>
      <c r="C46" s="1412">
        <v>0</v>
      </c>
      <c r="D46" s="1412">
        <f>SUM(E46:M46)</f>
        <v>0</v>
      </c>
      <c r="E46" s="1421"/>
      <c r="F46" s="1421"/>
      <c r="G46" s="1421"/>
      <c r="H46" s="1421"/>
      <c r="I46" s="1421"/>
      <c r="J46" s="1421"/>
      <c r="K46" s="1421"/>
      <c r="L46" s="1421"/>
      <c r="M46" s="1421"/>
      <c r="N46" s="1673"/>
    </row>
    <row r="47" spans="1:14" ht="21" customHeight="1">
      <c r="A47" s="1672" t="s">
        <v>378</v>
      </c>
      <c r="B47" s="440" t="s">
        <v>533</v>
      </c>
      <c r="C47" s="1412">
        <v>0</v>
      </c>
      <c r="D47" s="1412">
        <f>SUM(E47:M47)</f>
        <v>0</v>
      </c>
      <c r="E47" s="1421"/>
      <c r="F47" s="1421"/>
      <c r="G47" s="1421"/>
      <c r="H47" s="1421"/>
      <c r="I47" s="1421"/>
      <c r="J47" s="1421"/>
      <c r="K47" s="1421"/>
      <c r="L47" s="1421"/>
      <c r="M47" s="1421"/>
      <c r="N47" s="1673"/>
    </row>
    <row r="48" spans="1:14" ht="21" customHeight="1">
      <c r="A48" s="1672" t="s">
        <v>379</v>
      </c>
      <c r="B48" s="440" t="s">
        <v>534</v>
      </c>
      <c r="C48" s="1412">
        <f>SUM(C49:C52)</f>
        <v>136031</v>
      </c>
      <c r="D48" s="1412">
        <f>SUM(E48:M48)</f>
        <v>136031</v>
      </c>
      <c r="E48" s="1413"/>
      <c r="F48" s="1413">
        <v>36055</v>
      </c>
      <c r="G48" s="1413"/>
      <c r="H48" s="1421"/>
      <c r="I48" s="1421"/>
      <c r="J48" s="1421"/>
      <c r="K48" s="1421"/>
      <c r="L48" s="1412">
        <v>99976</v>
      </c>
      <c r="M48" s="1421"/>
      <c r="N48" s="1673"/>
    </row>
    <row r="49" spans="1:14" ht="21" customHeight="1">
      <c r="A49" s="1672"/>
      <c r="B49" s="435" t="s">
        <v>535</v>
      </c>
      <c r="C49" s="1417">
        <f>'6.mell.'!H473</f>
        <v>13599</v>
      </c>
      <c r="D49" s="1417"/>
      <c r="E49" s="1421"/>
      <c r="F49" s="1421"/>
      <c r="G49" s="1421"/>
      <c r="H49" s="1421"/>
      <c r="I49" s="1421"/>
      <c r="J49" s="1421"/>
      <c r="K49" s="1421"/>
      <c r="L49" s="1421">
        <v>1184</v>
      </c>
      <c r="M49" s="1421"/>
      <c r="N49" s="1673"/>
    </row>
    <row r="50" spans="1:14" ht="21" customHeight="1">
      <c r="A50" s="1672"/>
      <c r="B50" s="435" t="s">
        <v>536</v>
      </c>
      <c r="C50" s="1417">
        <f>'6.mell.'!H665</f>
        <v>3000</v>
      </c>
      <c r="D50" s="1417"/>
      <c r="E50" s="1421"/>
      <c r="F50" s="1421"/>
      <c r="G50" s="1421"/>
      <c r="H50" s="1421"/>
      <c r="I50" s="1421"/>
      <c r="J50" s="1421"/>
      <c r="K50" s="1421"/>
      <c r="L50" s="1421">
        <v>2600</v>
      </c>
      <c r="M50" s="1421"/>
      <c r="N50" s="1673"/>
    </row>
    <row r="51" spans="1:14" ht="21" customHeight="1">
      <c r="A51" s="1672"/>
      <c r="B51" s="435" t="s">
        <v>537</v>
      </c>
      <c r="C51" s="1417">
        <f>'6.mell.'!H481</f>
        <v>0</v>
      </c>
      <c r="D51" s="1417"/>
      <c r="E51" s="1421"/>
      <c r="F51" s="1421"/>
      <c r="G51" s="1421"/>
      <c r="H51" s="1421"/>
      <c r="I51" s="1421"/>
      <c r="J51" s="1421"/>
      <c r="K51" s="1421"/>
      <c r="L51" s="1421"/>
      <c r="M51" s="1421"/>
      <c r="N51" s="1673"/>
    </row>
    <row r="52" spans="1:14" ht="21" customHeight="1">
      <c r="A52" s="1672"/>
      <c r="B52" s="435" t="s">
        <v>974</v>
      </c>
      <c r="C52" s="1417">
        <f>'9.mell '!H59</f>
        <v>119432</v>
      </c>
      <c r="D52" s="1417"/>
      <c r="E52" s="1421"/>
      <c r="F52" s="1421"/>
      <c r="G52" s="1421"/>
      <c r="H52" s="1421"/>
      <c r="I52" s="1421"/>
      <c r="J52" s="1421"/>
      <c r="K52" s="1421"/>
      <c r="L52" s="1421">
        <v>96192</v>
      </c>
      <c r="M52" s="1421"/>
      <c r="N52" s="1673"/>
    </row>
    <row r="53" spans="1:14" ht="21" customHeight="1">
      <c r="A53" s="1672" t="s">
        <v>456</v>
      </c>
      <c r="B53" s="440" t="s">
        <v>538</v>
      </c>
      <c r="C53" s="1412">
        <f>SUM(C54:C63)</f>
        <v>2438468</v>
      </c>
      <c r="D53" s="1412">
        <f>SUM(E53:N53)</f>
        <v>2438468</v>
      </c>
      <c r="E53" s="1413">
        <v>1717193</v>
      </c>
      <c r="F53" s="1413">
        <v>644774</v>
      </c>
      <c r="G53" s="1412">
        <v>157</v>
      </c>
      <c r="H53" s="1413">
        <v>18075</v>
      </c>
      <c r="I53" s="1413">
        <v>1530</v>
      </c>
      <c r="J53" s="1413"/>
      <c r="K53" s="1421"/>
      <c r="L53" s="1412">
        <v>56739</v>
      </c>
      <c r="M53" s="1421"/>
      <c r="N53" s="1673"/>
    </row>
    <row r="54" spans="1:14" ht="21" customHeight="1">
      <c r="A54" s="1672"/>
      <c r="B54" s="435" t="s">
        <v>539</v>
      </c>
      <c r="C54" s="1417">
        <f>'4.mell.'!H42</f>
        <v>317722</v>
      </c>
      <c r="D54" s="1417"/>
      <c r="E54" s="1413"/>
      <c r="F54" s="1421"/>
      <c r="G54" s="1421"/>
      <c r="H54" s="1421"/>
      <c r="I54" s="1421"/>
      <c r="J54" s="1421"/>
      <c r="K54" s="1421"/>
      <c r="L54" s="1421">
        <v>1500</v>
      </c>
      <c r="M54" s="1421"/>
      <c r="N54" s="1673"/>
    </row>
    <row r="55" spans="1:14" ht="21" customHeight="1">
      <c r="A55" s="1672"/>
      <c r="B55" s="435" t="s">
        <v>540</v>
      </c>
      <c r="C55" s="1417">
        <f>'4.mell.'!H77</f>
        <v>313085</v>
      </c>
      <c r="D55" s="1417"/>
      <c r="E55" s="1413"/>
      <c r="F55" s="1421"/>
      <c r="G55" s="1421"/>
      <c r="H55" s="1421"/>
      <c r="I55" s="1421"/>
      <c r="J55" s="1421"/>
      <c r="K55" s="1421"/>
      <c r="L55" s="1421">
        <v>1032</v>
      </c>
      <c r="M55" s="1421"/>
      <c r="N55" s="1673"/>
    </row>
    <row r="56" spans="1:14" ht="21" customHeight="1">
      <c r="A56" s="1672"/>
      <c r="B56" s="435" t="s">
        <v>541</v>
      </c>
      <c r="C56" s="1417">
        <f>'4.mell.'!H111</f>
        <v>160075</v>
      </c>
      <c r="D56" s="1417"/>
      <c r="E56" s="1413"/>
      <c r="F56" s="1421"/>
      <c r="G56" s="1421"/>
      <c r="H56" s="1421"/>
      <c r="I56" s="1421"/>
      <c r="J56" s="1421"/>
      <c r="K56" s="1421"/>
      <c r="L56" s="1421">
        <v>100</v>
      </c>
      <c r="M56" s="1421"/>
      <c r="N56" s="1673"/>
    </row>
    <row r="57" spans="1:14" ht="21" customHeight="1">
      <c r="A57" s="1672"/>
      <c r="B57" s="435" t="s">
        <v>542</v>
      </c>
      <c r="C57" s="1417">
        <f>'4.mell.'!H180</f>
        <v>322906</v>
      </c>
      <c r="D57" s="1417"/>
      <c r="E57" s="1421"/>
      <c r="F57" s="1417"/>
      <c r="G57" s="1421"/>
      <c r="H57" s="1421"/>
      <c r="I57" s="1421"/>
      <c r="J57" s="1421"/>
      <c r="K57" s="1421"/>
      <c r="L57" s="1421">
        <v>2316</v>
      </c>
      <c r="M57" s="1421"/>
      <c r="N57" s="1673"/>
    </row>
    <row r="58" spans="1:14" ht="21" customHeight="1">
      <c r="A58" s="1672"/>
      <c r="B58" s="435" t="s">
        <v>543</v>
      </c>
      <c r="C58" s="1417">
        <f>'4.mell.'!H146</f>
        <v>550757</v>
      </c>
      <c r="D58" s="1417"/>
      <c r="E58" s="1421"/>
      <c r="F58" s="1416"/>
      <c r="G58" s="1421"/>
      <c r="H58" s="1421"/>
      <c r="I58" s="1421"/>
      <c r="J58" s="1421"/>
      <c r="K58" s="1421"/>
      <c r="L58" s="1421">
        <v>5664</v>
      </c>
      <c r="M58" s="1421"/>
      <c r="N58" s="1673"/>
    </row>
    <row r="59" spans="1:14" ht="21" customHeight="1">
      <c r="A59" s="1672"/>
      <c r="B59" s="435" t="s">
        <v>544</v>
      </c>
      <c r="C59" s="1417">
        <f>'4.mell.'!H214</f>
        <v>248782</v>
      </c>
      <c r="D59" s="1417"/>
      <c r="E59" s="1421"/>
      <c r="F59" s="1416"/>
      <c r="G59" s="1421"/>
      <c r="H59" s="1421"/>
      <c r="I59" s="1421"/>
      <c r="J59" s="1421"/>
      <c r="K59" s="1421"/>
      <c r="L59" s="1421">
        <v>1508</v>
      </c>
      <c r="M59" s="1421"/>
      <c r="N59" s="1673"/>
    </row>
    <row r="60" spans="1:14" ht="21" customHeight="1">
      <c r="A60" s="1672"/>
      <c r="B60" s="435" t="s">
        <v>545</v>
      </c>
      <c r="C60" s="1417">
        <f>'4.mell.'!H248</f>
        <v>159733</v>
      </c>
      <c r="D60" s="1417"/>
      <c r="E60" s="1421"/>
      <c r="F60" s="1416"/>
      <c r="G60" s="1421"/>
      <c r="H60" s="1421"/>
      <c r="I60" s="1421"/>
      <c r="J60" s="1421"/>
      <c r="K60" s="1421"/>
      <c r="L60" s="1421">
        <v>1933</v>
      </c>
      <c r="M60" s="1421"/>
      <c r="N60" s="1673"/>
    </row>
    <row r="61" spans="1:14" ht="21" customHeight="1">
      <c r="A61" s="1672"/>
      <c r="B61" s="435" t="s">
        <v>546</v>
      </c>
      <c r="C61" s="1417">
        <f>'4.mell.'!H282</f>
        <v>172479</v>
      </c>
      <c r="D61" s="1417"/>
      <c r="E61" s="1421"/>
      <c r="F61" s="1416"/>
      <c r="G61" s="1421"/>
      <c r="H61" s="1421"/>
      <c r="I61" s="1421"/>
      <c r="J61" s="1421"/>
      <c r="K61" s="1421"/>
      <c r="L61" s="1421">
        <v>1780</v>
      </c>
      <c r="M61" s="1421"/>
      <c r="N61" s="1673"/>
    </row>
    <row r="62" spans="1:14" ht="21" customHeight="1">
      <c r="A62" s="1672"/>
      <c r="B62" s="435" t="s">
        <v>547</v>
      </c>
      <c r="C62" s="1417">
        <f>'4.mell.'!H316</f>
        <v>160217</v>
      </c>
      <c r="D62" s="1417"/>
      <c r="E62" s="1421"/>
      <c r="F62" s="1416"/>
      <c r="G62" s="1421"/>
      <c r="H62" s="1421"/>
      <c r="I62" s="1421"/>
      <c r="J62" s="1421"/>
      <c r="K62" s="1421"/>
      <c r="L62" s="1421">
        <v>2510</v>
      </c>
      <c r="M62" s="1421"/>
      <c r="N62" s="1673"/>
    </row>
    <row r="63" spans="1:14" ht="21" customHeight="1">
      <c r="A63" s="1672"/>
      <c r="B63" s="435" t="s">
        <v>837</v>
      </c>
      <c r="C63" s="1417">
        <f>'6.mell.'!H218</f>
        <v>32712</v>
      </c>
      <c r="D63" s="1417"/>
      <c r="E63" s="1421"/>
      <c r="F63" s="1416"/>
      <c r="G63" s="1421"/>
      <c r="H63" s="1421"/>
      <c r="I63" s="1421"/>
      <c r="J63" s="1421"/>
      <c r="K63" s="1421"/>
      <c r="L63" s="1421">
        <v>38396</v>
      </c>
      <c r="M63" s="1421"/>
      <c r="N63" s="1673"/>
    </row>
    <row r="64" spans="1:14" ht="21" customHeight="1">
      <c r="A64" s="1672" t="s">
        <v>457</v>
      </c>
      <c r="B64" s="440" t="s">
        <v>548</v>
      </c>
      <c r="C64" s="1412">
        <f>SUM(C65:C75)</f>
        <v>80632</v>
      </c>
      <c r="D64" s="1412">
        <f>SUM(E64:N64)</f>
        <v>80632</v>
      </c>
      <c r="E64" s="1413"/>
      <c r="F64" s="1413">
        <v>47527</v>
      </c>
      <c r="G64" s="1413"/>
      <c r="H64" s="1413">
        <v>8083</v>
      </c>
      <c r="I64" s="1421"/>
      <c r="J64" s="1421">
        <v>5991</v>
      </c>
      <c r="K64" s="1413"/>
      <c r="L64" s="1412">
        <v>19031</v>
      </c>
      <c r="M64" s="1421"/>
      <c r="N64" s="1673"/>
    </row>
    <row r="65" spans="1:14" ht="21" customHeight="1">
      <c r="A65" s="1675"/>
      <c r="B65" s="435" t="s">
        <v>549</v>
      </c>
      <c r="C65" s="1417">
        <f>'6.mell.'!H81</f>
        <v>26074</v>
      </c>
      <c r="D65" s="1417"/>
      <c r="E65" s="1421"/>
      <c r="F65" s="1421"/>
      <c r="G65" s="1421"/>
      <c r="H65" s="1421"/>
      <c r="I65" s="1421"/>
      <c r="J65" s="1421"/>
      <c r="K65" s="1421"/>
      <c r="L65" s="1421">
        <v>8032</v>
      </c>
      <c r="M65" s="1421"/>
      <c r="N65" s="1673"/>
    </row>
    <row r="66" spans="1:14" ht="21" customHeight="1">
      <c r="A66" s="1675"/>
      <c r="B66" s="435" t="s">
        <v>550</v>
      </c>
      <c r="C66" s="1417">
        <f>'6.mell.'!H535</f>
        <v>10458</v>
      </c>
      <c r="D66" s="1417"/>
      <c r="E66" s="1421"/>
      <c r="F66" s="1421"/>
      <c r="G66" s="1421"/>
      <c r="H66" s="1421"/>
      <c r="I66" s="1421"/>
      <c r="J66" s="1421"/>
      <c r="K66" s="1421"/>
      <c r="L66" s="1421"/>
      <c r="M66" s="1421"/>
      <c r="N66" s="1673"/>
    </row>
    <row r="67" spans="1:14" ht="21" customHeight="1">
      <c r="A67" s="1675"/>
      <c r="B67" s="435" t="s">
        <v>551</v>
      </c>
      <c r="C67" s="1417">
        <f>'6.mell.'!H575</f>
        <v>9440</v>
      </c>
      <c r="D67" s="1417"/>
      <c r="E67" s="1421"/>
      <c r="F67" s="1421"/>
      <c r="G67" s="1421"/>
      <c r="H67" s="1421"/>
      <c r="I67" s="1421"/>
      <c r="J67" s="1421"/>
      <c r="K67" s="1421"/>
      <c r="L67" s="1421"/>
      <c r="M67" s="1421"/>
      <c r="N67" s="1673"/>
    </row>
    <row r="68" spans="1:14" ht="21" customHeight="1">
      <c r="A68" s="1675"/>
      <c r="B68" s="435" t="s">
        <v>552</v>
      </c>
      <c r="C68" s="1417">
        <f>'6.mell.'!H599</f>
        <v>6603</v>
      </c>
      <c r="D68" s="1417"/>
      <c r="E68" s="1421"/>
      <c r="F68" s="1421"/>
      <c r="G68" s="1421"/>
      <c r="H68" s="1421"/>
      <c r="I68" s="1421"/>
      <c r="J68" s="1421"/>
      <c r="K68" s="1421"/>
      <c r="L68" s="1421">
        <v>959</v>
      </c>
      <c r="M68" s="1421"/>
      <c r="N68" s="1673"/>
    </row>
    <row r="69" spans="1:14" ht="21" customHeight="1">
      <c r="A69" s="1675"/>
      <c r="B69" s="435" t="s">
        <v>553</v>
      </c>
      <c r="C69" s="1417">
        <f>'6.mell.'!H607</f>
        <v>4844</v>
      </c>
      <c r="D69" s="1417"/>
      <c r="E69" s="1421"/>
      <c r="F69" s="1421"/>
      <c r="G69" s="1421"/>
      <c r="H69" s="1421"/>
      <c r="I69" s="1421"/>
      <c r="J69" s="1421"/>
      <c r="K69" s="1421"/>
      <c r="L69" s="1421">
        <v>4000</v>
      </c>
      <c r="M69" s="1421"/>
      <c r="N69" s="1673"/>
    </row>
    <row r="70" spans="1:14" ht="21" customHeight="1">
      <c r="A70" s="1675"/>
      <c r="B70" s="435" t="s">
        <v>554</v>
      </c>
      <c r="C70" s="1417">
        <f>'6.mell.'!H616</f>
        <v>880</v>
      </c>
      <c r="D70" s="1417"/>
      <c r="E70" s="1421"/>
      <c r="F70" s="1421"/>
      <c r="G70" s="1421"/>
      <c r="H70" s="1421"/>
      <c r="I70" s="1421"/>
      <c r="J70" s="1421"/>
      <c r="K70" s="1421"/>
      <c r="L70" s="1421"/>
      <c r="M70" s="1421"/>
      <c r="N70" s="1673"/>
    </row>
    <row r="71" spans="1:14" ht="21" customHeight="1">
      <c r="A71" s="1675"/>
      <c r="B71" s="435" t="s">
        <v>555</v>
      </c>
      <c r="C71" s="1417">
        <f>'6.mell.'!H641</f>
        <v>300</v>
      </c>
      <c r="D71" s="1417"/>
      <c r="E71" s="1421"/>
      <c r="F71" s="1421"/>
      <c r="G71" s="1421"/>
      <c r="H71" s="1421"/>
      <c r="I71" s="1421"/>
      <c r="J71" s="1421"/>
      <c r="K71" s="1421"/>
      <c r="L71" s="1421"/>
      <c r="M71" s="1421"/>
      <c r="N71" s="1673"/>
    </row>
    <row r="72" spans="1:14" ht="21" customHeight="1">
      <c r="A72" s="1675"/>
      <c r="B72" s="435" t="s">
        <v>556</v>
      </c>
      <c r="C72" s="1417">
        <f>'6.mell.'!H649</f>
        <v>2839</v>
      </c>
      <c r="D72" s="1417"/>
      <c r="E72" s="1421"/>
      <c r="F72" s="1421"/>
      <c r="G72" s="1421"/>
      <c r="H72" s="1421"/>
      <c r="I72" s="1421"/>
      <c r="J72" s="1421"/>
      <c r="K72" s="1421"/>
      <c r="L72" s="1421">
        <v>969</v>
      </c>
      <c r="M72" s="1421"/>
      <c r="N72" s="1673"/>
    </row>
    <row r="73" spans="1:14" ht="21" customHeight="1">
      <c r="A73" s="1675"/>
      <c r="B73" s="435" t="s">
        <v>557</v>
      </c>
      <c r="C73" s="1417">
        <f>'6.mell.'!H657</f>
        <v>2756</v>
      </c>
      <c r="D73" s="1417"/>
      <c r="E73" s="1421"/>
      <c r="F73" s="1421"/>
      <c r="G73" s="1421"/>
      <c r="H73" s="1421"/>
      <c r="I73" s="1421"/>
      <c r="J73" s="1421"/>
      <c r="K73" s="1421"/>
      <c r="L73" s="1421">
        <v>2000</v>
      </c>
      <c r="M73" s="1421"/>
      <c r="N73" s="1673"/>
    </row>
    <row r="74" spans="1:14" ht="21" customHeight="1">
      <c r="A74" s="1675"/>
      <c r="B74" s="435" t="s">
        <v>558</v>
      </c>
      <c r="C74" s="1417">
        <f>'6.mell.'!H673</f>
        <v>5760</v>
      </c>
      <c r="D74" s="1417"/>
      <c r="E74" s="1421"/>
      <c r="F74" s="1421"/>
      <c r="G74" s="1421"/>
      <c r="H74" s="1421"/>
      <c r="I74" s="1421"/>
      <c r="J74" s="1421"/>
      <c r="K74" s="1421"/>
      <c r="L74" s="1421"/>
      <c r="M74" s="1421"/>
      <c r="N74" s="1673"/>
    </row>
    <row r="75" spans="1:14" ht="21" customHeight="1">
      <c r="A75" s="1675"/>
      <c r="B75" s="435" t="s">
        <v>559</v>
      </c>
      <c r="C75" s="1417">
        <f>'6.mell.'!H681</f>
        <v>10678</v>
      </c>
      <c r="D75" s="1417"/>
      <c r="E75" s="1421"/>
      <c r="F75" s="1421"/>
      <c r="G75" s="1421"/>
      <c r="H75" s="1421"/>
      <c r="I75" s="1421"/>
      <c r="J75" s="1421"/>
      <c r="K75" s="1421"/>
      <c r="L75" s="1421">
        <v>3071</v>
      </c>
      <c r="M75" s="1421"/>
      <c r="N75" s="1673"/>
    </row>
    <row r="76" spans="1:14" ht="21" customHeight="1">
      <c r="A76" s="1672" t="s">
        <v>458</v>
      </c>
      <c r="B76" s="440" t="s">
        <v>560</v>
      </c>
      <c r="C76" s="1412">
        <f>SUM(C77)</f>
        <v>0</v>
      </c>
      <c r="D76" s="1412">
        <f>SUM(E76:N76)</f>
        <v>1027</v>
      </c>
      <c r="E76" s="1421"/>
      <c r="F76" s="1413"/>
      <c r="G76" s="1413"/>
      <c r="H76" s="1421"/>
      <c r="I76" s="1421"/>
      <c r="J76" s="1421"/>
      <c r="K76" s="1421"/>
      <c r="L76" s="1412">
        <v>1027</v>
      </c>
      <c r="M76" s="1421"/>
      <c r="N76" s="1673"/>
    </row>
    <row r="77" spans="1:14" ht="21" customHeight="1">
      <c r="A77" s="1672"/>
      <c r="B77" s="435" t="s">
        <v>561</v>
      </c>
      <c r="C77" s="1417">
        <f>'6.mell.'!H633</f>
        <v>0</v>
      </c>
      <c r="D77" s="1417"/>
      <c r="E77" s="1421"/>
      <c r="F77" s="1421"/>
      <c r="G77" s="1421"/>
      <c r="H77" s="1421"/>
      <c r="I77" s="1421"/>
      <c r="J77" s="1421"/>
      <c r="K77" s="1421"/>
      <c r="L77" s="1421">
        <v>1027</v>
      </c>
      <c r="M77" s="1421"/>
      <c r="N77" s="1673"/>
    </row>
    <row r="78" spans="1:14" ht="21" customHeight="1">
      <c r="A78" s="1672" t="s">
        <v>459</v>
      </c>
      <c r="B78" s="440" t="s">
        <v>562</v>
      </c>
      <c r="C78" s="1412">
        <f>SUM(C79:C85)</f>
        <v>325076</v>
      </c>
      <c r="D78" s="1412">
        <f>SUM(E78:N78)</f>
        <v>325076</v>
      </c>
      <c r="E78" s="1413">
        <v>321826</v>
      </c>
      <c r="F78" s="1413"/>
      <c r="G78" s="1413">
        <v>3250</v>
      </c>
      <c r="H78" s="1421"/>
      <c r="I78" s="1421"/>
      <c r="J78" s="1421"/>
      <c r="K78" s="1421"/>
      <c r="L78" s="1412"/>
      <c r="M78" s="1421"/>
      <c r="N78" s="1673"/>
    </row>
    <row r="79" spans="1:14" ht="21" customHeight="1">
      <c r="A79" s="1675"/>
      <c r="B79" s="435" t="s">
        <v>563</v>
      </c>
      <c r="C79" s="1417">
        <f>'6.mell.'!H829</f>
        <v>3000</v>
      </c>
      <c r="D79" s="1417"/>
      <c r="E79" s="1421"/>
      <c r="F79" s="1421"/>
      <c r="G79" s="1421"/>
      <c r="H79" s="1421"/>
      <c r="I79" s="1421"/>
      <c r="J79" s="1421"/>
      <c r="K79" s="1421"/>
      <c r="L79" s="1421"/>
      <c r="M79" s="1421"/>
      <c r="N79" s="1673"/>
    </row>
    <row r="80" spans="1:14" ht="21" customHeight="1">
      <c r="A80" s="1675"/>
      <c r="B80" s="435" t="s">
        <v>564</v>
      </c>
      <c r="C80" s="1417">
        <f>'6.mell.'!H837</f>
        <v>0</v>
      </c>
      <c r="D80" s="1417"/>
      <c r="E80" s="1421"/>
      <c r="F80" s="1421"/>
      <c r="G80" s="1421"/>
      <c r="H80" s="1421"/>
      <c r="I80" s="1421"/>
      <c r="J80" s="1421"/>
      <c r="K80" s="1421"/>
      <c r="L80" s="1421"/>
      <c r="M80" s="1421"/>
      <c r="N80" s="1673"/>
    </row>
    <row r="81" spans="1:14" ht="21" customHeight="1">
      <c r="A81" s="1675"/>
      <c r="B81" s="435" t="s">
        <v>565</v>
      </c>
      <c r="C81" s="1417">
        <f>'6.mell.'!H845</f>
        <v>0</v>
      </c>
      <c r="D81" s="1417"/>
      <c r="E81" s="1421"/>
      <c r="F81" s="1421"/>
      <c r="G81" s="1421"/>
      <c r="H81" s="1421"/>
      <c r="I81" s="1421"/>
      <c r="J81" s="1421"/>
      <c r="K81" s="1421"/>
      <c r="L81" s="1421"/>
      <c r="M81" s="1421"/>
      <c r="N81" s="1673"/>
    </row>
    <row r="82" spans="1:14" ht="21" customHeight="1">
      <c r="A82" s="1675"/>
      <c r="B82" s="435" t="s">
        <v>566</v>
      </c>
      <c r="C82" s="1417">
        <f>'6.mell.'!H853</f>
        <v>8000</v>
      </c>
      <c r="D82" s="1417"/>
      <c r="E82" s="1421"/>
      <c r="F82" s="1421"/>
      <c r="G82" s="1421"/>
      <c r="H82" s="1421"/>
      <c r="I82" s="1421"/>
      <c r="J82" s="1421"/>
      <c r="K82" s="1421"/>
      <c r="L82" s="1421"/>
      <c r="M82" s="1421"/>
      <c r="N82" s="1673"/>
    </row>
    <row r="83" spans="1:14" ht="21" customHeight="1">
      <c r="A83" s="1675"/>
      <c r="B83" s="435" t="s">
        <v>567</v>
      </c>
      <c r="C83" s="1417">
        <f>'7.mell.'!H25</f>
        <v>250</v>
      </c>
      <c r="D83" s="1417"/>
      <c r="E83" s="1421"/>
      <c r="F83" s="1421"/>
      <c r="G83" s="1421"/>
      <c r="H83" s="1421"/>
      <c r="I83" s="1421"/>
      <c r="J83" s="1421"/>
      <c r="K83" s="1421"/>
      <c r="L83" s="1421"/>
      <c r="M83" s="1421"/>
      <c r="N83" s="1673"/>
    </row>
    <row r="84" spans="1:14" ht="19.149999999999999" customHeight="1">
      <c r="A84" s="1675"/>
      <c r="B84" s="435" t="s">
        <v>568</v>
      </c>
      <c r="C84" s="1417">
        <f>'7.mell.'!H39</f>
        <v>313826</v>
      </c>
      <c r="D84" s="1417"/>
      <c r="E84" s="1421"/>
      <c r="F84" s="1421"/>
      <c r="G84" s="1421"/>
      <c r="H84" s="1421"/>
      <c r="I84" s="1421"/>
      <c r="J84" s="1421"/>
      <c r="K84" s="1421"/>
      <c r="L84" s="1421"/>
      <c r="M84" s="1421"/>
      <c r="N84" s="1673"/>
    </row>
    <row r="85" spans="1:14" ht="21" customHeight="1">
      <c r="A85" s="1675"/>
      <c r="B85" s="442" t="s">
        <v>569</v>
      </c>
      <c r="C85" s="1417">
        <v>0</v>
      </c>
      <c r="D85" s="1417"/>
      <c r="E85" s="1421"/>
      <c r="F85" s="1421"/>
      <c r="G85" s="1421"/>
      <c r="H85" s="1421"/>
      <c r="I85" s="1421"/>
      <c r="J85" s="1421"/>
      <c r="K85" s="1421"/>
      <c r="L85" s="1421"/>
      <c r="M85" s="1421"/>
      <c r="N85" s="1673"/>
    </row>
    <row r="86" spans="1:14" ht="21" customHeight="1">
      <c r="A86" s="1672" t="s">
        <v>570</v>
      </c>
      <c r="B86" s="440" t="s">
        <v>571</v>
      </c>
      <c r="C86" s="1412">
        <f>SUM(C87:C123)</f>
        <v>3677511</v>
      </c>
      <c r="D86" s="1412">
        <f>SUM(E86:N86)</f>
        <v>4382175</v>
      </c>
      <c r="E86" s="1413"/>
      <c r="F86" s="1413"/>
      <c r="G86" s="1413">
        <v>328418</v>
      </c>
      <c r="H86" s="1413"/>
      <c r="I86" s="1413"/>
      <c r="J86" s="1421"/>
      <c r="K86" s="1413"/>
      <c r="L86" s="1412">
        <v>4053757</v>
      </c>
      <c r="M86" s="1413"/>
      <c r="N86" s="1676"/>
    </row>
    <row r="87" spans="1:14" ht="21" customHeight="1">
      <c r="A87" s="1675"/>
      <c r="B87" s="435" t="s">
        <v>572</v>
      </c>
      <c r="C87" s="1417">
        <f>'6.mell.'!H91</f>
        <v>1482144</v>
      </c>
      <c r="D87" s="1417"/>
      <c r="E87" s="1421"/>
      <c r="F87" s="1421"/>
      <c r="G87" s="1421"/>
      <c r="H87" s="1421"/>
      <c r="I87" s="1421"/>
      <c r="J87" s="1421"/>
      <c r="K87" s="1421"/>
      <c r="L87" s="1421">
        <v>909129</v>
      </c>
      <c r="M87" s="1421"/>
      <c r="N87" s="1673"/>
    </row>
    <row r="88" spans="1:14" ht="21" customHeight="1">
      <c r="A88" s="1675"/>
      <c r="B88" s="435" t="s">
        <v>573</v>
      </c>
      <c r="C88" s="1417">
        <f>'6.mell.'!H109</f>
        <v>137120</v>
      </c>
      <c r="D88" s="1417"/>
      <c r="E88" s="1421"/>
      <c r="F88" s="1421"/>
      <c r="G88" s="1421"/>
      <c r="H88" s="1421"/>
      <c r="I88" s="1421"/>
      <c r="J88" s="1421"/>
      <c r="K88" s="1421"/>
      <c r="L88" s="1421">
        <v>27233</v>
      </c>
      <c r="M88" s="1421"/>
      <c r="N88" s="1673"/>
    </row>
    <row r="89" spans="1:14" ht="21" customHeight="1">
      <c r="A89" s="1675"/>
      <c r="B89" s="438" t="s">
        <v>574</v>
      </c>
      <c r="C89" s="1417">
        <f>'6.mell.'!H117</f>
        <v>28569</v>
      </c>
      <c r="D89" s="1417"/>
      <c r="E89" s="1421"/>
      <c r="F89" s="1421"/>
      <c r="G89" s="1421"/>
      <c r="H89" s="1421"/>
      <c r="I89" s="1421"/>
      <c r="J89" s="1421"/>
      <c r="K89" s="1421"/>
      <c r="L89" s="1421">
        <v>4216</v>
      </c>
      <c r="M89" s="1421"/>
      <c r="N89" s="1673"/>
    </row>
    <row r="90" spans="1:14" ht="21" customHeight="1">
      <c r="A90" s="1675"/>
      <c r="B90" s="438" t="s">
        <v>575</v>
      </c>
      <c r="C90" s="1417">
        <f>'6.mell.'!H134</f>
        <v>9081</v>
      </c>
      <c r="D90" s="1417"/>
      <c r="E90" s="1421"/>
      <c r="F90" s="1421"/>
      <c r="G90" s="1421"/>
      <c r="H90" s="1421"/>
      <c r="I90" s="1421"/>
      <c r="J90" s="1421"/>
      <c r="K90" s="1421"/>
      <c r="L90" s="1421">
        <v>756</v>
      </c>
      <c r="M90" s="1421"/>
      <c r="N90" s="1673"/>
    </row>
    <row r="91" spans="1:14" ht="21" customHeight="1">
      <c r="A91" s="1675"/>
      <c r="B91" s="438" t="s">
        <v>576</v>
      </c>
      <c r="C91" s="1417">
        <f>'6.mell.'!H142</f>
        <v>2343</v>
      </c>
      <c r="D91" s="1417"/>
      <c r="E91" s="1421"/>
      <c r="F91" s="1421"/>
      <c r="G91" s="1421"/>
      <c r="H91" s="1421"/>
      <c r="I91" s="1421"/>
      <c r="J91" s="1421"/>
      <c r="K91" s="1421"/>
      <c r="L91" s="1421">
        <v>540</v>
      </c>
      <c r="M91" s="1421"/>
      <c r="N91" s="1673"/>
    </row>
    <row r="92" spans="1:14" ht="21" customHeight="1">
      <c r="A92" s="1675"/>
      <c r="B92" s="438" t="s">
        <v>577</v>
      </c>
      <c r="C92" s="1417">
        <f>'6.mell.'!H150</f>
        <v>9720</v>
      </c>
      <c r="D92" s="1417"/>
      <c r="E92" s="1421"/>
      <c r="F92" s="1421"/>
      <c r="G92" s="1421"/>
      <c r="H92" s="1421"/>
      <c r="I92" s="1421"/>
      <c r="J92" s="1421"/>
      <c r="K92" s="1421"/>
      <c r="L92" s="1421">
        <v>1401</v>
      </c>
      <c r="M92" s="1421"/>
      <c r="N92" s="1673"/>
    </row>
    <row r="93" spans="1:14" ht="21" customHeight="1">
      <c r="A93" s="1675"/>
      <c r="B93" s="438" t="s">
        <v>578</v>
      </c>
      <c r="C93" s="1417">
        <f>'6.mell.'!H158</f>
        <v>5000</v>
      </c>
      <c r="D93" s="1417"/>
      <c r="E93" s="1421"/>
      <c r="F93" s="1421"/>
      <c r="G93" s="1421"/>
      <c r="H93" s="1421"/>
      <c r="I93" s="1421"/>
      <c r="J93" s="1421"/>
      <c r="K93" s="1421"/>
      <c r="L93" s="1421"/>
      <c r="M93" s="1421"/>
      <c r="N93" s="1673"/>
    </row>
    <row r="94" spans="1:14" ht="21" customHeight="1">
      <c r="A94" s="1675"/>
      <c r="B94" s="438" t="s">
        <v>830</v>
      </c>
      <c r="C94" s="1417">
        <f>'6.mell.'!H166</f>
        <v>0</v>
      </c>
      <c r="D94" s="1417"/>
      <c r="E94" s="1421"/>
      <c r="F94" s="1421"/>
      <c r="G94" s="1421"/>
      <c r="H94" s="1421"/>
      <c r="I94" s="1421"/>
      <c r="J94" s="1421"/>
      <c r="K94" s="1421"/>
      <c r="L94" s="1421"/>
      <c r="M94" s="1421"/>
      <c r="N94" s="1673"/>
    </row>
    <row r="95" spans="1:14" ht="21" customHeight="1">
      <c r="A95" s="1675"/>
      <c r="B95" s="438" t="s">
        <v>579</v>
      </c>
      <c r="C95" s="1417">
        <f>'6.mell.'!H348</f>
        <v>669532</v>
      </c>
      <c r="D95" s="1417"/>
      <c r="E95" s="1421"/>
      <c r="F95" s="1421"/>
      <c r="G95" s="1421"/>
      <c r="H95" s="1421"/>
      <c r="I95" s="1421"/>
      <c r="J95" s="1421"/>
      <c r="K95" s="1421"/>
      <c r="L95" s="1421">
        <v>19995</v>
      </c>
      <c r="M95" s="1421"/>
      <c r="N95" s="1673"/>
    </row>
    <row r="96" spans="1:14" ht="21" customHeight="1">
      <c r="A96" s="1675"/>
      <c r="B96" s="438" t="s">
        <v>809</v>
      </c>
      <c r="C96" s="1417">
        <f>'8.mell.'!H33</f>
        <v>0</v>
      </c>
      <c r="D96" s="1417"/>
      <c r="E96" s="1421"/>
      <c r="F96" s="1421"/>
      <c r="G96" s="1421"/>
      <c r="H96" s="1421"/>
      <c r="I96" s="1421"/>
      <c r="J96" s="1421"/>
      <c r="K96" s="1421"/>
      <c r="L96" s="1421"/>
      <c r="M96" s="1421"/>
      <c r="N96" s="1673"/>
    </row>
    <row r="97" spans="1:14" ht="21" customHeight="1">
      <c r="A97" s="1675"/>
      <c r="B97" s="438" t="s">
        <v>898</v>
      </c>
      <c r="C97" s="1417">
        <v>0</v>
      </c>
      <c r="D97" s="1417"/>
      <c r="E97" s="1421"/>
      <c r="F97" s="1421"/>
      <c r="G97" s="1421"/>
      <c r="H97" s="1421"/>
      <c r="I97" s="1421"/>
      <c r="J97" s="1421"/>
      <c r="K97" s="1421"/>
      <c r="L97" s="1421"/>
      <c r="M97" s="1421"/>
      <c r="N97" s="1673"/>
    </row>
    <row r="98" spans="1:14" ht="21" customHeight="1">
      <c r="A98" s="1675"/>
      <c r="B98" s="438" t="s">
        <v>899</v>
      </c>
      <c r="C98" s="1417">
        <v>0</v>
      </c>
      <c r="D98" s="1417"/>
      <c r="E98" s="1421"/>
      <c r="F98" s="1421"/>
      <c r="G98" s="1421"/>
      <c r="H98" s="1421"/>
      <c r="I98" s="1421"/>
      <c r="J98" s="1421"/>
      <c r="K98" s="1421"/>
      <c r="L98" s="1421"/>
      <c r="M98" s="1421"/>
      <c r="N98" s="1673"/>
    </row>
    <row r="99" spans="1:14" ht="21" customHeight="1">
      <c r="A99" s="1675"/>
      <c r="B99" s="438" t="s">
        <v>902</v>
      </c>
      <c r="C99" s="1417">
        <f>'8.mell.'!H38</f>
        <v>0</v>
      </c>
      <c r="D99" s="1417"/>
      <c r="E99" s="1421"/>
      <c r="F99" s="1421"/>
      <c r="G99" s="1421"/>
      <c r="H99" s="1421"/>
      <c r="I99" s="1421"/>
      <c r="J99" s="1421"/>
      <c r="K99" s="1421"/>
      <c r="L99" s="1421">
        <v>5214</v>
      </c>
      <c r="M99" s="1421"/>
      <c r="N99" s="1673"/>
    </row>
    <row r="100" spans="1:14" ht="21" customHeight="1">
      <c r="A100" s="1675"/>
      <c r="B100" s="438" t="s">
        <v>900</v>
      </c>
      <c r="C100" s="1417">
        <f>'8.mell.'!H39</f>
        <v>0</v>
      </c>
      <c r="D100" s="1417"/>
      <c r="E100" s="1421"/>
      <c r="F100" s="1421"/>
      <c r="G100" s="1421"/>
      <c r="H100" s="1421"/>
      <c r="I100" s="1421"/>
      <c r="J100" s="1421"/>
      <c r="K100" s="1421"/>
      <c r="L100" s="1421"/>
      <c r="M100" s="1421"/>
      <c r="N100" s="1673"/>
    </row>
    <row r="101" spans="1:14" ht="21" customHeight="1">
      <c r="A101" s="1675"/>
      <c r="B101" s="435" t="s">
        <v>724</v>
      </c>
      <c r="C101" s="1417">
        <f>'8.mell.'!H40</f>
        <v>140721</v>
      </c>
      <c r="D101" s="1417"/>
      <c r="E101" s="1421"/>
      <c r="F101" s="1421"/>
      <c r="G101" s="1421"/>
      <c r="H101" s="1421"/>
      <c r="I101" s="1421"/>
      <c r="J101" s="1421"/>
      <c r="K101" s="1421"/>
      <c r="L101" s="1421">
        <v>30901</v>
      </c>
      <c r="M101" s="1421"/>
      <c r="N101" s="1673"/>
    </row>
    <row r="102" spans="1:14" ht="21" customHeight="1">
      <c r="A102" s="1675"/>
      <c r="B102" s="435" t="s">
        <v>901</v>
      </c>
      <c r="C102" s="1417">
        <f>'8.mell.'!H44</f>
        <v>0</v>
      </c>
      <c r="D102" s="1417"/>
      <c r="E102" s="1421"/>
      <c r="F102" s="1421"/>
      <c r="G102" s="1421"/>
      <c r="H102" s="1421"/>
      <c r="I102" s="1421"/>
      <c r="J102" s="1421"/>
      <c r="K102" s="1421"/>
      <c r="L102" s="1421"/>
      <c r="M102" s="1421"/>
      <c r="N102" s="1673"/>
    </row>
    <row r="103" spans="1:14" ht="21" customHeight="1">
      <c r="A103" s="1675"/>
      <c r="B103" s="435" t="s">
        <v>774</v>
      </c>
      <c r="C103" s="1417">
        <f>'8.mell.'!H45</f>
        <v>0</v>
      </c>
      <c r="D103" s="1417"/>
      <c r="E103" s="1421"/>
      <c r="F103" s="1421"/>
      <c r="G103" s="1421"/>
      <c r="H103" s="1421"/>
      <c r="I103" s="1421"/>
      <c r="J103" s="1421"/>
      <c r="K103" s="1421"/>
      <c r="L103" s="1421"/>
      <c r="M103" s="1421"/>
      <c r="N103" s="1673"/>
    </row>
    <row r="104" spans="1:14" ht="21" customHeight="1">
      <c r="A104" s="1675"/>
      <c r="B104" s="435" t="s">
        <v>580</v>
      </c>
      <c r="C104" s="1417">
        <f>'8.mell.'!H68</f>
        <v>15827</v>
      </c>
      <c r="D104" s="1417"/>
      <c r="E104" s="1421"/>
      <c r="F104" s="1421"/>
      <c r="G104" s="1421"/>
      <c r="H104" s="1421"/>
      <c r="I104" s="1421"/>
      <c r="J104" s="1421"/>
      <c r="K104" s="1421"/>
      <c r="L104" s="1421">
        <v>533</v>
      </c>
      <c r="M104" s="1421"/>
      <c r="N104" s="1673"/>
    </row>
    <row r="105" spans="1:14" ht="21" customHeight="1">
      <c r="A105" s="1675"/>
      <c r="B105" s="435" t="s">
        <v>581</v>
      </c>
      <c r="C105" s="1417">
        <f>'8.mell.'!H73</f>
        <v>0</v>
      </c>
      <c r="D105" s="1417"/>
      <c r="E105" s="1421"/>
      <c r="F105" s="1421"/>
      <c r="G105" s="1421"/>
      <c r="H105" s="1421"/>
      <c r="I105" s="1421"/>
      <c r="J105" s="1421"/>
      <c r="K105" s="1421"/>
      <c r="L105" s="1421"/>
      <c r="M105" s="1421"/>
      <c r="N105" s="1673"/>
    </row>
    <row r="106" spans="1:14" ht="21" customHeight="1">
      <c r="A106" s="1675"/>
      <c r="B106" s="435" t="s">
        <v>1057</v>
      </c>
      <c r="C106" s="1417">
        <f>'8.mell.'!H74</f>
        <v>0</v>
      </c>
      <c r="D106" s="1417"/>
      <c r="E106" s="1421"/>
      <c r="F106" s="1421"/>
      <c r="G106" s="1421"/>
      <c r="H106" s="1421"/>
      <c r="I106" s="1421"/>
      <c r="J106" s="1421"/>
      <c r="K106" s="1421"/>
      <c r="L106" s="1421">
        <v>270000</v>
      </c>
      <c r="M106" s="1421"/>
      <c r="N106" s="1673"/>
    </row>
    <row r="107" spans="1:14" ht="21" customHeight="1">
      <c r="A107" s="1675"/>
      <c r="B107" s="435" t="s">
        <v>878</v>
      </c>
      <c r="C107" s="1417">
        <f>'8.mell.'!H46</f>
        <v>0</v>
      </c>
      <c r="D107" s="1417"/>
      <c r="E107" s="1421"/>
      <c r="F107" s="1421"/>
      <c r="G107" s="1421"/>
      <c r="H107" s="1421"/>
      <c r="I107" s="1421"/>
      <c r="J107" s="1421"/>
      <c r="K107" s="1421"/>
      <c r="L107" s="1421"/>
      <c r="M107" s="1421"/>
      <c r="N107" s="1673"/>
    </row>
    <row r="108" spans="1:14" ht="21" customHeight="1">
      <c r="A108" s="1675"/>
      <c r="B108" s="435" t="s">
        <v>877</v>
      </c>
      <c r="C108" s="1417">
        <f>'8.mell.'!H47</f>
        <v>0</v>
      </c>
      <c r="D108" s="1417"/>
      <c r="E108" s="1421"/>
      <c r="F108" s="1421"/>
      <c r="G108" s="1421"/>
      <c r="H108" s="1421"/>
      <c r="I108" s="1421"/>
      <c r="J108" s="1421"/>
      <c r="K108" s="1421"/>
      <c r="L108" s="1421"/>
      <c r="M108" s="1421"/>
      <c r="N108" s="1673"/>
    </row>
    <row r="109" spans="1:14" ht="21" customHeight="1">
      <c r="A109" s="1675"/>
      <c r="B109" s="435" t="s">
        <v>876</v>
      </c>
      <c r="C109" s="1417">
        <f>'8.mell.'!H48</f>
        <v>21844</v>
      </c>
      <c r="D109" s="1417"/>
      <c r="E109" s="1421"/>
      <c r="F109" s="1421"/>
      <c r="G109" s="1421"/>
      <c r="H109" s="1421"/>
      <c r="I109" s="1421"/>
      <c r="J109" s="1421"/>
      <c r="K109" s="1421"/>
      <c r="L109" s="1421"/>
      <c r="M109" s="1421"/>
      <c r="N109" s="1673"/>
    </row>
    <row r="110" spans="1:14" ht="21" customHeight="1">
      <c r="A110" s="1675"/>
      <c r="B110" s="435" t="s">
        <v>882</v>
      </c>
      <c r="C110" s="1417">
        <f>'8.mell.'!H51</f>
        <v>234950</v>
      </c>
      <c r="D110" s="1417"/>
      <c r="E110" s="1421"/>
      <c r="F110" s="1421"/>
      <c r="G110" s="1421"/>
      <c r="H110" s="1421"/>
      <c r="I110" s="1421"/>
      <c r="J110" s="1421"/>
      <c r="K110" s="1421"/>
      <c r="L110" s="1421">
        <v>329477</v>
      </c>
      <c r="M110" s="1421"/>
      <c r="N110" s="1673"/>
    </row>
    <row r="111" spans="1:14" ht="21" customHeight="1">
      <c r="A111" s="1675"/>
      <c r="B111" s="435" t="s">
        <v>851</v>
      </c>
      <c r="C111" s="1417">
        <f>'8.mell.'!H52</f>
        <v>770884</v>
      </c>
      <c r="D111" s="1417"/>
      <c r="E111" s="1421"/>
      <c r="F111" s="1421"/>
      <c r="G111" s="1421"/>
      <c r="H111" s="1421"/>
      <c r="I111" s="1421"/>
      <c r="J111" s="1421"/>
      <c r="K111" s="1421"/>
      <c r="L111" s="1421">
        <v>799162</v>
      </c>
      <c r="M111" s="1421"/>
      <c r="N111" s="1673"/>
    </row>
    <row r="112" spans="1:14" ht="21" customHeight="1">
      <c r="A112" s="1675"/>
      <c r="B112" s="435" t="s">
        <v>893</v>
      </c>
      <c r="C112" s="1417">
        <f>'8.mell.'!H55</f>
        <v>66954</v>
      </c>
      <c r="D112" s="1417"/>
      <c r="E112" s="1421"/>
      <c r="F112" s="1421"/>
      <c r="G112" s="1421"/>
      <c r="H112" s="1421"/>
      <c r="I112" s="1421"/>
      <c r="J112" s="1421"/>
      <c r="K112" s="1421"/>
      <c r="L112" s="1421">
        <v>62167</v>
      </c>
      <c r="M112" s="1421"/>
      <c r="N112" s="1673"/>
    </row>
    <row r="113" spans="1:14" ht="21" customHeight="1">
      <c r="A113" s="1675"/>
      <c r="B113" s="435" t="s">
        <v>911</v>
      </c>
      <c r="C113" s="1417">
        <f>'8.mell.'!H56</f>
        <v>7778</v>
      </c>
      <c r="D113" s="1417"/>
      <c r="E113" s="1421"/>
      <c r="F113" s="1421"/>
      <c r="G113" s="1421"/>
      <c r="H113" s="1421"/>
      <c r="I113" s="1421"/>
      <c r="J113" s="1421"/>
      <c r="K113" s="1421"/>
      <c r="L113" s="1421">
        <v>6000</v>
      </c>
      <c r="M113" s="1421"/>
      <c r="N113" s="1673"/>
    </row>
    <row r="114" spans="1:14" ht="21" customHeight="1">
      <c r="A114" s="1675"/>
      <c r="B114" s="435" t="s">
        <v>910</v>
      </c>
      <c r="C114" s="1417">
        <f>'8.mell.'!H60</f>
        <v>4065</v>
      </c>
      <c r="D114" s="1417"/>
      <c r="E114" s="1421"/>
      <c r="F114" s="1421"/>
      <c r="G114" s="1421"/>
      <c r="H114" s="1421"/>
      <c r="I114" s="1421"/>
      <c r="J114" s="1421"/>
      <c r="K114" s="1421"/>
      <c r="L114" s="1421">
        <v>654720</v>
      </c>
      <c r="M114" s="1421"/>
      <c r="N114" s="1673"/>
    </row>
    <row r="115" spans="1:14" ht="21" customHeight="1">
      <c r="A115" s="1675"/>
      <c r="B115" s="435" t="s">
        <v>909</v>
      </c>
      <c r="C115" s="1417">
        <f>'8.mell.'!H63</f>
        <v>10213</v>
      </c>
      <c r="D115" s="1417"/>
      <c r="E115" s="1421"/>
      <c r="F115" s="1421"/>
      <c r="G115" s="1421"/>
      <c r="H115" s="1421"/>
      <c r="I115" s="1421"/>
      <c r="J115" s="1421"/>
      <c r="K115" s="1421"/>
      <c r="L115" s="1421">
        <v>10214</v>
      </c>
      <c r="M115" s="1421"/>
      <c r="N115" s="1673"/>
    </row>
    <row r="116" spans="1:14" ht="21" customHeight="1">
      <c r="A116" s="1675"/>
      <c r="B116" s="435" t="s">
        <v>1011</v>
      </c>
      <c r="C116" s="1417">
        <f>SUM('8.mell.'!H64)</f>
        <v>16764</v>
      </c>
      <c r="D116" s="1417"/>
      <c r="E116" s="1421"/>
      <c r="F116" s="1421"/>
      <c r="G116" s="1421"/>
      <c r="H116" s="1421"/>
      <c r="I116" s="1421"/>
      <c r="J116" s="1421"/>
      <c r="K116" s="1421"/>
      <c r="L116" s="1421"/>
      <c r="M116" s="1421"/>
      <c r="N116" s="1673"/>
    </row>
    <row r="117" spans="1:14" ht="21" customHeight="1">
      <c r="A117" s="1675"/>
      <c r="B117" s="443" t="s">
        <v>1042</v>
      </c>
      <c r="C117" s="1417">
        <f>'8.mell.'!H65</f>
        <v>0</v>
      </c>
      <c r="D117" s="1417"/>
      <c r="E117" s="1421"/>
      <c r="F117" s="1421"/>
      <c r="G117" s="1421"/>
      <c r="H117" s="1421"/>
      <c r="I117" s="1421"/>
      <c r="J117" s="1421"/>
      <c r="K117" s="1421"/>
      <c r="L117" s="1421"/>
      <c r="M117" s="1421"/>
      <c r="N117" s="1673"/>
    </row>
    <row r="118" spans="1:14" ht="21" customHeight="1">
      <c r="A118" s="1675"/>
      <c r="B118" s="443" t="s">
        <v>1059</v>
      </c>
      <c r="C118" s="1417">
        <f>'8.mell.'!H66</f>
        <v>0</v>
      </c>
      <c r="D118" s="1417"/>
      <c r="E118" s="1421"/>
      <c r="F118" s="1421"/>
      <c r="G118" s="1421"/>
      <c r="H118" s="1421"/>
      <c r="I118" s="1421"/>
      <c r="J118" s="1421"/>
      <c r="K118" s="1421"/>
      <c r="L118" s="1421"/>
      <c r="M118" s="1421"/>
      <c r="N118" s="1673"/>
    </row>
    <row r="119" spans="1:14" ht="21" customHeight="1">
      <c r="A119" s="1675"/>
      <c r="B119" s="435" t="s">
        <v>771</v>
      </c>
      <c r="C119" s="1417">
        <f>'8.mell.'!H86</f>
        <v>38926</v>
      </c>
      <c r="D119" s="1417"/>
      <c r="E119" s="1421"/>
      <c r="F119" s="1421"/>
      <c r="G119" s="1421"/>
      <c r="H119" s="1421"/>
      <c r="I119" s="1421"/>
      <c r="J119" s="1421"/>
      <c r="K119" s="1421"/>
      <c r="L119" s="1421">
        <v>49458</v>
      </c>
      <c r="M119" s="1421"/>
      <c r="N119" s="1673"/>
    </row>
    <row r="120" spans="1:14" ht="21" customHeight="1">
      <c r="A120" s="1675"/>
      <c r="B120" s="435" t="s">
        <v>1072</v>
      </c>
      <c r="C120" s="1417">
        <f>'8.mell.'!H89</f>
        <v>2798</v>
      </c>
      <c r="D120" s="1417"/>
      <c r="E120" s="1421"/>
      <c r="F120" s="1421"/>
      <c r="G120" s="1421"/>
      <c r="H120" s="1421"/>
      <c r="I120" s="1421"/>
      <c r="J120" s="1421"/>
      <c r="K120" s="1421"/>
      <c r="L120" s="1421"/>
      <c r="M120" s="1421"/>
      <c r="N120" s="1673"/>
    </row>
    <row r="121" spans="1:14" ht="21" customHeight="1">
      <c r="A121" s="1675"/>
      <c r="B121" s="435" t="s">
        <v>1073</v>
      </c>
      <c r="C121" s="1417">
        <f>'8.mell.'!H92</f>
        <v>2278</v>
      </c>
      <c r="D121" s="1417"/>
      <c r="E121" s="1421"/>
      <c r="F121" s="1421"/>
      <c r="G121" s="1421"/>
      <c r="H121" s="1421"/>
      <c r="I121" s="1421"/>
      <c r="J121" s="1421"/>
      <c r="K121" s="1421"/>
      <c r="L121" s="1421"/>
      <c r="M121" s="1421"/>
      <c r="N121" s="1673"/>
    </row>
    <row r="122" spans="1:14" ht="21" customHeight="1">
      <c r="A122" s="1675"/>
      <c r="B122" s="435" t="s">
        <v>1074</v>
      </c>
      <c r="C122" s="1417">
        <f>'8.mell.'!H53</f>
        <v>0</v>
      </c>
      <c r="D122" s="1417"/>
      <c r="E122" s="1421"/>
      <c r="F122" s="1421"/>
      <c r="G122" s="1421"/>
      <c r="H122" s="1421"/>
      <c r="I122" s="1421"/>
      <c r="J122" s="1421"/>
      <c r="K122" s="1421"/>
      <c r="L122" s="1421"/>
      <c r="M122" s="1421"/>
      <c r="N122" s="1673"/>
    </row>
    <row r="123" spans="1:14" ht="21" customHeight="1">
      <c r="A123" s="1675"/>
      <c r="B123" s="435" t="s">
        <v>881</v>
      </c>
      <c r="C123" s="1417">
        <f>'8.mell.'!H54</f>
        <v>0</v>
      </c>
      <c r="D123" s="1417"/>
      <c r="E123" s="1421"/>
      <c r="F123" s="1421"/>
      <c r="G123" s="1421"/>
      <c r="H123" s="1421"/>
      <c r="I123" s="1421"/>
      <c r="J123" s="1421"/>
      <c r="K123" s="1421"/>
      <c r="L123" s="1421"/>
      <c r="M123" s="1421"/>
      <c r="N123" s="1673"/>
    </row>
    <row r="124" spans="1:14" ht="21" customHeight="1">
      <c r="A124" s="1672" t="s">
        <v>460</v>
      </c>
      <c r="B124" s="440" t="s">
        <v>582</v>
      </c>
      <c r="C124" s="1412">
        <v>0</v>
      </c>
      <c r="D124" s="1412">
        <f>SUM(E124:M124)</f>
        <v>0</v>
      </c>
      <c r="E124" s="1421"/>
      <c r="F124" s="1421"/>
      <c r="G124" s="1421"/>
      <c r="H124" s="1421"/>
      <c r="I124" s="1421"/>
      <c r="J124" s="1421"/>
      <c r="K124" s="1421"/>
      <c r="L124" s="1421"/>
      <c r="M124" s="1421"/>
      <c r="N124" s="1673"/>
    </row>
    <row r="125" spans="1:14" ht="21" customHeight="1">
      <c r="A125" s="1672" t="s">
        <v>462</v>
      </c>
      <c r="B125" s="440" t="s">
        <v>583</v>
      </c>
      <c r="C125" s="1412">
        <v>0</v>
      </c>
      <c r="D125" s="1412">
        <f>SUM(E125:M125)</f>
        <v>0</v>
      </c>
      <c r="E125" s="1421"/>
      <c r="F125" s="1421"/>
      <c r="G125" s="1421"/>
      <c r="H125" s="1421"/>
      <c r="I125" s="1421"/>
      <c r="J125" s="1421"/>
      <c r="K125" s="1421"/>
      <c r="L125" s="1421"/>
      <c r="M125" s="1421"/>
      <c r="N125" s="1673"/>
    </row>
    <row r="126" spans="1:14" ht="21" customHeight="1">
      <c r="A126" s="1672" t="s">
        <v>464</v>
      </c>
      <c r="B126" s="440" t="s">
        <v>584</v>
      </c>
      <c r="C126" s="1412">
        <f>SUM(C127:C134)</f>
        <v>38648</v>
      </c>
      <c r="D126" s="1412">
        <f>SUM(E126:M126)</f>
        <v>38648</v>
      </c>
      <c r="E126" s="1421"/>
      <c r="F126" s="1413">
        <v>32087</v>
      </c>
      <c r="G126" s="1413"/>
      <c r="H126" s="1413"/>
      <c r="I126" s="1421"/>
      <c r="J126" s="1421"/>
      <c r="K126" s="1421"/>
      <c r="L126" s="1412">
        <v>6561</v>
      </c>
      <c r="M126" s="1421"/>
      <c r="N126" s="1673"/>
    </row>
    <row r="127" spans="1:14" ht="21" customHeight="1">
      <c r="A127" s="1672"/>
      <c r="B127" s="435" t="s">
        <v>585</v>
      </c>
      <c r="C127" s="1417">
        <f>'6.mell.'!H184</f>
        <v>4177</v>
      </c>
      <c r="D127" s="1417"/>
      <c r="E127" s="1421"/>
      <c r="F127" s="1421"/>
      <c r="G127" s="1421"/>
      <c r="H127" s="1413"/>
      <c r="I127" s="1421"/>
      <c r="J127" s="1421"/>
      <c r="K127" s="1421"/>
      <c r="L127" s="1421">
        <v>944</v>
      </c>
      <c r="M127" s="1421"/>
      <c r="N127" s="1673"/>
    </row>
    <row r="128" spans="1:14" ht="21" customHeight="1">
      <c r="A128" s="1672"/>
      <c r="B128" s="435" t="s">
        <v>586</v>
      </c>
      <c r="C128" s="1417">
        <f>'6.mell.'!H192</f>
        <v>1197</v>
      </c>
      <c r="D128" s="1417"/>
      <c r="E128" s="1421"/>
      <c r="F128" s="1421"/>
      <c r="G128" s="1421"/>
      <c r="H128" s="1413"/>
      <c r="I128" s="1421"/>
      <c r="J128" s="1421"/>
      <c r="K128" s="1421"/>
      <c r="L128" s="1421"/>
      <c r="M128" s="1421"/>
      <c r="N128" s="1673"/>
    </row>
    <row r="129" spans="1:14" ht="21" customHeight="1">
      <c r="A129" s="1672"/>
      <c r="B129" s="435" t="s">
        <v>587</v>
      </c>
      <c r="C129" s="1417">
        <f>'6.mell.'!H209</f>
        <v>2727</v>
      </c>
      <c r="D129" s="1417"/>
      <c r="E129" s="1421"/>
      <c r="F129" s="1421"/>
      <c r="G129" s="1421"/>
      <c r="H129" s="1413"/>
      <c r="I129" s="1421"/>
      <c r="J129" s="1421"/>
      <c r="K129" s="1421"/>
      <c r="L129" s="1421">
        <v>527</v>
      </c>
      <c r="M129" s="1421"/>
      <c r="N129" s="1673"/>
    </row>
    <row r="130" spans="1:14" ht="21" customHeight="1">
      <c r="A130" s="1672"/>
      <c r="B130" s="435" t="s">
        <v>588</v>
      </c>
      <c r="C130" s="1417">
        <f>'6.mell.'!H200</f>
        <v>6638</v>
      </c>
      <c r="D130" s="1417"/>
      <c r="E130" s="1421"/>
      <c r="F130" s="1421"/>
      <c r="G130" s="1421"/>
      <c r="H130" s="1421"/>
      <c r="I130" s="1421"/>
      <c r="J130" s="1421"/>
      <c r="K130" s="1421"/>
      <c r="L130" s="1421">
        <v>680</v>
      </c>
      <c r="M130" s="1421"/>
      <c r="N130" s="1673"/>
    </row>
    <row r="131" spans="1:14" ht="21" customHeight="1">
      <c r="A131" s="1672"/>
      <c r="B131" s="435" t="s">
        <v>589</v>
      </c>
      <c r="C131" s="1417">
        <f>'6.mell.'!H723</f>
        <v>670</v>
      </c>
      <c r="D131" s="1417"/>
      <c r="E131" s="1421"/>
      <c r="F131" s="1421"/>
      <c r="G131" s="1421"/>
      <c r="H131" s="1421"/>
      <c r="I131" s="1421"/>
      <c r="J131" s="1421"/>
      <c r="K131" s="1421"/>
      <c r="L131" s="1421">
        <v>670</v>
      </c>
      <c r="M131" s="1421"/>
      <c r="N131" s="1673"/>
    </row>
    <row r="132" spans="1:14" ht="21" customHeight="1">
      <c r="A132" s="1672"/>
      <c r="B132" s="435" t="s">
        <v>590</v>
      </c>
      <c r="C132" s="1417">
        <f>'6.mell.'!H761</f>
        <v>22593</v>
      </c>
      <c r="D132" s="1417"/>
      <c r="E132" s="1421"/>
      <c r="F132" s="1421"/>
      <c r="G132" s="1421"/>
      <c r="H132" s="1421"/>
      <c r="I132" s="1421"/>
      <c r="J132" s="1421"/>
      <c r="K132" s="1421"/>
      <c r="L132" s="1421">
        <v>3232</v>
      </c>
      <c r="M132" s="1421"/>
      <c r="N132" s="1673"/>
    </row>
    <row r="133" spans="1:14" ht="21" customHeight="1">
      <c r="A133" s="1672"/>
      <c r="B133" s="435" t="s">
        <v>591</v>
      </c>
      <c r="C133" s="1417">
        <f>'6.mell.'!H770</f>
        <v>646</v>
      </c>
      <c r="D133" s="1417"/>
      <c r="E133" s="1421"/>
      <c r="F133" s="1421"/>
      <c r="G133" s="1421"/>
      <c r="H133" s="1421"/>
      <c r="I133" s="1421"/>
      <c r="J133" s="1421"/>
      <c r="K133" s="1421"/>
      <c r="L133" s="1421">
        <v>508</v>
      </c>
      <c r="M133" s="1421"/>
      <c r="N133" s="1673"/>
    </row>
    <row r="134" spans="1:14" ht="21" customHeight="1">
      <c r="A134" s="1672"/>
      <c r="B134" s="435" t="s">
        <v>592</v>
      </c>
      <c r="C134" s="1417">
        <v>0</v>
      </c>
      <c r="D134" s="1417"/>
      <c r="E134" s="1421"/>
      <c r="F134" s="1421"/>
      <c r="G134" s="1421"/>
      <c r="H134" s="1421"/>
      <c r="I134" s="1421"/>
      <c r="J134" s="1421"/>
      <c r="K134" s="1421"/>
      <c r="L134" s="1421"/>
      <c r="M134" s="1421"/>
      <c r="N134" s="1673"/>
    </row>
    <row r="135" spans="1:14" ht="21" customHeight="1">
      <c r="A135" s="1672" t="s">
        <v>466</v>
      </c>
      <c r="B135" s="440" t="s">
        <v>593</v>
      </c>
      <c r="C135" s="1412">
        <f>SUM(C136:C137)</f>
        <v>52008</v>
      </c>
      <c r="D135" s="1412">
        <f>SUM(E135:M135)</f>
        <v>52008</v>
      </c>
      <c r="E135" s="1421"/>
      <c r="F135" s="1413">
        <v>21227</v>
      </c>
      <c r="G135" s="1413"/>
      <c r="H135" s="1421"/>
      <c r="I135" s="1421"/>
      <c r="J135" s="1421"/>
      <c r="K135" s="1421"/>
      <c r="L135" s="1412">
        <v>30781</v>
      </c>
      <c r="M135" s="1421"/>
      <c r="N135" s="1673"/>
    </row>
    <row r="136" spans="1:14" ht="21" customHeight="1">
      <c r="A136" s="1672"/>
      <c r="B136" s="435" t="s">
        <v>594</v>
      </c>
      <c r="C136" s="1417">
        <f>'6.mell.'!H263</f>
        <v>32824</v>
      </c>
      <c r="D136" s="1417"/>
      <c r="E136" s="1421"/>
      <c r="F136" s="1421"/>
      <c r="G136" s="1421"/>
      <c r="H136" s="1421"/>
      <c r="I136" s="1421"/>
      <c r="J136" s="1421"/>
      <c r="K136" s="1421"/>
      <c r="L136" s="1421">
        <v>3681</v>
      </c>
      <c r="M136" s="1421"/>
      <c r="N136" s="1673"/>
    </row>
    <row r="137" spans="1:14" ht="21" customHeight="1">
      <c r="A137" s="1672"/>
      <c r="B137" s="435" t="s">
        <v>595</v>
      </c>
      <c r="C137" s="1417">
        <f>'9.mell '!H48</f>
        <v>19184</v>
      </c>
      <c r="D137" s="1417">
        <v>0</v>
      </c>
      <c r="E137" s="1421"/>
      <c r="F137" s="1421"/>
      <c r="G137" s="1421"/>
      <c r="H137" s="1421"/>
      <c r="I137" s="1421"/>
      <c r="J137" s="1421"/>
      <c r="K137" s="1421"/>
      <c r="L137" s="1421">
        <v>27100</v>
      </c>
      <c r="M137" s="1421"/>
      <c r="N137" s="1673"/>
    </row>
    <row r="138" spans="1:14" ht="21" customHeight="1">
      <c r="A138" s="1672" t="s">
        <v>468</v>
      </c>
      <c r="B138" s="440" t="s">
        <v>596</v>
      </c>
      <c r="C138" s="1412">
        <f>SUM(C139:C141)</f>
        <v>8535</v>
      </c>
      <c r="D138" s="1412">
        <f>SUM(E138:M138)</f>
        <v>8535</v>
      </c>
      <c r="E138" s="1413"/>
      <c r="F138" s="1413">
        <v>7227</v>
      </c>
      <c r="G138" s="1413"/>
      <c r="H138" s="1421"/>
      <c r="I138" s="1421"/>
      <c r="J138" s="1421"/>
      <c r="K138" s="1421"/>
      <c r="L138" s="1412">
        <v>1308</v>
      </c>
      <c r="M138" s="1421"/>
      <c r="N138" s="1673"/>
    </row>
    <row r="139" spans="1:14" ht="21" customHeight="1">
      <c r="A139" s="1672"/>
      <c r="B139" s="435" t="s">
        <v>597</v>
      </c>
      <c r="C139" s="1417">
        <f>'6.mell.'!H255</f>
        <v>5304</v>
      </c>
      <c r="D139" s="1417"/>
      <c r="E139" s="1421"/>
      <c r="F139" s="1421"/>
      <c r="G139" s="1421"/>
      <c r="H139" s="1421"/>
      <c r="I139" s="1421"/>
      <c r="J139" s="1421"/>
      <c r="K139" s="1421"/>
      <c r="L139" s="1421"/>
      <c r="M139" s="1421"/>
      <c r="N139" s="1673"/>
    </row>
    <row r="140" spans="1:14" ht="21" customHeight="1">
      <c r="A140" s="1672"/>
      <c r="B140" s="435" t="s">
        <v>598</v>
      </c>
      <c r="C140" s="1417">
        <v>0</v>
      </c>
      <c r="D140" s="1417"/>
      <c r="E140" s="1421"/>
      <c r="F140" s="1421"/>
      <c r="G140" s="1421"/>
      <c r="H140" s="1421"/>
      <c r="I140" s="1421"/>
      <c r="J140" s="1421"/>
      <c r="K140" s="1421"/>
      <c r="L140" s="1421"/>
      <c r="M140" s="1421"/>
      <c r="N140" s="1673"/>
    </row>
    <row r="141" spans="1:14" ht="21" customHeight="1">
      <c r="A141" s="1672"/>
      <c r="B141" s="435" t="s">
        <v>599</v>
      </c>
      <c r="C141" s="1417">
        <f>'6.mell.'!H895</f>
        <v>3231</v>
      </c>
      <c r="D141" s="1417"/>
      <c r="E141" s="1421"/>
      <c r="F141" s="1421"/>
      <c r="G141" s="1421"/>
      <c r="H141" s="1421"/>
      <c r="I141" s="1421"/>
      <c r="J141" s="1421"/>
      <c r="K141" s="1421"/>
      <c r="L141" s="1421">
        <v>1308</v>
      </c>
      <c r="M141" s="1421"/>
      <c r="N141" s="1673"/>
    </row>
    <row r="142" spans="1:14" ht="21" customHeight="1">
      <c r="A142" s="1677"/>
      <c r="B142" s="440" t="s">
        <v>600</v>
      </c>
      <c r="C142" s="1412">
        <f>'6.mell.'!H236</f>
        <v>324706</v>
      </c>
      <c r="D142" s="1412">
        <f>SUM(E142:N142)</f>
        <v>324706</v>
      </c>
      <c r="E142" s="1421"/>
      <c r="F142" s="1413">
        <v>322715</v>
      </c>
      <c r="G142" s="1413"/>
      <c r="H142" s="1421"/>
      <c r="I142" s="1421"/>
      <c r="J142" s="1421"/>
      <c r="K142" s="1421"/>
      <c r="L142" s="1413">
        <v>1991</v>
      </c>
      <c r="M142" s="1421"/>
      <c r="N142" s="1673"/>
    </row>
    <row r="143" spans="1:14" ht="21" customHeight="1">
      <c r="A143" s="1677"/>
      <c r="B143" s="440" t="s">
        <v>601</v>
      </c>
      <c r="C143" s="1412">
        <f>'6.mell.'!H247</f>
        <v>184048</v>
      </c>
      <c r="D143" s="1412">
        <f t="shared" ref="D143:D165" si="0">SUM(E143:N143)</f>
        <v>184048</v>
      </c>
      <c r="E143" s="1413"/>
      <c r="F143" s="1413">
        <v>138852</v>
      </c>
      <c r="G143" s="1413"/>
      <c r="H143" s="1413"/>
      <c r="I143" s="1421"/>
      <c r="J143" s="1421"/>
      <c r="K143" s="1421"/>
      <c r="L143" s="1413">
        <v>45196</v>
      </c>
      <c r="M143" s="1421"/>
      <c r="N143" s="1673"/>
    </row>
    <row r="144" spans="1:14" ht="30.6" customHeight="1">
      <c r="A144" s="1677"/>
      <c r="B144" s="444" t="s">
        <v>602</v>
      </c>
      <c r="C144" s="1412">
        <v>3450657</v>
      </c>
      <c r="D144" s="1412">
        <f t="shared" si="0"/>
        <v>3450657</v>
      </c>
      <c r="E144" s="1413"/>
      <c r="F144" s="1413">
        <v>3097195</v>
      </c>
      <c r="G144" s="1413"/>
      <c r="H144" s="1413"/>
      <c r="I144" s="1421"/>
      <c r="J144" s="1421"/>
      <c r="K144" s="1413"/>
      <c r="L144" s="1413">
        <v>353462</v>
      </c>
      <c r="M144" s="1413"/>
      <c r="N144" s="1678"/>
    </row>
    <row r="145" spans="1:14" ht="24.75" customHeight="1">
      <c r="A145" s="1677"/>
      <c r="B145" s="444" t="s">
        <v>904</v>
      </c>
      <c r="C145" s="1412">
        <f>'5.mell.'!H39</f>
        <v>999</v>
      </c>
      <c r="D145" s="1412">
        <f t="shared" si="0"/>
        <v>999</v>
      </c>
      <c r="E145" s="1413"/>
      <c r="F145" s="1413"/>
      <c r="G145" s="1413"/>
      <c r="H145" s="1413">
        <v>999</v>
      </c>
      <c r="I145" s="1421"/>
      <c r="J145" s="1421"/>
      <c r="K145" s="1413"/>
      <c r="L145" s="1413"/>
      <c r="M145" s="1413"/>
      <c r="N145" s="1678"/>
    </row>
    <row r="146" spans="1:14" ht="21" customHeight="1">
      <c r="A146" s="1677"/>
      <c r="B146" s="440" t="s">
        <v>603</v>
      </c>
      <c r="C146" s="1412">
        <f>'6.mell.'!H299</f>
        <v>12897</v>
      </c>
      <c r="D146" s="1412">
        <f t="shared" si="0"/>
        <v>12897</v>
      </c>
      <c r="E146" s="1421"/>
      <c r="F146" s="1413"/>
      <c r="G146" s="1413">
        <v>8619</v>
      </c>
      <c r="H146" s="1421"/>
      <c r="I146" s="1421"/>
      <c r="J146" s="1421"/>
      <c r="K146" s="1421"/>
      <c r="L146" s="1413">
        <v>4278</v>
      </c>
      <c r="M146" s="1421"/>
      <c r="N146" s="1678"/>
    </row>
    <row r="147" spans="1:14" ht="21" customHeight="1">
      <c r="A147" s="1677"/>
      <c r="B147" s="440" t="s">
        <v>604</v>
      </c>
      <c r="C147" s="1412">
        <f>'6.mell.'!H392</f>
        <v>1965</v>
      </c>
      <c r="D147" s="1412">
        <f t="shared" si="0"/>
        <v>1965</v>
      </c>
      <c r="E147" s="1421"/>
      <c r="F147" s="1413">
        <v>1958</v>
      </c>
      <c r="G147" s="1413"/>
      <c r="H147" s="1413"/>
      <c r="I147" s="1421"/>
      <c r="J147" s="1421"/>
      <c r="K147" s="1421"/>
      <c r="L147" s="1413">
        <v>7</v>
      </c>
      <c r="M147" s="1421"/>
      <c r="N147" s="1678"/>
    </row>
    <row r="148" spans="1:14" ht="21" customHeight="1">
      <c r="A148" s="1677"/>
      <c r="B148" s="440" t="s">
        <v>605</v>
      </c>
      <c r="C148" s="1412">
        <f>'7.mell.'!H15</f>
        <v>204900</v>
      </c>
      <c r="D148" s="1412">
        <f t="shared" si="0"/>
        <v>204900</v>
      </c>
      <c r="E148" s="1421"/>
      <c r="F148" s="1413"/>
      <c r="G148" s="1413">
        <v>204900</v>
      </c>
      <c r="H148" s="1421"/>
      <c r="I148" s="1421"/>
      <c r="J148" s="1421"/>
      <c r="K148" s="1421"/>
      <c r="L148" s="1413"/>
      <c r="M148" s="1421"/>
      <c r="N148" s="1678"/>
    </row>
    <row r="149" spans="1:14" ht="21" customHeight="1">
      <c r="A149" s="1677"/>
      <c r="B149" s="440" t="s">
        <v>732</v>
      </c>
      <c r="C149" s="1412">
        <f>'10.mell. '!H20</f>
        <v>0</v>
      </c>
      <c r="D149" s="1412">
        <f t="shared" si="0"/>
        <v>64000</v>
      </c>
      <c r="E149" s="1421"/>
      <c r="F149" s="1413">
        <v>64000</v>
      </c>
      <c r="G149" s="1413"/>
      <c r="H149" s="1421"/>
      <c r="I149" s="1421"/>
      <c r="J149" s="1421"/>
      <c r="K149" s="1421"/>
      <c r="L149" s="1413"/>
      <c r="M149" s="1421"/>
      <c r="N149" s="1678"/>
    </row>
    <row r="150" spans="1:14" ht="21" customHeight="1">
      <c r="A150" s="1677"/>
      <c r="B150" s="440" t="s">
        <v>816</v>
      </c>
      <c r="C150" s="1412">
        <f>'10.mell. '!H12</f>
        <v>0</v>
      </c>
      <c r="D150" s="1412">
        <f t="shared" si="0"/>
        <v>635920</v>
      </c>
      <c r="E150" s="1421"/>
      <c r="F150" s="1413">
        <v>631584</v>
      </c>
      <c r="G150" s="1413"/>
      <c r="H150" s="1413"/>
      <c r="I150" s="1421"/>
      <c r="J150" s="1413"/>
      <c r="K150" s="1421"/>
      <c r="L150" s="1413">
        <v>4336</v>
      </c>
      <c r="M150" s="1421"/>
      <c r="N150" s="1678"/>
    </row>
    <row r="151" spans="1:14" ht="21" customHeight="1">
      <c r="A151" s="1677"/>
      <c r="B151" s="440" t="s">
        <v>606</v>
      </c>
      <c r="C151" s="1412">
        <f>'3.mell.'!H62</f>
        <v>113787</v>
      </c>
      <c r="D151" s="1412">
        <f t="shared" si="0"/>
        <v>113787</v>
      </c>
      <c r="E151" s="1421"/>
      <c r="F151" s="1413"/>
      <c r="G151" s="1413">
        <v>113473</v>
      </c>
      <c r="H151" s="1421"/>
      <c r="I151" s="1421"/>
      <c r="J151" s="1421"/>
      <c r="K151" s="1421"/>
      <c r="L151" s="1413">
        <v>314</v>
      </c>
      <c r="M151" s="1421"/>
      <c r="N151" s="1678"/>
    </row>
    <row r="152" spans="1:14" ht="21" customHeight="1">
      <c r="A152" s="1677"/>
      <c r="B152" s="440" t="s">
        <v>607</v>
      </c>
      <c r="C152" s="1412">
        <f>'3.mell.'!H64</f>
        <v>17631</v>
      </c>
      <c r="D152" s="1412">
        <f t="shared" si="0"/>
        <v>17631</v>
      </c>
      <c r="E152" s="1421"/>
      <c r="F152" s="1413">
        <v>17631</v>
      </c>
      <c r="G152" s="1413"/>
      <c r="H152" s="1421"/>
      <c r="I152" s="1421"/>
      <c r="J152" s="1421"/>
      <c r="K152" s="1421"/>
      <c r="L152" s="1413"/>
      <c r="M152" s="1421"/>
      <c r="N152" s="1678"/>
    </row>
    <row r="153" spans="1:14" ht="21" customHeight="1">
      <c r="A153" s="1677"/>
      <c r="B153" s="440" t="s">
        <v>608</v>
      </c>
      <c r="C153" s="1412">
        <f>'3.mell.'!H66</f>
        <v>2745389</v>
      </c>
      <c r="D153" s="1412">
        <f t="shared" si="0"/>
        <v>2745389</v>
      </c>
      <c r="E153" s="1413"/>
      <c r="F153" s="1413">
        <v>2745389</v>
      </c>
      <c r="G153" s="1413"/>
      <c r="H153" s="1421"/>
      <c r="I153" s="1421"/>
      <c r="J153" s="1421"/>
      <c r="K153" s="1421"/>
      <c r="L153" s="1413"/>
      <c r="M153" s="1421"/>
      <c r="N153" s="1678"/>
    </row>
    <row r="154" spans="1:14" ht="15">
      <c r="A154" s="1677"/>
      <c r="B154" s="440" t="s">
        <v>609</v>
      </c>
      <c r="C154" s="1412">
        <f>'3.mell.'!H68</f>
        <v>986816</v>
      </c>
      <c r="D154" s="1412">
        <f t="shared" ref="D154:D159" si="1">SUM(E154:N154)</f>
        <v>986816</v>
      </c>
      <c r="E154" s="1421"/>
      <c r="F154" s="1413"/>
      <c r="G154" s="1413">
        <v>986816</v>
      </c>
      <c r="H154" s="1421"/>
      <c r="I154" s="1421"/>
      <c r="J154" s="1421"/>
      <c r="K154" s="1421"/>
      <c r="L154" s="1413"/>
      <c r="M154" s="1413">
        <v>0</v>
      </c>
      <c r="N154" s="1678"/>
    </row>
    <row r="155" spans="1:14" ht="15">
      <c r="A155" s="1677"/>
      <c r="B155" s="440" t="s">
        <v>973</v>
      </c>
      <c r="C155" s="1412">
        <f>'3.mell.'!H70</f>
        <v>0</v>
      </c>
      <c r="D155" s="1412">
        <f t="shared" si="1"/>
        <v>0</v>
      </c>
      <c r="E155" s="1413"/>
      <c r="F155" s="1413"/>
      <c r="G155" s="1413"/>
      <c r="H155" s="1421"/>
      <c r="I155" s="1421"/>
      <c r="J155" s="1421"/>
      <c r="K155" s="1421"/>
      <c r="L155" s="1413"/>
      <c r="M155" s="1413"/>
      <c r="N155" s="1678"/>
    </row>
    <row r="156" spans="1:14" ht="15">
      <c r="A156" s="1677"/>
      <c r="B156" s="440" t="s">
        <v>972</v>
      </c>
      <c r="C156" s="1412">
        <f>'3.mell.'!H72</f>
        <v>0</v>
      </c>
      <c r="D156" s="1412">
        <f t="shared" si="1"/>
        <v>0</v>
      </c>
      <c r="E156" s="1413"/>
      <c r="F156" s="1413"/>
      <c r="G156" s="1413"/>
      <c r="H156" s="1421"/>
      <c r="I156" s="1421"/>
      <c r="J156" s="1421"/>
      <c r="K156" s="1421"/>
      <c r="L156" s="1413"/>
      <c r="M156" s="1413"/>
      <c r="N156" s="1678"/>
    </row>
    <row r="157" spans="1:14" ht="15">
      <c r="A157" s="1677"/>
      <c r="B157" s="440" t="s">
        <v>926</v>
      </c>
      <c r="C157" s="1412">
        <f>'3.mell.'!H75</f>
        <v>0</v>
      </c>
      <c r="D157" s="1412">
        <f t="shared" si="1"/>
        <v>0</v>
      </c>
      <c r="E157" s="1421"/>
      <c r="F157" s="1413"/>
      <c r="G157" s="1413"/>
      <c r="H157" s="1421"/>
      <c r="I157" s="1421"/>
      <c r="J157" s="1421"/>
      <c r="K157" s="1421"/>
      <c r="L157" s="1413"/>
      <c r="M157" s="1413"/>
      <c r="N157" s="1678"/>
    </row>
    <row r="158" spans="1:14" ht="15">
      <c r="A158" s="1677"/>
      <c r="B158" s="440" t="s">
        <v>1110</v>
      </c>
      <c r="C158" s="1412">
        <f>SUM('3.mell.'!H78)</f>
        <v>36450</v>
      </c>
      <c r="D158" s="1412">
        <f t="shared" si="1"/>
        <v>36450</v>
      </c>
      <c r="E158" s="1421"/>
      <c r="F158" s="1413">
        <v>36450</v>
      </c>
      <c r="G158" s="1413"/>
      <c r="H158" s="1421"/>
      <c r="I158" s="1421"/>
      <c r="J158" s="1421"/>
      <c r="K158" s="1421"/>
      <c r="L158" s="1413"/>
      <c r="M158" s="1413"/>
      <c r="N158" s="1678"/>
    </row>
    <row r="159" spans="1:14" ht="15">
      <c r="A159" s="1677"/>
      <c r="B159" s="440" t="s">
        <v>903</v>
      </c>
      <c r="C159" s="1412">
        <f>'3.mell.'!H100</f>
        <v>1945734</v>
      </c>
      <c r="D159" s="1412">
        <f t="shared" si="1"/>
        <v>2117193</v>
      </c>
      <c r="E159" s="1421"/>
      <c r="F159" s="1413"/>
      <c r="G159" s="1413"/>
      <c r="H159" s="1421"/>
      <c r="I159" s="1421"/>
      <c r="J159" s="1421"/>
      <c r="K159" s="1421"/>
      <c r="L159" s="1413"/>
      <c r="M159" s="1413"/>
      <c r="N159" s="1678">
        <v>2117193</v>
      </c>
    </row>
    <row r="160" spans="1:14" ht="15">
      <c r="A160" s="1677"/>
      <c r="B160" s="440" t="s">
        <v>610</v>
      </c>
      <c r="C160" s="1412">
        <f>'3.mell.'!H101</f>
        <v>138592</v>
      </c>
      <c r="D160" s="1412">
        <f t="shared" si="0"/>
        <v>138592</v>
      </c>
      <c r="E160" s="1421"/>
      <c r="F160" s="1413"/>
      <c r="G160" s="1413"/>
      <c r="H160" s="1421"/>
      <c r="I160" s="1421"/>
      <c r="J160" s="1421"/>
      <c r="K160" s="1421"/>
      <c r="L160" s="1413">
        <v>138592</v>
      </c>
      <c r="M160" s="1421"/>
      <c r="N160" s="1678"/>
    </row>
    <row r="161" spans="1:14" ht="15">
      <c r="A161" s="1677"/>
      <c r="B161" s="440" t="s">
        <v>611</v>
      </c>
      <c r="C161" s="1412">
        <f>'3.mell.'!H109</f>
        <v>0</v>
      </c>
      <c r="D161" s="1412">
        <f t="shared" si="0"/>
        <v>0</v>
      </c>
      <c r="E161" s="1421"/>
      <c r="F161" s="1413"/>
      <c r="G161" s="1413"/>
      <c r="H161" s="1421"/>
      <c r="I161" s="1413"/>
      <c r="J161" s="1421"/>
      <c r="K161" s="1421"/>
      <c r="L161" s="1413"/>
      <c r="M161" s="1421"/>
      <c r="N161" s="1678"/>
    </row>
    <row r="162" spans="1:14" ht="15">
      <c r="A162" s="1677"/>
      <c r="B162" s="440" t="s">
        <v>1109</v>
      </c>
      <c r="C162" s="1412">
        <f>SUM('3.mell.'!H146)</f>
        <v>15500000</v>
      </c>
      <c r="D162" s="1412">
        <f t="shared" si="0"/>
        <v>15500000</v>
      </c>
      <c r="E162" s="1421"/>
      <c r="F162" s="1413">
        <v>6724523</v>
      </c>
      <c r="G162" s="1413">
        <v>2517729</v>
      </c>
      <c r="H162" s="1421"/>
      <c r="I162" s="1413">
        <v>718283</v>
      </c>
      <c r="J162" s="1421"/>
      <c r="K162" s="1421">
        <v>428724</v>
      </c>
      <c r="L162" s="1413"/>
      <c r="M162" s="1421">
        <v>1110741</v>
      </c>
      <c r="N162" s="1678">
        <v>4000000</v>
      </c>
    </row>
    <row r="163" spans="1:14" ht="21" customHeight="1">
      <c r="A163" s="1677"/>
      <c r="B163" s="440" t="s">
        <v>612</v>
      </c>
      <c r="C163" s="1412">
        <f>SUM('4.mell.'!H456)-'24.mell.'!C8</f>
        <v>3511720</v>
      </c>
      <c r="D163" s="1412">
        <f>SUM(E163:N163)</f>
        <v>3511720</v>
      </c>
      <c r="E163" s="1413">
        <v>589524</v>
      </c>
      <c r="F163" s="1413">
        <v>1647691</v>
      </c>
      <c r="G163" s="1413">
        <v>319160</v>
      </c>
      <c r="H163" s="1413"/>
      <c r="I163" s="1421"/>
      <c r="J163" s="1421"/>
      <c r="K163" s="1421"/>
      <c r="L163" s="1413">
        <v>955345</v>
      </c>
      <c r="M163" s="1421"/>
      <c r="N163" s="1673"/>
    </row>
    <row r="164" spans="1:14" ht="21" customHeight="1">
      <c r="A164" s="1672"/>
      <c r="B164" s="440" t="s">
        <v>613</v>
      </c>
      <c r="C164" s="1412">
        <f>'4.mell.'!H532-'24.mell.'!C9</f>
        <v>1192565</v>
      </c>
      <c r="D164" s="1412">
        <f t="shared" si="0"/>
        <v>1192565</v>
      </c>
      <c r="E164" s="1413">
        <v>689989</v>
      </c>
      <c r="F164" s="1413">
        <v>457397</v>
      </c>
      <c r="G164" s="1413">
        <v>26994</v>
      </c>
      <c r="H164" s="1413">
        <v>700</v>
      </c>
      <c r="I164" s="1413"/>
      <c r="J164" s="1421"/>
      <c r="K164" s="1421"/>
      <c r="L164" s="1413">
        <v>17485</v>
      </c>
      <c r="M164" s="1421"/>
      <c r="N164" s="1673"/>
    </row>
    <row r="165" spans="1:14" ht="21" customHeight="1">
      <c r="A165" s="1672"/>
      <c r="B165" s="440" t="s">
        <v>614</v>
      </c>
      <c r="C165" s="1412">
        <f>'4.mell.'!H568</f>
        <v>1506981</v>
      </c>
      <c r="D165" s="1412">
        <f t="shared" si="0"/>
        <v>1506981</v>
      </c>
      <c r="E165" s="1413">
        <v>600149</v>
      </c>
      <c r="F165" s="1413">
        <v>769468</v>
      </c>
      <c r="G165" s="1413">
        <v>90814</v>
      </c>
      <c r="H165" s="1413"/>
      <c r="I165" s="1413"/>
      <c r="J165" s="1413">
        <v>300</v>
      </c>
      <c r="K165" s="1413"/>
      <c r="L165" s="1413">
        <v>46250</v>
      </c>
      <c r="M165" s="1421"/>
      <c r="N165" s="1673"/>
    </row>
    <row r="166" spans="1:14" ht="21" customHeight="1">
      <c r="A166" s="1672"/>
      <c r="B166" s="440" t="s">
        <v>615</v>
      </c>
      <c r="C166" s="1412">
        <f>'4.mell.'!H644</f>
        <v>453702</v>
      </c>
      <c r="D166" s="1412">
        <f>SUM(E166:N166)</f>
        <v>453702</v>
      </c>
      <c r="E166" s="1413">
        <v>52858</v>
      </c>
      <c r="F166" s="1413">
        <v>268587</v>
      </c>
      <c r="G166" s="1413">
        <v>29710</v>
      </c>
      <c r="H166" s="1413">
        <v>10900</v>
      </c>
      <c r="I166" s="1421"/>
      <c r="J166" s="1413">
        <v>2500</v>
      </c>
      <c r="K166" s="1421"/>
      <c r="L166" s="1413">
        <v>89147</v>
      </c>
      <c r="M166" s="1413"/>
      <c r="N166" s="1673"/>
    </row>
    <row r="167" spans="1:14" ht="21" customHeight="1">
      <c r="A167" s="1672"/>
      <c r="B167" s="440" t="s">
        <v>895</v>
      </c>
      <c r="C167" s="1412">
        <f>'4.mell.'!H719-'24.mell.'!C10</f>
        <v>535075</v>
      </c>
      <c r="D167" s="1412">
        <f>SUM(E167:N167)</f>
        <v>535075</v>
      </c>
      <c r="E167" s="1413"/>
      <c r="F167" s="1413">
        <v>338812</v>
      </c>
      <c r="G167" s="1413">
        <v>196263</v>
      </c>
      <c r="H167" s="1413"/>
      <c r="I167" s="1421"/>
      <c r="J167" s="1413"/>
      <c r="K167" s="1421"/>
      <c r="L167" s="1413"/>
      <c r="M167" s="1413"/>
      <c r="N167" s="1673"/>
    </row>
    <row r="168" spans="1:14" ht="21" customHeight="1">
      <c r="A168" s="1672"/>
      <c r="B168" s="440"/>
      <c r="C168" s="1417"/>
      <c r="D168" s="1417"/>
      <c r="E168" s="1421"/>
      <c r="F168" s="1421"/>
      <c r="G168" s="1421"/>
      <c r="H168" s="1421"/>
      <c r="I168" s="1421"/>
      <c r="J168" s="1421"/>
      <c r="K168" s="1421"/>
      <c r="L168" s="1421"/>
      <c r="M168" s="1421"/>
      <c r="N168" s="1673"/>
    </row>
    <row r="169" spans="1:14" ht="21" customHeight="1">
      <c r="A169" s="1672"/>
      <c r="B169" s="1422" t="s">
        <v>616</v>
      </c>
      <c r="C169" s="1413">
        <f>SUM(C10+C36+C38+C40+C48+C53+C64+C76+C78+C86+C126+C135+C138+C142+C143+C144+C145+C146+C147+C148+C149+C150+C151+C152+C153+C154+C157+C158+C160+C161+C162+C163+C164+C165+C166+C167)+C155+C159+C156</f>
        <v>43070663</v>
      </c>
      <c r="D169" s="1413">
        <f>SUM(D10+D36+D38+D40+D48+D53+D64+D76+D78+D86+D126+D135+D138+D142+D143+D144+D145+D146+D147+D148+D149+D150+D151+D152+D153+D154+D160+D161+D162+D163+D164+D165+D166+D167)+D158+D155+D157+D159</f>
        <v>45292452</v>
      </c>
      <c r="E169" s="1413">
        <f>SUM(E166,E165,E164,E163,E78,E53,E38,E10)</f>
        <v>4908920</v>
      </c>
      <c r="F169" s="1413">
        <f>SUM(F10+F36+F38+F40+F48+F53+F64+F76+F78+F86+F126+F135+F138+F142+F143+F144+F145+F146+F147+F148+F149+F150+F151+F152+F153+F154+F160+F161+F162+F163+F164+F165+F166+F167+F158+F155)</f>
        <v>18955927</v>
      </c>
      <c r="G169" s="1413">
        <f>+G10+G38+G53+G78+G86+G135+G138+G142+G143+G146+G147+G148+G150+G151+G152+G154+G155+G159+G162+G163+G164+G165+G166+G167</f>
        <v>6080988</v>
      </c>
      <c r="H169" s="1413">
        <f>SUM(H10+H36+H38+H40+H48+H53+H64+H76+H78+H86+H126+H135+H138+H142+H143+H144+H145+H146+H147+H148+H149+H150+H151+H152+H153+H154+H160+H161+H163+H164+H165+H166+H167)</f>
        <v>38757</v>
      </c>
      <c r="I169" s="1413">
        <f>SUM(I10+I36+I38+I40+I48+I53+I64+I76+I78+I86+I126+I135+I138+I142+I143+I144+I145+I146+I147+I148+I149+I150+I151+I152+I153+I154+I160+I161+I162++I163+I164+I165+I166+I167)</f>
        <v>719813</v>
      </c>
      <c r="J169" s="1413">
        <f t="shared" ref="J169" si="2">SUM(J10+J36+J38+J40+J48+J53+J64+J76+J78+J86+J126+J135+J138+J142+J143+J144+J145+J146+J147+J148+J149+J150+J151+J152+J153+J154+J160+J161+J163+J164+J165+J166+J167)</f>
        <v>8791</v>
      </c>
      <c r="K169" s="1413">
        <f>SUM(K10+K36+K38+K40+K48+K53+K64+K76+K78+K86+K126+K135+K138+K142+K143+K144+K145+K146+K147+K148+K149+K150+K151+K152+K153+K154+K160+K161+K162+K163+K164+K165+K166+K167)</f>
        <v>428724</v>
      </c>
      <c r="L169" s="1413">
        <f>SUM(L10+L36+L38+L40+L48+L53+L64+L76+L78+L86+L126+L135+L138+L142+L143+L144+L145+L146+L147+L148+L149+L150+L151+L152+L153+L154+L160+L161+L162+L163+L164+L165+L166+L167)</f>
        <v>6922598</v>
      </c>
      <c r="M169" s="1413">
        <f>SUM(M10+M36+M38+M40+M48+M53+M64+M76+M78+M86+M126+M135+M138+M142+M143+M144+M145+M146+M147+M148+M149+M150+M151+M152+M153+M154+M160+M161+M162+M163+M164+M165+M166+M167)</f>
        <v>1110741</v>
      </c>
      <c r="N169" s="1679">
        <f>SUM(N162,N159)</f>
        <v>6117193</v>
      </c>
    </row>
    <row r="170" spans="1:14" ht="21" customHeight="1" thickBot="1">
      <c r="A170" s="1680"/>
      <c r="B170" s="1681"/>
      <c r="C170" s="1682"/>
      <c r="D170" s="1682"/>
      <c r="E170" s="1683"/>
      <c r="F170" s="1683"/>
      <c r="G170" s="1683"/>
      <c r="H170" s="1683"/>
      <c r="I170" s="1683"/>
      <c r="J170" s="1683"/>
      <c r="K170" s="1683"/>
      <c r="L170" s="1683"/>
      <c r="M170" s="1683"/>
      <c r="N170" s="1684"/>
    </row>
    <row r="171" spans="1:14">
      <c r="K171" s="378"/>
    </row>
    <row r="172" spans="1:14">
      <c r="B172" s="445"/>
      <c r="C172" s="378"/>
      <c r="D172" s="378"/>
      <c r="E172" s="378"/>
      <c r="F172" s="378"/>
    </row>
    <row r="173" spans="1:14">
      <c r="B173" s="445"/>
      <c r="D173" s="378"/>
      <c r="E173" s="378"/>
    </row>
    <row r="174" spans="1:14">
      <c r="B174" s="445"/>
      <c r="E174" s="378"/>
    </row>
  </sheetData>
  <mergeCells count="13">
    <mergeCell ref="A1:N1"/>
    <mergeCell ref="L8:L9"/>
    <mergeCell ref="M8:M9"/>
    <mergeCell ref="N8:N9"/>
    <mergeCell ref="B4:M4"/>
    <mergeCell ref="B5:M5"/>
    <mergeCell ref="B8:B9"/>
    <mergeCell ref="D8:D9"/>
    <mergeCell ref="E8:E9"/>
    <mergeCell ref="F8:F9"/>
    <mergeCell ref="H8:I8"/>
    <mergeCell ref="J8:K8"/>
    <mergeCell ref="C8:C9"/>
  </mergeCells>
  <pageMargins left="0.39370078740157483" right="0.39370078740157483" top="0.39370078740157483" bottom="0.39370078740157483" header="0.51181102362204722" footer="0"/>
  <pageSetup paperSize="9" scale="51" firstPageNumber="54" orientation="landscape" useFirstPageNumber="1" r:id="rId1"/>
  <headerFooter alignWithMargins="0">
    <oddFooter>&amp;C&amp;P. oldal</oddFooter>
  </headerFooter>
  <rowBreaks count="3" manualBreakCount="3">
    <brk id="46" max="16383" man="1"/>
    <brk id="85" max="16383" man="1"/>
    <brk id="132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05"/>
  <sheetViews>
    <sheetView zoomScale="98" zoomScaleNormal="98" workbookViewId="0">
      <pane ySplit="6" topLeftCell="A90" activePane="bottomLeft" state="frozen"/>
      <selection pane="bottomLeft" activeCell="M4" sqref="M4"/>
    </sheetView>
  </sheetViews>
  <sheetFormatPr defaultColWidth="9.140625" defaultRowHeight="12.75"/>
  <cols>
    <col min="1" max="1" width="7.5703125" style="223" customWidth="1"/>
    <col min="2" max="2" width="49.5703125" style="223" customWidth="1"/>
    <col min="3" max="3" width="13.85546875" style="223" customWidth="1"/>
    <col min="4" max="4" width="13" style="223" customWidth="1"/>
    <col min="5" max="5" width="11.140625" style="223" customWidth="1"/>
    <col min="6" max="6" width="11.85546875" style="223" customWidth="1"/>
    <col min="7" max="7" width="12.140625" style="223" customWidth="1"/>
    <col min="8" max="8" width="12.28515625" style="223" customWidth="1"/>
    <col min="9" max="9" width="10.5703125" style="223" bestFit="1" customWidth="1"/>
    <col min="10" max="10" width="12.28515625" style="223" customWidth="1"/>
    <col min="11" max="11" width="11.5703125" style="223" customWidth="1"/>
    <col min="12" max="12" width="12.42578125" style="223" customWidth="1"/>
    <col min="13" max="13" width="14.28515625" style="223" customWidth="1"/>
    <col min="14" max="16384" width="9.140625" style="223"/>
  </cols>
  <sheetData>
    <row r="1" spans="1:13">
      <c r="A1" s="2042" t="s">
        <v>1520</v>
      </c>
      <c r="B1" s="2042"/>
      <c r="C1" s="2042"/>
      <c r="D1" s="2042"/>
      <c r="E1" s="2042"/>
      <c r="F1" s="2042"/>
      <c r="G1" s="2042"/>
      <c r="H1" s="2042"/>
      <c r="I1" s="2042"/>
      <c r="J1" s="2042"/>
      <c r="K1" s="2042"/>
      <c r="L1" s="2042"/>
      <c r="M1" s="2042"/>
    </row>
    <row r="2" spans="1:13" ht="18.75">
      <c r="B2" s="2043" t="s">
        <v>617</v>
      </c>
      <c r="C2" s="2043"/>
      <c r="D2" s="2043"/>
      <c r="E2" s="2043"/>
      <c r="F2" s="2043"/>
      <c r="G2" s="2043"/>
      <c r="H2" s="2043"/>
      <c r="I2" s="2043"/>
      <c r="J2" s="2043"/>
      <c r="K2" s="2043"/>
      <c r="L2" s="2043"/>
    </row>
    <row r="3" spans="1:13" ht="18.75">
      <c r="B3" s="2044" t="s">
        <v>967</v>
      </c>
      <c r="C3" s="2044"/>
      <c r="D3" s="2044"/>
      <c r="E3" s="2044"/>
      <c r="F3" s="2044"/>
      <c r="G3" s="2044"/>
      <c r="H3" s="2044"/>
      <c r="I3" s="2044"/>
      <c r="J3" s="2044"/>
      <c r="K3" s="2044"/>
      <c r="L3" s="2044"/>
    </row>
    <row r="4" spans="1:13" ht="20.45" customHeight="1" thickBot="1">
      <c r="F4" s="275"/>
      <c r="G4" s="275"/>
      <c r="H4" s="275"/>
      <c r="I4" s="275"/>
      <c r="J4" s="275"/>
      <c r="K4" s="275"/>
      <c r="L4" s="275"/>
      <c r="M4" s="1401" t="s">
        <v>1353</v>
      </c>
    </row>
    <row r="5" spans="1:13" ht="27" customHeight="1">
      <c r="A5" s="1665"/>
      <c r="B5" s="2037" t="s">
        <v>618</v>
      </c>
      <c r="C5" s="2025" t="s">
        <v>1521</v>
      </c>
      <c r="D5" s="2037" t="s">
        <v>619</v>
      </c>
      <c r="E5" s="2025" t="s">
        <v>502</v>
      </c>
      <c r="F5" s="2025" t="s">
        <v>508</v>
      </c>
      <c r="G5" s="2037" t="s">
        <v>504</v>
      </c>
      <c r="H5" s="2037"/>
      <c r="I5" s="2037" t="s">
        <v>505</v>
      </c>
      <c r="J5" s="2037"/>
      <c r="K5" s="2037" t="s">
        <v>620</v>
      </c>
      <c r="L5" s="2025" t="s">
        <v>621</v>
      </c>
      <c r="M5" s="2040" t="s">
        <v>971</v>
      </c>
    </row>
    <row r="6" spans="1:13" ht="41.25" customHeight="1" thickBot="1">
      <c r="A6" s="1667"/>
      <c r="B6" s="2038"/>
      <c r="C6" s="2030"/>
      <c r="D6" s="2038"/>
      <c r="E6" s="2030"/>
      <c r="F6" s="2026"/>
      <c r="G6" s="1669" t="s">
        <v>622</v>
      </c>
      <c r="H6" s="1669" t="s">
        <v>623</v>
      </c>
      <c r="I6" s="1669" t="s">
        <v>624</v>
      </c>
      <c r="J6" s="1669" t="s">
        <v>623</v>
      </c>
      <c r="K6" s="2038"/>
      <c r="L6" s="2039"/>
      <c r="M6" s="2041"/>
    </row>
    <row r="7" spans="1:13" ht="22.15" customHeight="1">
      <c r="A7" s="1691">
        <v>2986</v>
      </c>
      <c r="B7" s="1692" t="s">
        <v>308</v>
      </c>
      <c r="C7" s="1692">
        <f>'4.mell.'!H681</f>
        <v>252043</v>
      </c>
      <c r="D7" s="1693">
        <f t="shared" ref="D7:D50" si="0">SUM(E7:M7)</f>
        <v>252043</v>
      </c>
      <c r="E7" s="1693"/>
      <c r="F7" s="1694">
        <v>250222</v>
      </c>
      <c r="G7" s="1692"/>
      <c r="H7" s="1692"/>
      <c r="I7" s="1692"/>
      <c r="J7" s="1692"/>
      <c r="K7" s="1692">
        <v>1821</v>
      </c>
      <c r="L7" s="1692"/>
      <c r="M7" s="1695"/>
    </row>
    <row r="8" spans="1:13" ht="30.6" customHeight="1">
      <c r="A8" s="1696">
        <v>2975</v>
      </c>
      <c r="B8" s="396" t="s">
        <v>860</v>
      </c>
      <c r="C8" s="273">
        <v>175201</v>
      </c>
      <c r="D8" s="224">
        <f t="shared" si="0"/>
        <v>175201</v>
      </c>
      <c r="E8" s="224"/>
      <c r="F8" s="1685">
        <v>175201</v>
      </c>
      <c r="G8" s="273"/>
      <c r="H8" s="273"/>
      <c r="I8" s="273"/>
      <c r="J8" s="273"/>
      <c r="K8" s="273"/>
      <c r="L8" s="273"/>
      <c r="M8" s="1697"/>
    </row>
    <row r="9" spans="1:13" ht="30.6" customHeight="1">
      <c r="A9" s="1696">
        <v>2850</v>
      </c>
      <c r="B9" s="396" t="s">
        <v>264</v>
      </c>
      <c r="C9" s="273">
        <v>13787</v>
      </c>
      <c r="D9" s="224">
        <f t="shared" si="0"/>
        <v>13787</v>
      </c>
      <c r="E9" s="224"/>
      <c r="F9" s="1685">
        <v>13787</v>
      </c>
      <c r="G9" s="273"/>
      <c r="H9" s="273"/>
      <c r="I9" s="273"/>
      <c r="J9" s="273"/>
      <c r="K9" s="273"/>
      <c r="L9" s="273"/>
      <c r="M9" s="1697"/>
    </row>
    <row r="10" spans="1:13" ht="30.6" customHeight="1">
      <c r="A10" s="1696">
        <v>2987</v>
      </c>
      <c r="B10" s="396" t="s">
        <v>894</v>
      </c>
      <c r="C10" s="273">
        <v>3155540</v>
      </c>
      <c r="D10" s="224">
        <f t="shared" si="0"/>
        <v>3155540</v>
      </c>
      <c r="E10" s="224"/>
      <c r="F10" s="1685">
        <v>435346</v>
      </c>
      <c r="G10" s="273">
        <v>2720194</v>
      </c>
      <c r="H10" s="273"/>
      <c r="I10" s="273"/>
      <c r="J10" s="273"/>
      <c r="K10" s="273"/>
      <c r="L10" s="273"/>
      <c r="M10" s="1697"/>
    </row>
    <row r="11" spans="1:13" ht="22.15" customHeight="1">
      <c r="A11" s="1698">
        <v>3011</v>
      </c>
      <c r="B11" s="276" t="s">
        <v>83</v>
      </c>
      <c r="C11" s="224">
        <f>'5.mell.'!H18</f>
        <v>69741</v>
      </c>
      <c r="D11" s="224">
        <f t="shared" si="0"/>
        <v>69741</v>
      </c>
      <c r="E11" s="224"/>
      <c r="F11" s="1686">
        <v>66788</v>
      </c>
      <c r="G11" s="1687"/>
      <c r="H11" s="1687"/>
      <c r="I11" s="1687"/>
      <c r="J11" s="1687"/>
      <c r="K11" s="1686">
        <v>2953</v>
      </c>
      <c r="L11" s="1687"/>
      <c r="M11" s="1699"/>
    </row>
    <row r="12" spans="1:13" ht="22.15" customHeight="1">
      <c r="A12" s="1698">
        <v>3052</v>
      </c>
      <c r="B12" s="276" t="s">
        <v>838</v>
      </c>
      <c r="C12" s="224">
        <v>0</v>
      </c>
      <c r="D12" s="224">
        <f t="shared" si="0"/>
        <v>0</v>
      </c>
      <c r="E12" s="224"/>
      <c r="F12" s="1686"/>
      <c r="G12" s="1687"/>
      <c r="H12" s="1687"/>
      <c r="I12" s="1687"/>
      <c r="J12" s="1687"/>
      <c r="K12" s="1688"/>
      <c r="L12" s="1687"/>
      <c r="M12" s="1699"/>
    </row>
    <row r="13" spans="1:13" ht="22.15" customHeight="1">
      <c r="A13" s="1698">
        <v>3059</v>
      </c>
      <c r="B13" s="276" t="s">
        <v>781</v>
      </c>
      <c r="C13" s="224">
        <f>'6.mell.'!H54</f>
        <v>5157</v>
      </c>
      <c r="D13" s="224">
        <f t="shared" si="0"/>
        <v>27939</v>
      </c>
      <c r="E13" s="224"/>
      <c r="F13" s="224"/>
      <c r="G13" s="1687"/>
      <c r="H13" s="1687"/>
      <c r="I13" s="1687"/>
      <c r="J13" s="1687"/>
      <c r="K13" s="1686">
        <v>27939</v>
      </c>
      <c r="L13" s="1687"/>
      <c r="M13" s="1699"/>
    </row>
    <row r="14" spans="1:13" ht="22.15" customHeight="1">
      <c r="A14" s="1700">
        <v>3141</v>
      </c>
      <c r="B14" s="225" t="s">
        <v>710</v>
      </c>
      <c r="C14" s="273">
        <f>'6.mell.'!H175</f>
        <v>11417</v>
      </c>
      <c r="D14" s="224">
        <f t="shared" si="0"/>
        <v>11417</v>
      </c>
      <c r="E14" s="224"/>
      <c r="F14" s="1689">
        <v>11417</v>
      </c>
      <c r="G14" s="1690"/>
      <c r="H14" s="1690"/>
      <c r="I14" s="1690"/>
      <c r="J14" s="1690"/>
      <c r="K14" s="1690"/>
      <c r="L14" s="1690"/>
      <c r="M14" s="1697"/>
    </row>
    <row r="15" spans="1:13" ht="22.15" customHeight="1">
      <c r="A15" s="1700">
        <v>3148</v>
      </c>
      <c r="B15" s="225" t="s">
        <v>855</v>
      </c>
      <c r="C15" s="273">
        <f>'6.mell.'!H227</f>
        <v>16</v>
      </c>
      <c r="D15" s="224">
        <f t="shared" si="0"/>
        <v>1000</v>
      </c>
      <c r="E15" s="224"/>
      <c r="F15" s="1689"/>
      <c r="G15" s="1690"/>
      <c r="H15" s="1690"/>
      <c r="I15" s="1690"/>
      <c r="J15" s="1690"/>
      <c r="K15" s="1690">
        <v>1000</v>
      </c>
      <c r="L15" s="1690"/>
      <c r="M15" s="1697"/>
    </row>
    <row r="16" spans="1:13" ht="22.15" customHeight="1">
      <c r="A16" s="1700">
        <v>3206</v>
      </c>
      <c r="B16" s="225" t="s">
        <v>762</v>
      </c>
      <c r="C16" s="273">
        <f>'6.mell.'!H283</f>
        <v>2340</v>
      </c>
      <c r="D16" s="224">
        <f t="shared" si="0"/>
        <v>2340</v>
      </c>
      <c r="E16" s="224"/>
      <c r="F16" s="1689">
        <v>2340</v>
      </c>
      <c r="G16" s="1690"/>
      <c r="H16" s="1690"/>
      <c r="I16" s="1690"/>
      <c r="J16" s="1690"/>
      <c r="K16" s="1690"/>
      <c r="L16" s="1690"/>
      <c r="M16" s="1697"/>
    </row>
    <row r="17" spans="1:13" ht="22.15" customHeight="1">
      <c r="A17" s="1700">
        <v>3207</v>
      </c>
      <c r="B17" s="225" t="s">
        <v>225</v>
      </c>
      <c r="C17" s="273">
        <f>'6.mell.'!H291</f>
        <v>41260</v>
      </c>
      <c r="D17" s="224">
        <f t="shared" si="0"/>
        <v>41260</v>
      </c>
      <c r="E17" s="224"/>
      <c r="F17" s="1689">
        <v>41260</v>
      </c>
      <c r="G17" s="1690"/>
      <c r="H17" s="1690"/>
      <c r="I17" s="1690"/>
      <c r="J17" s="1690"/>
      <c r="K17" s="1690"/>
      <c r="L17" s="1690"/>
      <c r="M17" s="1697"/>
    </row>
    <row r="18" spans="1:13" ht="22.15" customHeight="1">
      <c r="A18" s="1700">
        <v>3209</v>
      </c>
      <c r="B18" s="225" t="s">
        <v>625</v>
      </c>
      <c r="C18" s="273">
        <f>'6.mell.'!H308</f>
        <v>2228</v>
      </c>
      <c r="D18" s="224">
        <f t="shared" si="0"/>
        <v>2228</v>
      </c>
      <c r="E18" s="224"/>
      <c r="F18" s="1689">
        <v>2228</v>
      </c>
      <c r="G18" s="1690"/>
      <c r="H18" s="1690"/>
      <c r="I18" s="1690"/>
      <c r="J18" s="1690"/>
      <c r="K18" s="1690"/>
      <c r="L18" s="1690"/>
      <c r="M18" s="1697"/>
    </row>
    <row r="19" spans="1:13" ht="22.15" customHeight="1">
      <c r="A19" s="1700">
        <v>3210</v>
      </c>
      <c r="B19" s="225" t="s">
        <v>920</v>
      </c>
      <c r="C19" s="273">
        <f>'6.mell.'!H317</f>
        <v>0</v>
      </c>
      <c r="D19" s="224">
        <f t="shared" si="0"/>
        <v>0</v>
      </c>
      <c r="E19" s="224"/>
      <c r="F19" s="1689"/>
      <c r="G19" s="1690"/>
      <c r="H19" s="1690"/>
      <c r="I19" s="1690"/>
      <c r="J19" s="1690"/>
      <c r="K19" s="1690"/>
      <c r="L19" s="1690"/>
      <c r="M19" s="1697"/>
    </row>
    <row r="20" spans="1:13" ht="22.15" customHeight="1">
      <c r="A20" s="1700">
        <v>3217</v>
      </c>
      <c r="B20" s="225" t="s">
        <v>718</v>
      </c>
      <c r="C20" s="273">
        <f>'6.mell.'!H366</f>
        <v>203519</v>
      </c>
      <c r="D20" s="224">
        <f t="shared" si="0"/>
        <v>203519</v>
      </c>
      <c r="E20" s="224"/>
      <c r="F20" s="1689">
        <v>189473</v>
      </c>
      <c r="G20" s="1690"/>
      <c r="H20" s="1690"/>
      <c r="I20" s="1690"/>
      <c r="J20" s="1690"/>
      <c r="K20" s="1690">
        <v>14046</v>
      </c>
      <c r="L20" s="1690"/>
      <c r="M20" s="1697"/>
    </row>
    <row r="21" spans="1:13" ht="22.15" customHeight="1">
      <c r="A21" s="1700">
        <v>3221</v>
      </c>
      <c r="B21" s="225" t="s">
        <v>1069</v>
      </c>
      <c r="C21" s="273">
        <v>1117</v>
      </c>
      <c r="D21" s="224">
        <f>SUM(E21:M21)</f>
        <v>1220</v>
      </c>
      <c r="E21" s="224"/>
      <c r="F21" s="1689"/>
      <c r="G21" s="1690"/>
      <c r="H21" s="1690"/>
      <c r="I21" s="1690">
        <v>1220</v>
      </c>
      <c r="J21" s="1690"/>
      <c r="K21" s="1690"/>
      <c r="L21" s="1690"/>
      <c r="M21" s="1697"/>
    </row>
    <row r="22" spans="1:13" ht="22.15" customHeight="1">
      <c r="A22" s="1700">
        <v>3222</v>
      </c>
      <c r="B22" s="225" t="s">
        <v>744</v>
      </c>
      <c r="C22" s="273">
        <f>'6.mell.'!H401</f>
        <v>0</v>
      </c>
      <c r="D22" s="224">
        <f t="shared" si="0"/>
        <v>100</v>
      </c>
      <c r="E22" s="224"/>
      <c r="F22" s="1689"/>
      <c r="G22" s="1690"/>
      <c r="H22" s="1690"/>
      <c r="I22" s="1690"/>
      <c r="J22" s="1690"/>
      <c r="K22" s="1690">
        <v>100</v>
      </c>
      <c r="L22" s="1690"/>
      <c r="M22" s="1697"/>
    </row>
    <row r="23" spans="1:13" ht="22.15" customHeight="1">
      <c r="A23" s="1700">
        <v>3226</v>
      </c>
      <c r="B23" s="225" t="s">
        <v>828</v>
      </c>
      <c r="C23" s="273">
        <f>'6.mell.'!H419</f>
        <v>0</v>
      </c>
      <c r="D23" s="224">
        <f t="shared" si="0"/>
        <v>0</v>
      </c>
      <c r="E23" s="224"/>
      <c r="F23" s="1689"/>
      <c r="G23" s="1690"/>
      <c r="H23" s="1690"/>
      <c r="I23" s="1690"/>
      <c r="J23" s="1690"/>
      <c r="K23" s="1690"/>
      <c r="L23" s="1690"/>
      <c r="M23" s="1697"/>
    </row>
    <row r="24" spans="1:13" ht="22.15" customHeight="1">
      <c r="A24" s="1700">
        <v>3227</v>
      </c>
      <c r="B24" s="225" t="s">
        <v>896</v>
      </c>
      <c r="C24" s="273">
        <f>20198+3185</f>
        <v>23383</v>
      </c>
      <c r="D24" s="224">
        <f t="shared" si="0"/>
        <v>23383</v>
      </c>
      <c r="E24" s="224"/>
      <c r="F24" s="1689">
        <v>21745</v>
      </c>
      <c r="G24" s="1690"/>
      <c r="H24" s="1690"/>
      <c r="I24" s="1690"/>
      <c r="J24" s="1690"/>
      <c r="K24" s="1690">
        <v>1638</v>
      </c>
      <c r="L24" s="1690"/>
      <c r="M24" s="1697"/>
    </row>
    <row r="25" spans="1:13" ht="22.15" customHeight="1">
      <c r="A25" s="1700">
        <v>3228</v>
      </c>
      <c r="B25" s="225" t="s">
        <v>933</v>
      </c>
      <c r="C25" s="273">
        <f>'6.mell.'!H455</f>
        <v>6638</v>
      </c>
      <c r="D25" s="224">
        <f t="shared" si="0"/>
        <v>6638</v>
      </c>
      <c r="E25" s="224"/>
      <c r="F25" s="1689"/>
      <c r="G25" s="1690"/>
      <c r="H25" s="1690"/>
      <c r="I25" s="1690"/>
      <c r="J25" s="1690"/>
      <c r="K25" s="1690">
        <v>6638</v>
      </c>
      <c r="L25" s="1690"/>
      <c r="M25" s="1697"/>
    </row>
    <row r="26" spans="1:13" ht="22.15" customHeight="1">
      <c r="A26" s="1700">
        <v>3229</v>
      </c>
      <c r="B26" s="225" t="s">
        <v>1040</v>
      </c>
      <c r="C26" s="273">
        <f>'6.mell.'!H464</f>
        <v>0</v>
      </c>
      <c r="D26" s="224">
        <f t="shared" si="0"/>
        <v>0</v>
      </c>
      <c r="E26" s="224"/>
      <c r="F26" s="1689"/>
      <c r="G26" s="1690"/>
      <c r="H26" s="1690"/>
      <c r="I26" s="1690"/>
      <c r="J26" s="1690"/>
      <c r="K26" s="1690"/>
      <c r="L26" s="1690"/>
      <c r="M26" s="1697"/>
    </row>
    <row r="27" spans="1:13" ht="22.15" customHeight="1">
      <c r="A27" s="1700">
        <v>3230</v>
      </c>
      <c r="B27" s="225" t="s">
        <v>1108</v>
      </c>
      <c r="C27" s="273">
        <f>SUM('6.mell.'!H437)</f>
        <v>0</v>
      </c>
      <c r="D27" s="224">
        <f t="shared" si="0"/>
        <v>2582</v>
      </c>
      <c r="E27" s="224"/>
      <c r="F27" s="1689"/>
      <c r="G27" s="1690"/>
      <c r="H27" s="1690"/>
      <c r="I27" s="1690">
        <v>2582</v>
      </c>
      <c r="J27" s="1690"/>
      <c r="K27" s="1690"/>
      <c r="L27" s="1690"/>
      <c r="M27" s="1697"/>
    </row>
    <row r="28" spans="1:13" ht="22.15" customHeight="1">
      <c r="A28" s="1700">
        <v>3231</v>
      </c>
      <c r="B28" s="225" t="s">
        <v>1098</v>
      </c>
      <c r="C28" s="273">
        <f>SUM('6.mell.'!H446)</f>
        <v>0</v>
      </c>
      <c r="D28" s="224">
        <f t="shared" si="0"/>
        <v>1400</v>
      </c>
      <c r="E28" s="224"/>
      <c r="F28" s="1689"/>
      <c r="G28" s="1690">
        <v>1400</v>
      </c>
      <c r="H28" s="1690"/>
      <c r="I28" s="1690"/>
      <c r="J28" s="1690"/>
      <c r="K28" s="1690"/>
      <c r="L28" s="1690"/>
      <c r="M28" s="1697"/>
    </row>
    <row r="29" spans="1:13" ht="22.15" customHeight="1">
      <c r="A29" s="1700">
        <v>3304</v>
      </c>
      <c r="B29" s="225" t="s">
        <v>897</v>
      </c>
      <c r="C29" s="273">
        <f>'6.mell.'!H492</f>
        <v>0</v>
      </c>
      <c r="D29" s="224">
        <f t="shared" si="0"/>
        <v>2296</v>
      </c>
      <c r="E29" s="224"/>
      <c r="F29" s="1689"/>
      <c r="G29" s="1690"/>
      <c r="H29" s="1690"/>
      <c r="I29" s="1690"/>
      <c r="J29" s="1690"/>
      <c r="K29" s="1690">
        <v>2296</v>
      </c>
      <c r="L29" s="1690"/>
      <c r="M29" s="1697"/>
    </row>
    <row r="30" spans="1:13" ht="22.15" customHeight="1">
      <c r="A30" s="1700">
        <v>3302</v>
      </c>
      <c r="B30" s="225" t="s">
        <v>294</v>
      </c>
      <c r="C30" s="273">
        <f>'6.mell.'!H481</f>
        <v>0</v>
      </c>
      <c r="D30" s="224">
        <f t="shared" si="0"/>
        <v>0</v>
      </c>
      <c r="E30" s="224"/>
      <c r="F30" s="1689"/>
      <c r="G30" s="1690"/>
      <c r="H30" s="1690"/>
      <c r="I30" s="1690"/>
      <c r="J30" s="1690"/>
      <c r="K30" s="1690"/>
      <c r="L30" s="1690"/>
      <c r="M30" s="1697"/>
    </row>
    <row r="31" spans="1:13" ht="22.15" customHeight="1">
      <c r="A31" s="1700">
        <v>3306</v>
      </c>
      <c r="B31" s="225" t="s">
        <v>711</v>
      </c>
      <c r="C31" s="273">
        <f>'6.mell.'!H501</f>
        <v>44963</v>
      </c>
      <c r="D31" s="224">
        <f t="shared" si="0"/>
        <v>44963</v>
      </c>
      <c r="E31" s="224"/>
      <c r="F31" s="1689">
        <v>44913</v>
      </c>
      <c r="G31" s="1690"/>
      <c r="H31" s="1690"/>
      <c r="I31" s="1690"/>
      <c r="J31" s="1690"/>
      <c r="K31" s="1690">
        <v>50</v>
      </c>
      <c r="L31" s="1690"/>
      <c r="M31" s="1697"/>
    </row>
    <row r="32" spans="1:13" ht="22.15" customHeight="1">
      <c r="A32" s="1700">
        <v>3307</v>
      </c>
      <c r="B32" s="225" t="s">
        <v>150</v>
      </c>
      <c r="C32" s="273">
        <f>'6.mell.'!H510</f>
        <v>322</v>
      </c>
      <c r="D32" s="224">
        <f t="shared" si="0"/>
        <v>322</v>
      </c>
      <c r="E32" s="224"/>
      <c r="F32" s="1689">
        <v>322</v>
      </c>
      <c r="G32" s="1690"/>
      <c r="H32" s="1690"/>
      <c r="I32" s="1690"/>
      <c r="J32" s="1690"/>
      <c r="K32" s="1690"/>
      <c r="L32" s="1690"/>
      <c r="M32" s="1697"/>
    </row>
    <row r="33" spans="1:13" ht="22.15" customHeight="1">
      <c r="A33" s="1700">
        <v>3308</v>
      </c>
      <c r="B33" s="225" t="s">
        <v>849</v>
      </c>
      <c r="C33" s="273">
        <f>'6.mell.'!H519</f>
        <v>6480</v>
      </c>
      <c r="D33" s="224">
        <f t="shared" si="0"/>
        <v>6480</v>
      </c>
      <c r="E33" s="224"/>
      <c r="F33" s="1689">
        <v>3209</v>
      </c>
      <c r="G33" s="1690"/>
      <c r="H33" s="1690"/>
      <c r="I33" s="1690"/>
      <c r="J33" s="1690"/>
      <c r="K33" s="1690">
        <v>3271</v>
      </c>
      <c r="L33" s="1690"/>
      <c r="M33" s="1697"/>
    </row>
    <row r="34" spans="1:13" ht="22.15" customHeight="1">
      <c r="A34" s="1700">
        <v>3309</v>
      </c>
      <c r="B34" s="225" t="s">
        <v>719</v>
      </c>
      <c r="C34" s="273">
        <f>'6.mell.'!H527</f>
        <v>49023</v>
      </c>
      <c r="D34" s="224">
        <f t="shared" si="0"/>
        <v>49023</v>
      </c>
      <c r="E34" s="224"/>
      <c r="F34" s="1689">
        <v>48981</v>
      </c>
      <c r="G34" s="1690"/>
      <c r="H34" s="1690"/>
      <c r="I34" s="1690"/>
      <c r="J34" s="1690"/>
      <c r="K34" s="1690">
        <v>42</v>
      </c>
      <c r="L34" s="1690"/>
      <c r="M34" s="1697"/>
    </row>
    <row r="35" spans="1:13" ht="22.15" customHeight="1">
      <c r="A35" s="1700">
        <v>3312</v>
      </c>
      <c r="B35" s="225" t="s">
        <v>295</v>
      </c>
      <c r="C35" s="273">
        <f>'6.mell.'!H543</f>
        <v>27402</v>
      </c>
      <c r="D35" s="224">
        <f t="shared" si="0"/>
        <v>27402</v>
      </c>
      <c r="E35" s="224"/>
      <c r="F35" s="1689">
        <v>27191</v>
      </c>
      <c r="G35" s="1690"/>
      <c r="H35" s="1690"/>
      <c r="I35" s="1690"/>
      <c r="J35" s="1690"/>
      <c r="K35" s="1690">
        <v>211</v>
      </c>
      <c r="L35" s="1690"/>
      <c r="M35" s="1697"/>
    </row>
    <row r="36" spans="1:13" ht="22.15" customHeight="1">
      <c r="A36" s="1700">
        <v>3313</v>
      </c>
      <c r="B36" s="226" t="s">
        <v>9</v>
      </c>
      <c r="C36" s="273">
        <f>'6.mell.'!H551</f>
        <v>11410</v>
      </c>
      <c r="D36" s="224">
        <f t="shared" si="0"/>
        <v>11410</v>
      </c>
      <c r="E36" s="224"/>
      <c r="F36" s="1689">
        <v>11145</v>
      </c>
      <c r="G36" s="1690"/>
      <c r="H36" s="1690"/>
      <c r="I36" s="1690"/>
      <c r="J36" s="1690"/>
      <c r="K36" s="1690">
        <v>265</v>
      </c>
      <c r="L36" s="1690"/>
      <c r="M36" s="1697"/>
    </row>
    <row r="37" spans="1:13" ht="22.15" customHeight="1">
      <c r="A37" s="1700">
        <v>3316</v>
      </c>
      <c r="B37" s="226" t="s">
        <v>99</v>
      </c>
      <c r="C37" s="273">
        <f>'6.mell.'!H559</f>
        <v>2647</v>
      </c>
      <c r="D37" s="224">
        <f t="shared" si="0"/>
        <v>2647</v>
      </c>
      <c r="E37" s="224"/>
      <c r="F37" s="1689">
        <v>2635</v>
      </c>
      <c r="G37" s="1690"/>
      <c r="H37" s="1690"/>
      <c r="I37" s="1690"/>
      <c r="J37" s="1690"/>
      <c r="K37" s="1690">
        <v>12</v>
      </c>
      <c r="L37" s="1690"/>
      <c r="M37" s="1697"/>
    </row>
    <row r="38" spans="1:13" ht="22.15" customHeight="1">
      <c r="A38" s="1700">
        <v>3317</v>
      </c>
      <c r="B38" s="227" t="s">
        <v>712</v>
      </c>
      <c r="C38" s="273">
        <f>'6.mell.'!H567</f>
        <v>24277</v>
      </c>
      <c r="D38" s="224">
        <f t="shared" si="0"/>
        <v>24277</v>
      </c>
      <c r="E38" s="224"/>
      <c r="F38" s="1689">
        <v>23920</v>
      </c>
      <c r="G38" s="1690"/>
      <c r="H38" s="1690"/>
      <c r="I38" s="1690"/>
      <c r="J38" s="1690"/>
      <c r="K38" s="1690">
        <v>357</v>
      </c>
      <c r="L38" s="1690"/>
      <c r="M38" s="1697"/>
    </row>
    <row r="39" spans="1:13" ht="22.15" customHeight="1">
      <c r="A39" s="1700">
        <v>3325</v>
      </c>
      <c r="B39" s="225" t="s">
        <v>382</v>
      </c>
      <c r="C39" s="273">
        <f>'6.mell.'!H583</f>
        <v>8420</v>
      </c>
      <c r="D39" s="224">
        <f t="shared" si="0"/>
        <v>8420</v>
      </c>
      <c r="E39" s="224"/>
      <c r="F39" s="1689">
        <v>8384</v>
      </c>
      <c r="G39" s="1690"/>
      <c r="H39" s="1690"/>
      <c r="I39" s="1690"/>
      <c r="J39" s="1690"/>
      <c r="K39" s="1690">
        <v>36</v>
      </c>
      <c r="L39" s="1690"/>
      <c r="M39" s="1697"/>
    </row>
    <row r="40" spans="1:13" ht="22.15" customHeight="1">
      <c r="A40" s="1700">
        <v>3352</v>
      </c>
      <c r="B40" s="225" t="s">
        <v>626</v>
      </c>
      <c r="C40" s="273">
        <f>'6.mell.'!H690</f>
        <v>19561</v>
      </c>
      <c r="D40" s="224">
        <f t="shared" si="0"/>
        <v>19561</v>
      </c>
      <c r="E40" s="224"/>
      <c r="F40" s="1689">
        <v>15342</v>
      </c>
      <c r="G40" s="1690"/>
      <c r="H40" s="1690"/>
      <c r="I40" s="1690"/>
      <c r="J40" s="1690"/>
      <c r="K40" s="1690">
        <v>4219</v>
      </c>
      <c r="L40" s="1690"/>
      <c r="M40" s="1697"/>
    </row>
    <row r="41" spans="1:13" ht="22.15" customHeight="1">
      <c r="A41" s="1700">
        <v>3343</v>
      </c>
      <c r="B41" s="225" t="s">
        <v>777</v>
      </c>
      <c r="C41" s="273">
        <f>'6.mell.'!H625</f>
        <v>11715</v>
      </c>
      <c r="D41" s="224">
        <f t="shared" si="0"/>
        <v>11715</v>
      </c>
      <c r="E41" s="224"/>
      <c r="F41" s="1689"/>
      <c r="G41" s="1690"/>
      <c r="H41" s="1690"/>
      <c r="I41" s="1690"/>
      <c r="J41" s="1690"/>
      <c r="K41" s="1690">
        <v>11715</v>
      </c>
      <c r="L41" s="1690"/>
      <c r="M41" s="1697"/>
    </row>
    <row r="42" spans="1:13" ht="22.15" customHeight="1">
      <c r="A42" s="1700">
        <v>3353</v>
      </c>
      <c r="B42" s="225" t="s">
        <v>728</v>
      </c>
      <c r="C42" s="273">
        <f>'6.mell.'!H699</f>
        <v>531</v>
      </c>
      <c r="D42" s="224">
        <f t="shared" si="0"/>
        <v>531</v>
      </c>
      <c r="E42" s="224"/>
      <c r="F42" s="1689">
        <v>79</v>
      </c>
      <c r="G42" s="1690"/>
      <c r="H42" s="1690"/>
      <c r="I42" s="1690"/>
      <c r="J42" s="1690"/>
      <c r="K42" s="1690">
        <v>452</v>
      </c>
      <c r="L42" s="1690"/>
      <c r="M42" s="1697"/>
    </row>
    <row r="43" spans="1:13" ht="22.15" customHeight="1">
      <c r="A43" s="1700">
        <v>3355</v>
      </c>
      <c r="B43" s="225" t="s">
        <v>24</v>
      </c>
      <c r="C43" s="273">
        <f>'6.mell.'!H707</f>
        <v>21393</v>
      </c>
      <c r="D43" s="224">
        <f t="shared" si="0"/>
        <v>21393</v>
      </c>
      <c r="E43" s="224"/>
      <c r="F43" s="1689">
        <v>10063</v>
      </c>
      <c r="G43" s="1690"/>
      <c r="H43" s="1690"/>
      <c r="I43" s="1690"/>
      <c r="J43" s="1690"/>
      <c r="K43" s="1690">
        <v>11330</v>
      </c>
      <c r="L43" s="1690"/>
      <c r="M43" s="1697"/>
    </row>
    <row r="44" spans="1:13" ht="22.15" customHeight="1">
      <c r="A44" s="1700">
        <v>3356</v>
      </c>
      <c r="B44" s="228" t="s">
        <v>627</v>
      </c>
      <c r="C44" s="273">
        <f>'6.mell.'!H715</f>
        <v>0</v>
      </c>
      <c r="D44" s="224">
        <f t="shared" si="0"/>
        <v>0</v>
      </c>
      <c r="E44" s="224"/>
      <c r="F44" s="1689"/>
      <c r="G44" s="1690"/>
      <c r="H44" s="1690"/>
      <c r="I44" s="1690"/>
      <c r="J44" s="1690"/>
      <c r="K44" s="1690"/>
      <c r="L44" s="1690"/>
      <c r="M44" s="1697"/>
    </row>
    <row r="45" spans="1:13" ht="22.15" customHeight="1">
      <c r="A45" s="1700">
        <v>3411</v>
      </c>
      <c r="B45" s="228" t="s">
        <v>815</v>
      </c>
      <c r="C45" s="273">
        <f>'6.mell.'!H752</f>
        <v>25000</v>
      </c>
      <c r="D45" s="224">
        <f t="shared" si="0"/>
        <v>25000</v>
      </c>
      <c r="E45" s="224"/>
      <c r="F45" s="1689">
        <v>25000</v>
      </c>
      <c r="G45" s="1690"/>
      <c r="H45" s="1690"/>
      <c r="I45" s="1690"/>
      <c r="J45" s="1690"/>
      <c r="K45" s="1690"/>
      <c r="L45" s="1690"/>
      <c r="M45" s="1697"/>
    </row>
    <row r="46" spans="1:13" ht="22.15" customHeight="1">
      <c r="A46" s="1700">
        <v>3415</v>
      </c>
      <c r="B46" s="228" t="s">
        <v>814</v>
      </c>
      <c r="C46" s="273">
        <f>'6.mell.'!H779</f>
        <v>5500</v>
      </c>
      <c r="D46" s="224">
        <f t="shared" si="0"/>
        <v>5500</v>
      </c>
      <c r="E46" s="224"/>
      <c r="F46" s="1689">
        <v>5500</v>
      </c>
      <c r="G46" s="1690"/>
      <c r="H46" s="1690"/>
      <c r="I46" s="1690"/>
      <c r="J46" s="1690"/>
      <c r="K46" s="1690"/>
      <c r="L46" s="1690"/>
      <c r="M46" s="1697"/>
    </row>
    <row r="47" spans="1:13" ht="22.15" customHeight="1">
      <c r="A47" s="1700">
        <v>3416</v>
      </c>
      <c r="B47" s="225" t="s">
        <v>126</v>
      </c>
      <c r="C47" s="273">
        <f>'6.mell.'!H787</f>
        <v>20000</v>
      </c>
      <c r="D47" s="224">
        <f t="shared" si="0"/>
        <v>20000</v>
      </c>
      <c r="E47" s="224"/>
      <c r="F47" s="1689">
        <v>20000</v>
      </c>
      <c r="G47" s="1690"/>
      <c r="H47" s="1690"/>
      <c r="I47" s="1690"/>
      <c r="J47" s="1690"/>
      <c r="K47" s="1690"/>
      <c r="L47" s="1690"/>
      <c r="M47" s="1697"/>
    </row>
    <row r="48" spans="1:13" ht="22.15" customHeight="1">
      <c r="A48" s="1700">
        <v>3421</v>
      </c>
      <c r="B48" s="225" t="s">
        <v>306</v>
      </c>
      <c r="C48" s="273">
        <f>'6.mell.'!H796</f>
        <v>44362</v>
      </c>
      <c r="D48" s="224">
        <f t="shared" si="0"/>
        <v>44362</v>
      </c>
      <c r="E48" s="224"/>
      <c r="F48" s="1689">
        <v>20854</v>
      </c>
      <c r="G48" s="1690"/>
      <c r="H48" s="1690"/>
      <c r="I48" s="1690">
        <v>2062</v>
      </c>
      <c r="J48" s="1690"/>
      <c r="K48" s="1690">
        <v>21446</v>
      </c>
      <c r="L48" s="1690"/>
      <c r="M48" s="1697"/>
    </row>
    <row r="49" spans="1:13" ht="22.15" customHeight="1">
      <c r="A49" s="1700">
        <v>3422</v>
      </c>
      <c r="B49" s="225" t="s">
        <v>103</v>
      </c>
      <c r="C49" s="273">
        <f>'6.mell.'!H804</f>
        <v>11847</v>
      </c>
      <c r="D49" s="224">
        <f t="shared" si="0"/>
        <v>11847</v>
      </c>
      <c r="E49" s="224"/>
      <c r="F49" s="1689">
        <v>9045</v>
      </c>
      <c r="G49" s="1690"/>
      <c r="H49" s="1690"/>
      <c r="I49" s="1690"/>
      <c r="J49" s="1690"/>
      <c r="K49" s="1690">
        <v>2802</v>
      </c>
      <c r="L49" s="1690"/>
      <c r="M49" s="1697"/>
    </row>
    <row r="50" spans="1:13" ht="22.15" customHeight="1">
      <c r="A50" s="1700">
        <v>3423</v>
      </c>
      <c r="B50" s="225" t="s">
        <v>102</v>
      </c>
      <c r="C50" s="273">
        <f>'6.mell.'!H813</f>
        <v>19456</v>
      </c>
      <c r="D50" s="224">
        <f t="shared" si="0"/>
        <v>19456</v>
      </c>
      <c r="E50" s="224"/>
      <c r="F50" s="1689">
        <v>14967</v>
      </c>
      <c r="G50" s="1690"/>
      <c r="H50" s="1690"/>
      <c r="I50" s="1690">
        <v>1700</v>
      </c>
      <c r="J50" s="1690"/>
      <c r="K50" s="1690">
        <v>2789</v>
      </c>
      <c r="L50" s="1690"/>
      <c r="M50" s="1697"/>
    </row>
    <row r="51" spans="1:13" ht="22.15" customHeight="1">
      <c r="A51" s="1700">
        <v>3424</v>
      </c>
      <c r="B51" s="225" t="s">
        <v>780</v>
      </c>
      <c r="C51" s="273">
        <f>'6.mell.'!H821</f>
        <v>26975</v>
      </c>
      <c r="D51" s="224">
        <f t="shared" ref="D51:D81" si="1">SUM(E51:M51)</f>
        <v>26975</v>
      </c>
      <c r="E51" s="224"/>
      <c r="F51" s="1689">
        <v>24656</v>
      </c>
      <c r="G51" s="1690"/>
      <c r="H51" s="1690"/>
      <c r="I51" s="1690"/>
      <c r="J51" s="1690"/>
      <c r="K51" s="1690">
        <v>2319</v>
      </c>
      <c r="L51" s="1690"/>
      <c r="M51" s="1697"/>
    </row>
    <row r="52" spans="1:13" ht="22.15" customHeight="1">
      <c r="A52" s="1700">
        <v>3433</v>
      </c>
      <c r="B52" s="225" t="s">
        <v>810</v>
      </c>
      <c r="C52" s="273">
        <f>'6.mell.'!H878</f>
        <v>50002</v>
      </c>
      <c r="D52" s="224">
        <f t="shared" si="1"/>
        <v>50002</v>
      </c>
      <c r="E52" s="224"/>
      <c r="F52" s="1689">
        <v>21310</v>
      </c>
      <c r="G52" s="1690"/>
      <c r="H52" s="1690"/>
      <c r="I52" s="1690"/>
      <c r="J52" s="1690"/>
      <c r="K52" s="1690">
        <v>28692</v>
      </c>
      <c r="L52" s="1690"/>
      <c r="M52" s="1697"/>
    </row>
    <row r="53" spans="1:13" ht="22.15" customHeight="1">
      <c r="A53" s="1700">
        <v>3434</v>
      </c>
      <c r="B53" s="225" t="s">
        <v>1055</v>
      </c>
      <c r="C53" s="273">
        <f>'6.mell.'!H887</f>
        <v>0</v>
      </c>
      <c r="D53" s="224">
        <f t="shared" si="1"/>
        <v>0</v>
      </c>
      <c r="E53" s="224"/>
      <c r="F53" s="1689"/>
      <c r="G53" s="1690"/>
      <c r="H53" s="1690"/>
      <c r="I53" s="1690"/>
      <c r="J53" s="1690"/>
      <c r="K53" s="1690"/>
      <c r="L53" s="1690"/>
      <c r="M53" s="1697"/>
    </row>
    <row r="54" spans="1:13" ht="22.15" customHeight="1">
      <c r="A54" s="1700">
        <v>3923</v>
      </c>
      <c r="B54" s="225" t="s">
        <v>856</v>
      </c>
      <c r="C54" s="273">
        <f>'7.mell.'!H13</f>
        <v>5000</v>
      </c>
      <c r="D54" s="224">
        <f t="shared" si="1"/>
        <v>5000</v>
      </c>
      <c r="E54" s="224"/>
      <c r="F54" s="1689">
        <v>5000</v>
      </c>
      <c r="G54" s="1690"/>
      <c r="H54" s="1690"/>
      <c r="I54" s="1690"/>
      <c r="J54" s="1690"/>
      <c r="K54" s="1690"/>
      <c r="L54" s="1690"/>
      <c r="M54" s="1697"/>
    </row>
    <row r="55" spans="1:13" ht="22.15" customHeight="1">
      <c r="A55" s="1700">
        <v>3924</v>
      </c>
      <c r="B55" s="225" t="s">
        <v>628</v>
      </c>
      <c r="C55" s="273">
        <f>'7.mell.'!H14</f>
        <v>23250</v>
      </c>
      <c r="D55" s="224">
        <f t="shared" si="1"/>
        <v>23250</v>
      </c>
      <c r="E55" s="224"/>
      <c r="F55" s="1685">
        <v>23250</v>
      </c>
      <c r="G55" s="273"/>
      <c r="H55" s="273"/>
      <c r="I55" s="273"/>
      <c r="J55" s="273"/>
      <c r="K55" s="273"/>
      <c r="L55" s="273"/>
      <c r="M55" s="1697"/>
    </row>
    <row r="56" spans="1:13" ht="22.15" customHeight="1">
      <c r="A56" s="1700">
        <v>3926</v>
      </c>
      <c r="B56" s="225" t="s">
        <v>769</v>
      </c>
      <c r="C56" s="273">
        <f>'7.mell.'!H16</f>
        <v>0</v>
      </c>
      <c r="D56" s="224">
        <f t="shared" si="1"/>
        <v>0</v>
      </c>
      <c r="E56" s="224"/>
      <c r="F56" s="1685"/>
      <c r="G56" s="273"/>
      <c r="H56" s="273"/>
      <c r="I56" s="273"/>
      <c r="J56" s="273"/>
      <c r="K56" s="273"/>
      <c r="L56" s="273"/>
      <c r="M56" s="1697"/>
    </row>
    <row r="57" spans="1:13" ht="22.15" customHeight="1">
      <c r="A57" s="1700">
        <v>3927</v>
      </c>
      <c r="B57" s="225" t="s">
        <v>398</v>
      </c>
      <c r="C57" s="273">
        <f>'7.mell.'!H17</f>
        <v>11500</v>
      </c>
      <c r="D57" s="224">
        <f t="shared" si="1"/>
        <v>11500</v>
      </c>
      <c r="E57" s="224"/>
      <c r="F57" s="1685">
        <v>6500</v>
      </c>
      <c r="G57" s="273"/>
      <c r="H57" s="273"/>
      <c r="I57" s="273"/>
      <c r="J57" s="273"/>
      <c r="K57" s="273">
        <v>5000</v>
      </c>
      <c r="L57" s="273"/>
      <c r="M57" s="1697"/>
    </row>
    <row r="58" spans="1:13" ht="22.15" customHeight="1">
      <c r="A58" s="1696">
        <v>3928</v>
      </c>
      <c r="B58" s="273" t="s">
        <v>112</v>
      </c>
      <c r="C58" s="273">
        <f>'7.mell.'!H18</f>
        <v>191836</v>
      </c>
      <c r="D58" s="224">
        <f t="shared" si="1"/>
        <v>196415</v>
      </c>
      <c r="E58" s="224"/>
      <c r="F58" s="1685"/>
      <c r="G58" s="273"/>
      <c r="H58" s="273"/>
      <c r="I58" s="273"/>
      <c r="J58" s="273"/>
      <c r="K58" s="273">
        <v>196415</v>
      </c>
      <c r="L58" s="273"/>
      <c r="M58" s="1697"/>
    </row>
    <row r="59" spans="1:13" ht="22.15" customHeight="1">
      <c r="A59" s="1700">
        <v>3932</v>
      </c>
      <c r="B59" s="225" t="s">
        <v>629</v>
      </c>
      <c r="C59" s="273">
        <f>'7.mell.'!H26</f>
        <v>15000</v>
      </c>
      <c r="D59" s="224">
        <f t="shared" si="1"/>
        <v>15000</v>
      </c>
      <c r="E59" s="224"/>
      <c r="F59" s="1685">
        <v>15000</v>
      </c>
      <c r="G59" s="273"/>
      <c r="H59" s="273"/>
      <c r="I59" s="273"/>
      <c r="J59" s="273"/>
      <c r="K59" s="273"/>
      <c r="L59" s="273"/>
      <c r="M59" s="1697"/>
    </row>
    <row r="60" spans="1:13" ht="22.15" customHeight="1">
      <c r="A60" s="1700">
        <v>3934</v>
      </c>
      <c r="B60" s="225" t="s">
        <v>848</v>
      </c>
      <c r="C60" s="273">
        <v>0</v>
      </c>
      <c r="D60" s="224">
        <f t="shared" si="1"/>
        <v>0</v>
      </c>
      <c r="E60" s="224"/>
      <c r="F60" s="1685"/>
      <c r="G60" s="273"/>
      <c r="H60" s="273"/>
      <c r="I60" s="273"/>
      <c r="J60" s="273"/>
      <c r="K60" s="273"/>
      <c r="L60" s="273"/>
      <c r="M60" s="1697"/>
    </row>
    <row r="61" spans="1:13" ht="22.15" customHeight="1">
      <c r="A61" s="1700">
        <v>3935</v>
      </c>
      <c r="B61" s="225" t="s">
        <v>854</v>
      </c>
      <c r="C61" s="273">
        <f>'7.mell.'!H28</f>
        <v>0</v>
      </c>
      <c r="D61" s="224">
        <f t="shared" si="1"/>
        <v>0</v>
      </c>
      <c r="E61" s="224"/>
      <c r="F61" s="1685"/>
      <c r="G61" s="273"/>
      <c r="H61" s="273"/>
      <c r="I61" s="273"/>
      <c r="J61" s="273"/>
      <c r="K61" s="273"/>
      <c r="L61" s="273"/>
      <c r="M61" s="1697"/>
    </row>
    <row r="62" spans="1:13" ht="22.15" customHeight="1">
      <c r="A62" s="1700">
        <v>3941</v>
      </c>
      <c r="B62" s="228" t="s">
        <v>630</v>
      </c>
      <c r="C62" s="273">
        <f>'7.mell.'!H31</f>
        <v>1119000</v>
      </c>
      <c r="D62" s="224">
        <f t="shared" si="1"/>
        <v>1119000</v>
      </c>
      <c r="E62" s="224"/>
      <c r="F62" s="1685">
        <v>1089000</v>
      </c>
      <c r="G62" s="273"/>
      <c r="H62" s="273"/>
      <c r="I62" s="273"/>
      <c r="J62" s="273"/>
      <c r="K62" s="273">
        <v>30000</v>
      </c>
      <c r="L62" s="273"/>
      <c r="M62" s="1697"/>
    </row>
    <row r="63" spans="1:13" ht="22.15" customHeight="1">
      <c r="A63" s="1696">
        <v>3943</v>
      </c>
      <c r="B63" s="273" t="s">
        <v>6</v>
      </c>
      <c r="C63" s="273">
        <f>'7.mell.'!H32</f>
        <v>500</v>
      </c>
      <c r="D63" s="224">
        <f t="shared" si="1"/>
        <v>500</v>
      </c>
      <c r="E63" s="224"/>
      <c r="F63" s="1685">
        <v>500</v>
      </c>
      <c r="G63" s="273"/>
      <c r="H63" s="273"/>
      <c r="I63" s="273"/>
      <c r="J63" s="273"/>
      <c r="K63" s="273"/>
      <c r="L63" s="273"/>
      <c r="M63" s="1697"/>
    </row>
    <row r="64" spans="1:13" ht="22.15" customHeight="1">
      <c r="A64" s="1696">
        <v>3944</v>
      </c>
      <c r="B64" s="273" t="s">
        <v>841</v>
      </c>
      <c r="C64" s="273">
        <v>0</v>
      </c>
      <c r="D64" s="224">
        <f t="shared" si="1"/>
        <v>0</v>
      </c>
      <c r="E64" s="224"/>
      <c r="F64" s="1685"/>
      <c r="G64" s="273"/>
      <c r="H64" s="273"/>
      <c r="I64" s="273"/>
      <c r="J64" s="273"/>
      <c r="K64" s="273"/>
      <c r="L64" s="273"/>
      <c r="M64" s="1697"/>
    </row>
    <row r="65" spans="1:13" ht="22.15" customHeight="1">
      <c r="A65" s="1696">
        <v>3972</v>
      </c>
      <c r="B65" s="273" t="s">
        <v>631</v>
      </c>
      <c r="C65" s="273">
        <f>'7.mell.'!H40</f>
        <v>45688</v>
      </c>
      <c r="D65" s="224">
        <f t="shared" si="1"/>
        <v>45688</v>
      </c>
      <c r="E65" s="224"/>
      <c r="F65" s="1685">
        <v>44738</v>
      </c>
      <c r="G65" s="273"/>
      <c r="H65" s="273"/>
      <c r="I65" s="273"/>
      <c r="J65" s="273"/>
      <c r="K65" s="273">
        <v>950</v>
      </c>
      <c r="L65" s="273"/>
      <c r="M65" s="1701"/>
    </row>
    <row r="66" spans="1:13" ht="22.15" customHeight="1">
      <c r="A66" s="1696">
        <v>3973</v>
      </c>
      <c r="B66" s="273" t="s">
        <v>737</v>
      </c>
      <c r="C66" s="273">
        <f>'7.mell.'!H44</f>
        <v>5364</v>
      </c>
      <c r="D66" s="224">
        <f t="shared" si="1"/>
        <v>5364</v>
      </c>
      <c r="E66" s="224"/>
      <c r="F66" s="1685">
        <v>4369</v>
      </c>
      <c r="G66" s="273"/>
      <c r="H66" s="273"/>
      <c r="I66" s="273"/>
      <c r="J66" s="273"/>
      <c r="K66" s="273">
        <v>995</v>
      </c>
      <c r="L66" s="273"/>
      <c r="M66" s="1701"/>
    </row>
    <row r="67" spans="1:13" ht="22.15" customHeight="1">
      <c r="A67" s="1696">
        <v>3975</v>
      </c>
      <c r="B67" s="273" t="s">
        <v>770</v>
      </c>
      <c r="C67" s="273">
        <f>'7.mell.'!H48</f>
        <v>15000</v>
      </c>
      <c r="D67" s="224">
        <f t="shared" si="1"/>
        <v>15000</v>
      </c>
      <c r="E67" s="224"/>
      <c r="F67" s="1685">
        <v>15000</v>
      </c>
      <c r="G67" s="273"/>
      <c r="H67" s="273"/>
      <c r="I67" s="273"/>
      <c r="J67" s="273"/>
      <c r="K67" s="273"/>
      <c r="L67" s="273"/>
      <c r="M67" s="1701"/>
    </row>
    <row r="68" spans="1:13" ht="22.15" customHeight="1">
      <c r="A68" s="1696">
        <v>3987</v>
      </c>
      <c r="B68" s="273" t="s">
        <v>930</v>
      </c>
      <c r="C68" s="273">
        <f>'7.mell.'!H52</f>
        <v>900</v>
      </c>
      <c r="D68" s="224">
        <f t="shared" si="1"/>
        <v>900</v>
      </c>
      <c r="E68" s="224"/>
      <c r="F68" s="1685">
        <v>900</v>
      </c>
      <c r="G68" s="273"/>
      <c r="H68" s="273"/>
      <c r="I68" s="273"/>
      <c r="J68" s="273"/>
      <c r="K68" s="273"/>
      <c r="L68" s="273"/>
      <c r="M68" s="1701"/>
    </row>
    <row r="69" spans="1:13" ht="22.15" customHeight="1">
      <c r="A69" s="1696">
        <v>3988</v>
      </c>
      <c r="B69" s="273" t="s">
        <v>931</v>
      </c>
      <c r="C69" s="273">
        <f>'7.mell.'!H53</f>
        <v>900</v>
      </c>
      <c r="D69" s="224">
        <f t="shared" si="1"/>
        <v>900</v>
      </c>
      <c r="E69" s="224"/>
      <c r="F69" s="1685">
        <v>900</v>
      </c>
      <c r="G69" s="273"/>
      <c r="H69" s="273"/>
      <c r="I69" s="273"/>
      <c r="J69" s="273"/>
      <c r="K69" s="273"/>
      <c r="L69" s="273"/>
      <c r="M69" s="1701"/>
    </row>
    <row r="70" spans="1:13" ht="22.15" customHeight="1">
      <c r="A70" s="1696">
        <v>3989</v>
      </c>
      <c r="B70" s="277" t="s">
        <v>278</v>
      </c>
      <c r="C70" s="273">
        <f>'7.mell.'!H51</f>
        <v>5500</v>
      </c>
      <c r="D70" s="224">
        <f t="shared" si="1"/>
        <v>5500</v>
      </c>
      <c r="E70" s="224"/>
      <c r="F70" s="1685">
        <v>5500</v>
      </c>
      <c r="G70" s="273"/>
      <c r="H70" s="273"/>
      <c r="I70" s="273"/>
      <c r="J70" s="273"/>
      <c r="K70" s="273"/>
      <c r="L70" s="273"/>
      <c r="M70" s="1701"/>
    </row>
    <row r="71" spans="1:13" ht="22.15" customHeight="1">
      <c r="A71" s="1696">
        <v>3990</v>
      </c>
      <c r="B71" s="278" t="s">
        <v>242</v>
      </c>
      <c r="C71" s="273">
        <f>'7.mell.'!H54</f>
        <v>1000</v>
      </c>
      <c r="D71" s="224">
        <f t="shared" si="1"/>
        <v>1000</v>
      </c>
      <c r="E71" s="224"/>
      <c r="F71" s="1685">
        <v>1000</v>
      </c>
      <c r="G71" s="273"/>
      <c r="H71" s="273"/>
      <c r="I71" s="273"/>
      <c r="J71" s="273"/>
      <c r="K71" s="273"/>
      <c r="L71" s="273"/>
      <c r="M71" s="1701"/>
    </row>
    <row r="72" spans="1:13" ht="22.15" customHeight="1">
      <c r="A72" s="1696">
        <v>3991</v>
      </c>
      <c r="B72" s="278" t="s">
        <v>275</v>
      </c>
      <c r="C72" s="273">
        <f>'7.mell.'!H55</f>
        <v>6025</v>
      </c>
      <c r="D72" s="224">
        <f t="shared" si="1"/>
        <v>6025</v>
      </c>
      <c r="E72" s="224"/>
      <c r="F72" s="1685">
        <v>4820</v>
      </c>
      <c r="G72" s="273"/>
      <c r="H72" s="273"/>
      <c r="I72" s="273"/>
      <c r="J72" s="273"/>
      <c r="K72" s="273">
        <v>1205</v>
      </c>
      <c r="L72" s="273"/>
      <c r="M72" s="1701"/>
    </row>
    <row r="73" spans="1:13" ht="22.15" customHeight="1">
      <c r="A73" s="1698">
        <v>3992</v>
      </c>
      <c r="B73" s="278" t="s">
        <v>243</v>
      </c>
      <c r="C73" s="273">
        <f>'7.mell.'!H56</f>
        <v>1400</v>
      </c>
      <c r="D73" s="224">
        <f t="shared" si="1"/>
        <v>1400</v>
      </c>
      <c r="E73" s="224"/>
      <c r="F73" s="1685">
        <v>1400</v>
      </c>
      <c r="G73" s="273"/>
      <c r="H73" s="273"/>
      <c r="I73" s="273"/>
      <c r="J73" s="273"/>
      <c r="K73" s="273"/>
      <c r="L73" s="273"/>
      <c r="M73" s="1701"/>
    </row>
    <row r="74" spans="1:13" ht="22.15" customHeight="1">
      <c r="A74" s="1696">
        <v>3993</v>
      </c>
      <c r="B74" s="278" t="s">
        <v>244</v>
      </c>
      <c r="C74" s="273">
        <f>'7.mell.'!H57</f>
        <v>900</v>
      </c>
      <c r="D74" s="224">
        <f t="shared" si="1"/>
        <v>900</v>
      </c>
      <c r="E74" s="224"/>
      <c r="F74" s="1685">
        <v>900</v>
      </c>
      <c r="G74" s="273"/>
      <c r="H74" s="273"/>
      <c r="I74" s="273"/>
      <c r="J74" s="273"/>
      <c r="K74" s="273"/>
      <c r="L74" s="273"/>
      <c r="M74" s="1701"/>
    </row>
    <row r="75" spans="1:13" ht="22.15" customHeight="1">
      <c r="A75" s="1696">
        <v>3994</v>
      </c>
      <c r="B75" s="278" t="s">
        <v>73</v>
      </c>
      <c r="C75" s="273">
        <f>'7.mell.'!H58</f>
        <v>900</v>
      </c>
      <c r="D75" s="224">
        <f t="shared" si="1"/>
        <v>900</v>
      </c>
      <c r="E75" s="224"/>
      <c r="F75" s="1685">
        <v>900</v>
      </c>
      <c r="G75" s="273"/>
      <c r="H75" s="273"/>
      <c r="I75" s="273"/>
      <c r="J75" s="273"/>
      <c r="K75" s="273"/>
      <c r="L75" s="273"/>
      <c r="M75" s="1701"/>
    </row>
    <row r="76" spans="1:13" ht="22.15" customHeight="1">
      <c r="A76" s="1696">
        <v>3995</v>
      </c>
      <c r="B76" s="278" t="s">
        <v>74</v>
      </c>
      <c r="C76" s="273">
        <f>'7.mell.'!H59</f>
        <v>692</v>
      </c>
      <c r="D76" s="224">
        <f t="shared" si="1"/>
        <v>692</v>
      </c>
      <c r="E76" s="224"/>
      <c r="F76" s="1685">
        <v>467</v>
      </c>
      <c r="G76" s="273"/>
      <c r="H76" s="273"/>
      <c r="I76" s="273"/>
      <c r="J76" s="273"/>
      <c r="K76" s="273">
        <v>225</v>
      </c>
      <c r="L76" s="273"/>
      <c r="M76" s="1701"/>
    </row>
    <row r="77" spans="1:13" ht="22.15" customHeight="1">
      <c r="A77" s="1696">
        <v>3997</v>
      </c>
      <c r="B77" s="278" t="s">
        <v>75</v>
      </c>
      <c r="C77" s="273">
        <f>'7.mell.'!H60</f>
        <v>900</v>
      </c>
      <c r="D77" s="224">
        <f t="shared" si="1"/>
        <v>900</v>
      </c>
      <c r="E77" s="224"/>
      <c r="F77" s="1685">
        <v>900</v>
      </c>
      <c r="G77" s="273"/>
      <c r="H77" s="273"/>
      <c r="I77" s="273"/>
      <c r="J77" s="273"/>
      <c r="K77" s="273"/>
      <c r="L77" s="273"/>
      <c r="M77" s="1701"/>
    </row>
    <row r="78" spans="1:13" ht="22.15" customHeight="1">
      <c r="A78" s="1696">
        <v>3998</v>
      </c>
      <c r="B78" s="278" t="s">
        <v>76</v>
      </c>
      <c r="C78" s="273">
        <f>'7.mell.'!H61</f>
        <v>1125</v>
      </c>
      <c r="D78" s="224">
        <f t="shared" si="1"/>
        <v>1125</v>
      </c>
      <c r="E78" s="224"/>
      <c r="F78" s="1685">
        <v>900</v>
      </c>
      <c r="G78" s="273"/>
      <c r="H78" s="273"/>
      <c r="I78" s="273"/>
      <c r="J78" s="273"/>
      <c r="K78" s="273">
        <v>225</v>
      </c>
      <c r="L78" s="273"/>
      <c r="M78" s="1701"/>
    </row>
    <row r="79" spans="1:13" ht="22.15" customHeight="1">
      <c r="A79" s="1696">
        <v>3999</v>
      </c>
      <c r="B79" s="278" t="s">
        <v>77</v>
      </c>
      <c r="C79" s="273">
        <f>'7.mell.'!H62</f>
        <v>1250</v>
      </c>
      <c r="D79" s="224">
        <f t="shared" si="1"/>
        <v>1250</v>
      </c>
      <c r="E79" s="224"/>
      <c r="F79" s="1685">
        <v>1000</v>
      </c>
      <c r="G79" s="273"/>
      <c r="H79" s="273"/>
      <c r="I79" s="273"/>
      <c r="J79" s="273"/>
      <c r="K79" s="273">
        <v>250</v>
      </c>
      <c r="L79" s="273"/>
      <c r="M79" s="1701"/>
    </row>
    <row r="80" spans="1:13" ht="22.15" customHeight="1">
      <c r="A80" s="1696">
        <v>4020</v>
      </c>
      <c r="B80" s="278" t="s">
        <v>736</v>
      </c>
      <c r="C80" s="273">
        <f>'8.mell.'!H21</f>
        <v>0</v>
      </c>
      <c r="D80" s="224">
        <f t="shared" si="1"/>
        <v>0</v>
      </c>
      <c r="E80" s="224"/>
      <c r="F80" s="1685"/>
      <c r="G80" s="273"/>
      <c r="H80" s="273"/>
      <c r="I80" s="273"/>
      <c r="J80" s="273"/>
      <c r="K80" s="273"/>
      <c r="L80" s="273"/>
      <c r="M80" s="1701"/>
    </row>
    <row r="81" spans="1:13" ht="22.15" customHeight="1">
      <c r="A81" s="1696">
        <v>4132</v>
      </c>
      <c r="B81" s="353" t="s">
        <v>93</v>
      </c>
      <c r="C81" s="273">
        <f>'8.mell.'!H72</f>
        <v>14819</v>
      </c>
      <c r="D81" s="224">
        <f t="shared" si="1"/>
        <v>14819</v>
      </c>
      <c r="E81" s="224"/>
      <c r="F81" s="1685">
        <v>3257</v>
      </c>
      <c r="G81" s="273"/>
      <c r="H81" s="273"/>
      <c r="I81" s="273"/>
      <c r="J81" s="273"/>
      <c r="K81" s="273">
        <v>11562</v>
      </c>
      <c r="L81" s="273"/>
      <c r="M81" s="1701"/>
    </row>
    <row r="82" spans="1:13" ht="22.15" customHeight="1">
      <c r="A82" s="1696">
        <v>4324</v>
      </c>
      <c r="B82" s="279" t="s">
        <v>412</v>
      </c>
      <c r="C82" s="273">
        <f>'8.mell.'!H96</f>
        <v>0</v>
      </c>
      <c r="D82" s="224">
        <f t="shared" ref="D82:D99" si="2">SUM(E82:M82)</f>
        <v>0</v>
      </c>
      <c r="E82" s="224"/>
      <c r="F82" s="1685"/>
      <c r="G82" s="273"/>
      <c r="H82" s="273"/>
      <c r="I82" s="273"/>
      <c r="J82" s="273"/>
      <c r="K82" s="273"/>
      <c r="L82" s="273"/>
      <c r="M82" s="1701"/>
    </row>
    <row r="83" spans="1:13" ht="22.15" customHeight="1">
      <c r="A83" s="1696">
        <v>5002</v>
      </c>
      <c r="B83" s="279" t="s">
        <v>915</v>
      </c>
      <c r="C83" s="273">
        <f>'9.mell '!H11</f>
        <v>0</v>
      </c>
      <c r="D83" s="224">
        <f t="shared" si="2"/>
        <v>45507</v>
      </c>
      <c r="E83" s="224"/>
      <c r="F83" s="1685"/>
      <c r="G83" s="273"/>
      <c r="H83" s="273"/>
      <c r="I83" s="273"/>
      <c r="J83" s="273"/>
      <c r="K83" s="273">
        <v>45507</v>
      </c>
      <c r="L83" s="273"/>
      <c r="M83" s="1701"/>
    </row>
    <row r="84" spans="1:13" ht="22.15" customHeight="1">
      <c r="A84" s="1696">
        <v>5003</v>
      </c>
      <c r="B84" s="273" t="s">
        <v>870</v>
      </c>
      <c r="C84" s="273">
        <f>'9.mell '!H12</f>
        <v>0</v>
      </c>
      <c r="D84" s="224">
        <f t="shared" si="2"/>
        <v>0</v>
      </c>
      <c r="E84" s="224"/>
      <c r="F84" s="1685"/>
      <c r="G84" s="273"/>
      <c r="H84" s="273"/>
      <c r="I84" s="273"/>
      <c r="J84" s="273"/>
      <c r="K84" s="273"/>
      <c r="L84" s="273"/>
      <c r="M84" s="1701"/>
    </row>
    <row r="85" spans="1:13" ht="22.15" customHeight="1">
      <c r="A85" s="1696">
        <v>5004</v>
      </c>
      <c r="B85" s="273" t="s">
        <v>919</v>
      </c>
      <c r="C85" s="273">
        <f>'9.mell '!H13</f>
        <v>0</v>
      </c>
      <c r="D85" s="224">
        <f t="shared" si="2"/>
        <v>0</v>
      </c>
      <c r="E85" s="224"/>
      <c r="F85" s="1685"/>
      <c r="G85" s="273"/>
      <c r="H85" s="273"/>
      <c r="I85" s="273"/>
      <c r="J85" s="273"/>
      <c r="K85" s="273"/>
      <c r="L85" s="273"/>
      <c r="M85" s="1701"/>
    </row>
    <row r="86" spans="1:13" ht="22.15" customHeight="1">
      <c r="A86" s="1696">
        <v>5009</v>
      </c>
      <c r="B86" s="273" t="s">
        <v>892</v>
      </c>
      <c r="C86" s="273">
        <f>'9.mell '!H19</f>
        <v>0</v>
      </c>
      <c r="D86" s="224">
        <f t="shared" si="2"/>
        <v>0</v>
      </c>
      <c r="E86" s="224"/>
      <c r="F86" s="1685"/>
      <c r="G86" s="273"/>
      <c r="H86" s="273"/>
      <c r="I86" s="273"/>
      <c r="J86" s="273"/>
      <c r="K86" s="273"/>
      <c r="L86" s="273"/>
      <c r="M86" s="1701"/>
    </row>
    <row r="87" spans="1:13" ht="22.15" customHeight="1">
      <c r="A87" s="1696">
        <v>5010</v>
      </c>
      <c r="B87" s="273" t="s">
        <v>975</v>
      </c>
      <c r="C87" s="273">
        <f>SUM('9.mell '!H21)</f>
        <v>1841</v>
      </c>
      <c r="D87" s="224">
        <f t="shared" si="2"/>
        <v>1841</v>
      </c>
      <c r="E87" s="224"/>
      <c r="F87" s="1685">
        <v>1841</v>
      </c>
      <c r="G87" s="273"/>
      <c r="H87" s="273"/>
      <c r="I87" s="273"/>
      <c r="J87" s="273"/>
      <c r="K87" s="273"/>
      <c r="L87" s="273"/>
      <c r="M87" s="1701"/>
    </row>
    <row r="88" spans="1:13" ht="22.15" customHeight="1">
      <c r="A88" s="1696">
        <v>5012</v>
      </c>
      <c r="B88" s="273" t="s">
        <v>879</v>
      </c>
      <c r="C88" s="273">
        <f>'9.mell '!H23</f>
        <v>17717</v>
      </c>
      <c r="D88" s="224">
        <f t="shared" si="2"/>
        <v>181284</v>
      </c>
      <c r="E88" s="224"/>
      <c r="F88" s="1685"/>
      <c r="G88" s="273"/>
      <c r="H88" s="273"/>
      <c r="I88" s="273"/>
      <c r="J88" s="273"/>
      <c r="K88" s="273">
        <v>181284</v>
      </c>
      <c r="L88" s="273"/>
      <c r="M88" s="1701"/>
    </row>
    <row r="89" spans="1:13" ht="22.15" customHeight="1">
      <c r="A89" s="1696">
        <v>5013</v>
      </c>
      <c r="B89" s="273" t="s">
        <v>387</v>
      </c>
      <c r="C89" s="273">
        <f>'9.mell '!H26</f>
        <v>1963</v>
      </c>
      <c r="D89" s="224">
        <f t="shared" si="2"/>
        <v>1963</v>
      </c>
      <c r="E89" s="224"/>
      <c r="F89" s="1685">
        <v>1786</v>
      </c>
      <c r="G89" s="273"/>
      <c r="H89" s="273"/>
      <c r="I89" s="273"/>
      <c r="J89" s="273"/>
      <c r="K89" s="273">
        <v>177</v>
      </c>
      <c r="L89" s="273"/>
      <c r="M89" s="1701"/>
    </row>
    <row r="90" spans="1:13" ht="22.15" customHeight="1">
      <c r="A90" s="1696">
        <v>5014</v>
      </c>
      <c r="B90" s="431" t="s">
        <v>389</v>
      </c>
      <c r="C90" s="273">
        <f>'9.mell '!H29</f>
        <v>18487</v>
      </c>
      <c r="D90" s="224">
        <f t="shared" si="2"/>
        <v>20000</v>
      </c>
      <c r="E90" s="224"/>
      <c r="F90" s="1685"/>
      <c r="G90" s="273"/>
      <c r="H90" s="273"/>
      <c r="I90" s="273"/>
      <c r="J90" s="273"/>
      <c r="K90" s="273">
        <v>20000</v>
      </c>
      <c r="L90" s="273"/>
      <c r="M90" s="1701"/>
    </row>
    <row r="91" spans="1:13" ht="22.15" customHeight="1">
      <c r="A91" s="1696">
        <v>5015</v>
      </c>
      <c r="B91" s="432" t="s">
        <v>391</v>
      </c>
      <c r="C91" s="273">
        <f>'9.mell '!H30</f>
        <v>2562</v>
      </c>
      <c r="D91" s="224">
        <f t="shared" si="2"/>
        <v>2562</v>
      </c>
      <c r="E91" s="224"/>
      <c r="F91" s="1685">
        <v>637</v>
      </c>
      <c r="G91" s="273"/>
      <c r="H91" s="273"/>
      <c r="I91" s="273"/>
      <c r="J91" s="273"/>
      <c r="K91" s="273">
        <v>1925</v>
      </c>
      <c r="L91" s="273"/>
      <c r="M91" s="1701"/>
    </row>
    <row r="92" spans="1:13" ht="22.15" customHeight="1">
      <c r="A92" s="1696">
        <v>5016</v>
      </c>
      <c r="B92" s="433" t="s">
        <v>423</v>
      </c>
      <c r="C92" s="273">
        <f>'9.mell '!H33</f>
        <v>0</v>
      </c>
      <c r="D92" s="224">
        <f t="shared" si="2"/>
        <v>0</v>
      </c>
      <c r="E92" s="224"/>
      <c r="F92" s="1685"/>
      <c r="G92" s="273"/>
      <c r="H92" s="273"/>
      <c r="I92" s="273"/>
      <c r="J92" s="273"/>
      <c r="K92" s="273"/>
      <c r="L92" s="273"/>
      <c r="M92" s="1701"/>
    </row>
    <row r="93" spans="1:13" ht="22.15" customHeight="1">
      <c r="A93" s="1696">
        <v>5019</v>
      </c>
      <c r="B93" s="433" t="s">
        <v>883</v>
      </c>
      <c r="C93" s="273">
        <f>'9.mell '!H35</f>
        <v>113344</v>
      </c>
      <c r="D93" s="224">
        <f t="shared" si="2"/>
        <v>113958</v>
      </c>
      <c r="E93" s="224"/>
      <c r="F93" s="1685"/>
      <c r="G93" s="273"/>
      <c r="H93" s="273"/>
      <c r="I93" s="273"/>
      <c r="J93" s="273"/>
      <c r="K93" s="273">
        <v>113958</v>
      </c>
      <c r="L93" s="273"/>
      <c r="M93" s="1701"/>
    </row>
    <row r="94" spans="1:13" ht="22.15" customHeight="1">
      <c r="A94" s="1696">
        <v>5023</v>
      </c>
      <c r="B94" s="279" t="s">
        <v>935</v>
      </c>
      <c r="C94" s="273">
        <f>'9.mell '!H42</f>
        <v>893614</v>
      </c>
      <c r="D94" s="224">
        <f t="shared" si="2"/>
        <v>1810211</v>
      </c>
      <c r="E94" s="224"/>
      <c r="F94" s="1685"/>
      <c r="G94" s="273"/>
      <c r="H94" s="273"/>
      <c r="I94" s="273"/>
      <c r="J94" s="273"/>
      <c r="K94" s="273">
        <v>1810211</v>
      </c>
      <c r="L94" s="273"/>
      <c r="M94" s="1701"/>
    </row>
    <row r="95" spans="1:13" ht="22.15" customHeight="1">
      <c r="A95" s="1696">
        <v>5026</v>
      </c>
      <c r="B95" s="279" t="s">
        <v>1043</v>
      </c>
      <c r="C95" s="273">
        <f>'9.mell '!H45</f>
        <v>0</v>
      </c>
      <c r="D95" s="224">
        <f t="shared" si="2"/>
        <v>0</v>
      </c>
      <c r="E95" s="224"/>
      <c r="F95" s="1685"/>
      <c r="G95" s="273"/>
      <c r="H95" s="273"/>
      <c r="I95" s="273"/>
      <c r="J95" s="273"/>
      <c r="K95" s="273"/>
      <c r="L95" s="273"/>
      <c r="M95" s="1701"/>
    </row>
    <row r="96" spans="1:13" ht="22.15" customHeight="1">
      <c r="A96" s="1696">
        <v>5034</v>
      </c>
      <c r="B96" s="279" t="s">
        <v>905</v>
      </c>
      <c r="C96" s="273">
        <f>'9.mell '!H55</f>
        <v>108</v>
      </c>
      <c r="D96" s="224">
        <f t="shared" si="2"/>
        <v>108</v>
      </c>
      <c r="E96" s="224"/>
      <c r="F96" s="1685"/>
      <c r="G96" s="273"/>
      <c r="H96" s="273"/>
      <c r="I96" s="273"/>
      <c r="J96" s="273"/>
      <c r="K96" s="273">
        <v>108</v>
      </c>
      <c r="L96" s="273"/>
      <c r="M96" s="1701"/>
    </row>
    <row r="97" spans="1:13" ht="22.15" customHeight="1">
      <c r="A97" s="1696">
        <v>5062</v>
      </c>
      <c r="B97" s="279" t="s">
        <v>1010</v>
      </c>
      <c r="C97" s="273">
        <f>SUM('9.mell '!H64)</f>
        <v>31717</v>
      </c>
      <c r="D97" s="224">
        <f t="shared" si="2"/>
        <v>31717</v>
      </c>
      <c r="E97" s="224"/>
      <c r="F97" s="1685"/>
      <c r="G97" s="273"/>
      <c r="H97" s="273">
        <v>31717</v>
      </c>
      <c r="I97" s="273"/>
      <c r="J97" s="273"/>
      <c r="K97" s="273"/>
      <c r="L97" s="273"/>
      <c r="M97" s="1701"/>
    </row>
    <row r="98" spans="1:13" ht="22.15" customHeight="1">
      <c r="A98" s="1696">
        <v>6142</v>
      </c>
      <c r="B98" s="279" t="s">
        <v>867</v>
      </c>
      <c r="C98" s="273">
        <f>SUM('10.mell. '!H22)</f>
        <v>0</v>
      </c>
      <c r="D98" s="224">
        <f t="shared" ref="D98" si="3">SUM(E98:M98)</f>
        <v>0</v>
      </c>
      <c r="E98" s="224"/>
      <c r="F98" s="1685"/>
      <c r="G98" s="273"/>
      <c r="H98" s="273"/>
      <c r="I98" s="273"/>
      <c r="J98" s="273"/>
      <c r="K98" s="273"/>
      <c r="L98" s="273"/>
      <c r="M98" s="1701"/>
    </row>
    <row r="99" spans="1:13" ht="22.15" customHeight="1" thickBot="1">
      <c r="A99" s="1702">
        <v>6143</v>
      </c>
      <c r="B99" s="1703" t="s">
        <v>1009</v>
      </c>
      <c r="C99" s="1704">
        <f>SUM('10.mell. '!H23)</f>
        <v>0</v>
      </c>
      <c r="D99" s="1705">
        <f t="shared" si="2"/>
        <v>200000</v>
      </c>
      <c r="E99" s="1705"/>
      <c r="F99" s="1706"/>
      <c r="G99" s="1704"/>
      <c r="H99" s="1704"/>
      <c r="I99" s="1704"/>
      <c r="J99" s="1704"/>
      <c r="K99" s="1704">
        <v>200000</v>
      </c>
      <c r="L99" s="1704"/>
      <c r="M99" s="1707"/>
    </row>
    <row r="100" spans="1:13" ht="21" customHeight="1" thickBot="1">
      <c r="A100" s="1708"/>
      <c r="B100" s="1709" t="s">
        <v>110</v>
      </c>
      <c r="C100" s="1710">
        <f>SUM(C7:C99)</f>
        <v>6944475</v>
      </c>
      <c r="D100" s="1710">
        <f>SUM(D7:D99)</f>
        <v>8307099</v>
      </c>
      <c r="E100" s="1710">
        <f t="shared" ref="E100:M100" si="4">SUM(E7:E99)</f>
        <v>0</v>
      </c>
      <c r="F100" s="1710">
        <f t="shared" si="4"/>
        <v>2777788</v>
      </c>
      <c r="G100" s="1710">
        <f t="shared" si="4"/>
        <v>2721594</v>
      </c>
      <c r="H100" s="1710">
        <f t="shared" si="4"/>
        <v>31717</v>
      </c>
      <c r="I100" s="1710">
        <f t="shared" si="4"/>
        <v>7564</v>
      </c>
      <c r="J100" s="1710">
        <f t="shared" si="4"/>
        <v>0</v>
      </c>
      <c r="K100" s="1710">
        <f t="shared" si="4"/>
        <v>2768436</v>
      </c>
      <c r="L100" s="1710">
        <f t="shared" si="4"/>
        <v>0</v>
      </c>
      <c r="M100" s="1711">
        <f t="shared" si="4"/>
        <v>0</v>
      </c>
    </row>
    <row r="102" spans="1:13">
      <c r="B102" s="357"/>
      <c r="C102" s="378"/>
      <c r="D102" s="358"/>
    </row>
    <row r="103" spans="1:13">
      <c r="B103" s="357"/>
      <c r="C103" s="378"/>
      <c r="E103" s="378"/>
    </row>
    <row r="104" spans="1:13">
      <c r="C104" s="378"/>
    </row>
    <row r="105" spans="1:13">
      <c r="C105" s="378"/>
    </row>
  </sheetData>
  <mergeCells count="13">
    <mergeCell ref="K5:K6"/>
    <mergeCell ref="L5:L6"/>
    <mergeCell ref="M5:M6"/>
    <mergeCell ref="A1:M1"/>
    <mergeCell ref="B2:L2"/>
    <mergeCell ref="B3:L3"/>
    <mergeCell ref="B5:B6"/>
    <mergeCell ref="D5:D6"/>
    <mergeCell ref="E5:E6"/>
    <mergeCell ref="F5:F6"/>
    <mergeCell ref="G5:H5"/>
    <mergeCell ref="I5:J5"/>
    <mergeCell ref="C5:C6"/>
  </mergeCells>
  <pageMargins left="1.1811023622047245" right="0.78740157480314965" top="0.39370078740157483" bottom="0.19685039370078741" header="0.31496062992125984" footer="0"/>
  <pageSetup paperSize="9" scale="58" firstPageNumber="58" orientation="landscape" useFirstPageNumber="1" r:id="rId1"/>
  <headerFooter alignWithMargins="0">
    <oddFooter>&amp;C&amp;P. oldal</oddFooter>
  </headerFooter>
  <rowBreaks count="2" manualBreakCount="2">
    <brk id="46" max="16383" man="1"/>
    <brk id="82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3:G14"/>
  <sheetViews>
    <sheetView zoomScaleNormal="100" workbookViewId="0">
      <selection activeCell="J8" sqref="J8"/>
    </sheetView>
  </sheetViews>
  <sheetFormatPr defaultRowHeight="12.75"/>
  <cols>
    <col min="2" max="2" width="45" customWidth="1"/>
    <col min="3" max="3" width="13.85546875" customWidth="1"/>
    <col min="4" max="4" width="14.85546875" customWidth="1"/>
    <col min="5" max="5" width="21" customWidth="1"/>
    <col min="6" max="6" width="18.85546875" customWidth="1"/>
    <col min="7" max="7" width="12" customWidth="1"/>
  </cols>
  <sheetData>
    <row r="3" spans="2:7">
      <c r="B3" s="2045" t="s">
        <v>1522</v>
      </c>
      <c r="C3" s="2045"/>
      <c r="D3" s="2045"/>
      <c r="E3" s="2045"/>
      <c r="F3" s="2045"/>
      <c r="G3" s="2045"/>
    </row>
    <row r="4" spans="2:7" ht="18.75" customHeight="1">
      <c r="B4" s="2046" t="s">
        <v>632</v>
      </c>
      <c r="C4" s="2046"/>
      <c r="D4" s="2046"/>
      <c r="E4" s="2046"/>
      <c r="F4" s="2046"/>
      <c r="G4" s="2046"/>
    </row>
    <row r="5" spans="2:7" ht="18.75">
      <c r="B5" s="2047" t="s">
        <v>967</v>
      </c>
      <c r="C5" s="2047"/>
      <c r="D5" s="2047"/>
      <c r="E5" s="2047"/>
      <c r="F5" s="2047"/>
    </row>
    <row r="6" spans="2:7" ht="18.75">
      <c r="B6" s="229"/>
      <c r="C6" s="229"/>
      <c r="D6" s="229"/>
      <c r="E6" s="229"/>
      <c r="F6" s="229"/>
    </row>
    <row r="7" spans="2:7" ht="15.75" thickBot="1">
      <c r="G7" s="1401" t="s">
        <v>1353</v>
      </c>
    </row>
    <row r="8" spans="2:7" ht="132" customHeight="1" thickBot="1">
      <c r="B8" s="1141" t="s">
        <v>633</v>
      </c>
      <c r="C8" s="1328" t="s">
        <v>1521</v>
      </c>
      <c r="D8" s="1328" t="s">
        <v>619</v>
      </c>
      <c r="E8" s="1329" t="s">
        <v>634</v>
      </c>
      <c r="F8" s="1329" t="s">
        <v>635</v>
      </c>
      <c r="G8" s="1330" t="s">
        <v>636</v>
      </c>
    </row>
    <row r="9" spans="2:7" ht="14.25">
      <c r="B9" s="1325" t="s">
        <v>218</v>
      </c>
      <c r="C9" s="1228"/>
      <c r="D9" s="230"/>
      <c r="E9" s="1326"/>
      <c r="F9" s="1326"/>
      <c r="G9" s="1327"/>
    </row>
    <row r="10" spans="2:7" ht="23.25" customHeight="1">
      <c r="B10" s="1316" t="s">
        <v>1786</v>
      </c>
      <c r="C10" s="231">
        <v>557921</v>
      </c>
      <c r="D10" s="231">
        <v>557921</v>
      </c>
      <c r="E10" s="232"/>
      <c r="F10" s="232"/>
      <c r="G10" s="1317">
        <v>557921</v>
      </c>
    </row>
    <row r="11" spans="2:7" ht="18" customHeight="1" thickBot="1">
      <c r="B11" s="1318"/>
      <c r="C11" s="1319"/>
      <c r="D11" s="1319"/>
      <c r="E11" s="1319"/>
      <c r="F11" s="1319"/>
      <c r="G11" s="1320"/>
    </row>
    <row r="12" spans="2:7" ht="23.25" customHeight="1" thickBot="1">
      <c r="B12" s="1321" t="s">
        <v>110</v>
      </c>
      <c r="C12" s="1322">
        <f>SUM(C10:C11)</f>
        <v>557921</v>
      </c>
      <c r="D12" s="1322">
        <f>SUM(D10:D11)</f>
        <v>557921</v>
      </c>
      <c r="E12" s="1322">
        <f>SUM(E10:E11)</f>
        <v>0</v>
      </c>
      <c r="F12" s="1323"/>
      <c r="G12" s="1324">
        <f>SUM(G10:G11)</f>
        <v>557921</v>
      </c>
    </row>
    <row r="14" spans="2:7">
      <c r="D14" s="30"/>
    </row>
  </sheetData>
  <mergeCells count="3">
    <mergeCell ref="B3:G3"/>
    <mergeCell ref="B4:G4"/>
    <mergeCell ref="B5:F5"/>
  </mergeCells>
  <pageMargins left="0.39370078740157483" right="0.39370078740157483" top="0.98425196850393704" bottom="0.98425196850393704" header="0.51181102362204722" footer="0.51181102362204722"/>
  <pageSetup paperSize="9" firstPageNumber="61" orientation="landscape" useFirstPageNumber="1" r:id="rId1"/>
  <headerFooter alignWithMargins="0">
    <oddFooter>&amp;C&amp;P. oldal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L32"/>
  <sheetViews>
    <sheetView zoomScaleNormal="100" workbookViewId="0">
      <selection activeCell="E21" sqref="E21:E23"/>
    </sheetView>
  </sheetViews>
  <sheetFormatPr defaultColWidth="9.140625" defaultRowHeight="12.75"/>
  <cols>
    <col min="1" max="1" width="9.140625" style="233"/>
    <col min="2" max="2" width="31.85546875" style="233" customWidth="1"/>
    <col min="3" max="3" width="14.28515625" style="233" customWidth="1"/>
    <col min="4" max="4" width="16.28515625" style="233" customWidth="1"/>
    <col min="5" max="8" width="14.7109375" style="233" customWidth="1"/>
    <col min="9" max="10" width="14.140625" style="233" customWidth="1"/>
    <col min="11" max="11" width="13.85546875" style="233" customWidth="1"/>
    <col min="12" max="16384" width="9.140625" style="233"/>
  </cols>
  <sheetData>
    <row r="2" spans="2:12">
      <c r="B2" s="2062" t="s">
        <v>1523</v>
      </c>
      <c r="C2" s="2062"/>
      <c r="D2" s="2062"/>
      <c r="E2" s="2062"/>
      <c r="F2" s="2062"/>
      <c r="G2" s="2062"/>
      <c r="H2" s="2062"/>
      <c r="I2" s="2063"/>
      <c r="J2" s="2063"/>
      <c r="K2" s="2063"/>
    </row>
    <row r="3" spans="2:12">
      <c r="B3" s="2064" t="s">
        <v>637</v>
      </c>
      <c r="C3" s="2064"/>
      <c r="D3" s="2064"/>
      <c r="E3" s="2064"/>
      <c r="F3" s="2064"/>
      <c r="G3" s="2064"/>
      <c r="H3" s="2064"/>
      <c r="I3" s="2065"/>
      <c r="J3" s="2065"/>
      <c r="K3" s="2065"/>
    </row>
    <row r="4" spans="2:12">
      <c r="B4" s="2065"/>
      <c r="C4" s="2065"/>
      <c r="D4" s="2065"/>
      <c r="E4" s="2065"/>
      <c r="F4" s="2065"/>
      <c r="G4" s="2065"/>
      <c r="H4" s="2065"/>
      <c r="I4" s="2065"/>
      <c r="J4" s="2065"/>
      <c r="K4" s="2065"/>
    </row>
    <row r="5" spans="2:12">
      <c r="B5" s="234"/>
      <c r="C5" s="234"/>
      <c r="D5" s="234"/>
      <c r="E5" s="234"/>
      <c r="F5" s="234"/>
      <c r="G5" s="234"/>
      <c r="H5" s="234"/>
      <c r="I5" s="234"/>
      <c r="J5" s="234"/>
      <c r="K5" s="234"/>
    </row>
    <row r="6" spans="2:12" ht="15.75" thickBot="1">
      <c r="K6" s="1401" t="s">
        <v>1353</v>
      </c>
    </row>
    <row r="7" spans="2:12" ht="12.75" customHeight="1">
      <c r="B7" s="2066" t="s">
        <v>638</v>
      </c>
      <c r="C7" s="2074" t="s">
        <v>1521</v>
      </c>
      <c r="D7" s="2060" t="s">
        <v>1116</v>
      </c>
      <c r="E7" s="2060" t="s">
        <v>1089</v>
      </c>
      <c r="F7" s="2060" t="s">
        <v>1085</v>
      </c>
      <c r="G7" s="2072" t="s">
        <v>1064</v>
      </c>
      <c r="H7" s="2060" t="s">
        <v>1016</v>
      </c>
      <c r="I7" s="2068" t="s">
        <v>823</v>
      </c>
      <c r="J7" s="2068" t="s">
        <v>858</v>
      </c>
      <c r="K7" s="2070" t="s">
        <v>979</v>
      </c>
    </row>
    <row r="8" spans="2:12" ht="30.75" customHeight="1" thickBot="1">
      <c r="B8" s="2067"/>
      <c r="C8" s="2075"/>
      <c r="D8" s="2061"/>
      <c r="E8" s="2061"/>
      <c r="F8" s="2061"/>
      <c r="G8" s="2073"/>
      <c r="H8" s="2061"/>
      <c r="I8" s="2069"/>
      <c r="J8" s="2069"/>
      <c r="K8" s="2071"/>
    </row>
    <row r="9" spans="2:12" ht="12.75" customHeight="1">
      <c r="B9" s="2079" t="s">
        <v>639</v>
      </c>
      <c r="C9" s="2056">
        <f>'2.mell. '!H221+'2.mell. '!H222</f>
        <v>18105003</v>
      </c>
      <c r="D9" s="2056">
        <f>'2.mell. '!G221+'2.mell. '!G222</f>
        <v>18007980</v>
      </c>
      <c r="E9" s="2056">
        <f>'2.mell. '!F221+'2.mell. '!F222</f>
        <v>17330093</v>
      </c>
      <c r="F9" s="2056">
        <f>'2.mell. '!E221+'2.mell. '!E222</f>
        <v>17330093</v>
      </c>
      <c r="G9" s="2056">
        <f>'2.mell. '!D221+'2.mell. '!D222</f>
        <v>17330093</v>
      </c>
      <c r="H9" s="2080">
        <f>'2.mell. '!D221+'2.mell. '!D222</f>
        <v>17330093</v>
      </c>
      <c r="I9" s="2056">
        <v>17500000</v>
      </c>
      <c r="J9" s="2056">
        <v>17500000</v>
      </c>
      <c r="K9" s="2076">
        <v>17500000</v>
      </c>
    </row>
    <row r="10" spans="2:12" ht="12.75" customHeight="1">
      <c r="B10" s="2078"/>
      <c r="C10" s="2057"/>
      <c r="D10" s="2057"/>
      <c r="E10" s="2057"/>
      <c r="F10" s="2057"/>
      <c r="G10" s="2057"/>
      <c r="H10" s="2081"/>
      <c r="I10" s="2057"/>
      <c r="J10" s="2057"/>
      <c r="K10" s="2077"/>
    </row>
    <row r="11" spans="2:12" ht="36" customHeight="1">
      <c r="B11" s="2078"/>
      <c r="C11" s="2057"/>
      <c r="D11" s="2057"/>
      <c r="E11" s="2057"/>
      <c r="F11" s="2057"/>
      <c r="G11" s="2057"/>
      <c r="H11" s="2081"/>
      <c r="I11" s="2057"/>
      <c r="J11" s="2057"/>
      <c r="K11" s="2077"/>
      <c r="L11" s="235"/>
    </row>
    <row r="12" spans="2:12" ht="13.15" customHeight="1">
      <c r="B12" s="2078" t="s">
        <v>949</v>
      </c>
      <c r="C12" s="2057">
        <f>SUM('2.mell. '!H50+'2.mell. '!H51)</f>
        <v>773241</v>
      </c>
      <c r="D12" s="2057">
        <f>SUM('2.mell. '!G50+'2.mell. '!G51)</f>
        <v>773241</v>
      </c>
      <c r="E12" s="2057">
        <f>SUM('2.mell. '!F50+'2.mell. '!F51)</f>
        <v>730082</v>
      </c>
      <c r="F12" s="2057">
        <f>SUM('2.mell. '!E50+'2.mell. '!E51)</f>
        <v>730082</v>
      </c>
      <c r="G12" s="2057">
        <f>SUM('2.mell. '!D50+'2.mell. '!D51)</f>
        <v>730082</v>
      </c>
      <c r="H12" s="2081">
        <f>SUM('2.mell. '!D50+'2.mell. '!D51)</f>
        <v>730082</v>
      </c>
      <c r="I12" s="2057">
        <v>750000</v>
      </c>
      <c r="J12" s="2057">
        <v>750000</v>
      </c>
      <c r="K12" s="2077">
        <v>750000</v>
      </c>
    </row>
    <row r="13" spans="2:12" ht="13.15" customHeight="1">
      <c r="B13" s="2078"/>
      <c r="C13" s="2057"/>
      <c r="D13" s="2057"/>
      <c r="E13" s="2057"/>
      <c r="F13" s="2057"/>
      <c r="G13" s="2057"/>
      <c r="H13" s="2081"/>
      <c r="I13" s="2057"/>
      <c r="J13" s="2057"/>
      <c r="K13" s="2077"/>
    </row>
    <row r="14" spans="2:12" ht="60" customHeight="1">
      <c r="B14" s="2078"/>
      <c r="C14" s="2057"/>
      <c r="D14" s="2057"/>
      <c r="E14" s="2057"/>
      <c r="F14" s="2057"/>
      <c r="G14" s="2057"/>
      <c r="H14" s="2081"/>
      <c r="I14" s="2057"/>
      <c r="J14" s="2057"/>
      <c r="K14" s="2077"/>
      <c r="L14" s="235"/>
    </row>
    <row r="15" spans="2:12" ht="12.75" customHeight="1">
      <c r="B15" s="2078" t="s">
        <v>640</v>
      </c>
      <c r="C15" s="2048" t="s">
        <v>852</v>
      </c>
      <c r="D15" s="2048" t="s">
        <v>852</v>
      </c>
      <c r="E15" s="2048" t="s">
        <v>852</v>
      </c>
      <c r="F15" s="2048" t="s">
        <v>852</v>
      </c>
      <c r="G15" s="2048" t="s">
        <v>852</v>
      </c>
      <c r="H15" s="2085" t="s">
        <v>852</v>
      </c>
      <c r="I15" s="2048" t="s">
        <v>641</v>
      </c>
      <c r="J15" s="2048" t="s">
        <v>641</v>
      </c>
      <c r="K15" s="2082" t="s">
        <v>641</v>
      </c>
    </row>
    <row r="16" spans="2:12" ht="12.75" customHeight="1">
      <c r="B16" s="2078"/>
      <c r="C16" s="2049"/>
      <c r="D16" s="2049"/>
      <c r="E16" s="2049"/>
      <c r="F16" s="2049"/>
      <c r="G16" s="2049"/>
      <c r="H16" s="2086"/>
      <c r="I16" s="2049"/>
      <c r="J16" s="2049"/>
      <c r="K16" s="2083"/>
    </row>
    <row r="17" spans="2:12" ht="27" customHeight="1">
      <c r="B17" s="2078"/>
      <c r="C17" s="2050"/>
      <c r="D17" s="2050"/>
      <c r="E17" s="2050"/>
      <c r="F17" s="2050"/>
      <c r="G17" s="2050"/>
      <c r="H17" s="2087"/>
      <c r="I17" s="2050"/>
      <c r="J17" s="2050"/>
      <c r="K17" s="2084"/>
    </row>
    <row r="18" spans="2:12" ht="12.75" customHeight="1">
      <c r="B18" s="2078" t="s">
        <v>642</v>
      </c>
      <c r="C18" s="2057">
        <f>'2.mell. '!H247</f>
        <v>1110741</v>
      </c>
      <c r="D18" s="2057">
        <f>'2.mell. '!G247</f>
        <v>1013642</v>
      </c>
      <c r="E18" s="2057">
        <f>'2.mell. '!F247</f>
        <v>932407</v>
      </c>
      <c r="F18" s="2057">
        <f>'2.mell. '!E247</f>
        <v>629867</v>
      </c>
      <c r="G18" s="2057">
        <f>'2.mell. '!D247</f>
        <v>200000</v>
      </c>
      <c r="H18" s="2081">
        <f>'2.mell. '!D247</f>
        <v>200000</v>
      </c>
      <c r="I18" s="2057">
        <v>200000</v>
      </c>
      <c r="J18" s="2057">
        <v>200000</v>
      </c>
      <c r="K18" s="2077">
        <v>200000</v>
      </c>
    </row>
    <row r="19" spans="2:12" ht="15.75" customHeight="1">
      <c r="B19" s="2078"/>
      <c r="C19" s="2057"/>
      <c r="D19" s="2057"/>
      <c r="E19" s="2057"/>
      <c r="F19" s="2057"/>
      <c r="G19" s="2057"/>
      <c r="H19" s="2081"/>
      <c r="I19" s="2057"/>
      <c r="J19" s="2057"/>
      <c r="K19" s="2077"/>
    </row>
    <row r="20" spans="2:12" ht="43.5" customHeight="1">
      <c r="B20" s="2078"/>
      <c r="C20" s="2057"/>
      <c r="D20" s="2057"/>
      <c r="E20" s="2057"/>
      <c r="F20" s="2057"/>
      <c r="G20" s="2057"/>
      <c r="H20" s="2081"/>
      <c r="I20" s="2057"/>
      <c r="J20" s="2057"/>
      <c r="K20" s="2077"/>
    </row>
    <row r="21" spans="2:12" ht="12.75" customHeight="1">
      <c r="B21" s="2078" t="s">
        <v>643</v>
      </c>
      <c r="C21" s="2058">
        <f>SUM('2.mell. '!H223)</f>
        <v>1408845</v>
      </c>
      <c r="D21" s="2058">
        <f>SUM('2.mell. '!G223)</f>
        <v>1377013</v>
      </c>
      <c r="E21" s="2058">
        <f>SUM('2.mell. '!F223)</f>
        <v>1078041</v>
      </c>
      <c r="F21" s="2057">
        <f>SUM('2.mell. '!E223)</f>
        <v>1078041</v>
      </c>
      <c r="G21" s="2057">
        <f>SUM('2.mell. '!D223)</f>
        <v>1078041</v>
      </c>
      <c r="H21" s="2081">
        <f>SUM('2.mell. '!D223)</f>
        <v>1078041</v>
      </c>
      <c r="I21" s="2057">
        <v>1100000</v>
      </c>
      <c r="J21" s="2057">
        <v>1100000</v>
      </c>
      <c r="K21" s="2077">
        <v>1100000</v>
      </c>
    </row>
    <row r="22" spans="2:12" ht="12.75" customHeight="1">
      <c r="B22" s="2078"/>
      <c r="C22" s="2059"/>
      <c r="D22" s="2059"/>
      <c r="E22" s="2059"/>
      <c r="F22" s="2057"/>
      <c r="G22" s="2057"/>
      <c r="H22" s="2081"/>
      <c r="I22" s="2057"/>
      <c r="J22" s="2057"/>
      <c r="K22" s="2077"/>
    </row>
    <row r="23" spans="2:12" ht="27" customHeight="1">
      <c r="B23" s="2078"/>
      <c r="C23" s="2056"/>
      <c r="D23" s="2056"/>
      <c r="E23" s="2056"/>
      <c r="F23" s="2057"/>
      <c r="G23" s="2057"/>
      <c r="H23" s="2081"/>
      <c r="I23" s="2057"/>
      <c r="J23" s="2057"/>
      <c r="K23" s="2077"/>
      <c r="L23" s="235"/>
    </row>
    <row r="24" spans="2:12" ht="12.75" customHeight="1">
      <c r="B24" s="2078" t="s">
        <v>644</v>
      </c>
      <c r="C24" s="2048" t="s">
        <v>852</v>
      </c>
      <c r="D24" s="2048" t="s">
        <v>852</v>
      </c>
      <c r="E24" s="2048" t="s">
        <v>852</v>
      </c>
      <c r="F24" s="2048" t="s">
        <v>852</v>
      </c>
      <c r="G24" s="2048" t="s">
        <v>852</v>
      </c>
      <c r="H24" s="2085" t="s">
        <v>852</v>
      </c>
      <c r="I24" s="2048" t="s">
        <v>641</v>
      </c>
      <c r="J24" s="2048" t="s">
        <v>641</v>
      </c>
      <c r="K24" s="2082" t="s">
        <v>641</v>
      </c>
    </row>
    <row r="25" spans="2:12" ht="12.75" customHeight="1">
      <c r="B25" s="2078"/>
      <c r="C25" s="2049"/>
      <c r="D25" s="2049"/>
      <c r="E25" s="2049"/>
      <c r="F25" s="2049"/>
      <c r="G25" s="2049"/>
      <c r="H25" s="2086"/>
      <c r="I25" s="2049"/>
      <c r="J25" s="2049"/>
      <c r="K25" s="2083"/>
    </row>
    <row r="26" spans="2:12" ht="27" customHeight="1">
      <c r="B26" s="2078"/>
      <c r="C26" s="2050"/>
      <c r="D26" s="2050"/>
      <c r="E26" s="2050"/>
      <c r="F26" s="2050"/>
      <c r="G26" s="2050"/>
      <c r="H26" s="2087"/>
      <c r="I26" s="2050"/>
      <c r="J26" s="2050"/>
      <c r="K26" s="2084"/>
    </row>
    <row r="27" spans="2:12" ht="12.75" customHeight="1">
      <c r="B27" s="2093" t="s">
        <v>130</v>
      </c>
      <c r="C27" s="2051">
        <f>SUM(C9:C26)</f>
        <v>21397830</v>
      </c>
      <c r="D27" s="2051">
        <f>SUM(D9:D26)</f>
        <v>21171876</v>
      </c>
      <c r="E27" s="2051">
        <f>SUM(E9:E26)</f>
        <v>20070623</v>
      </c>
      <c r="F27" s="2088">
        <f t="shared" ref="F27:H27" si="0">SUM(F9:F26)</f>
        <v>19768083</v>
      </c>
      <c r="G27" s="2088">
        <f t="shared" ref="G27" si="1">SUM(G9:G26)</f>
        <v>19338216</v>
      </c>
      <c r="H27" s="2100">
        <f t="shared" si="0"/>
        <v>19338216</v>
      </c>
      <c r="I27" s="2088">
        <f t="shared" ref="I27:K27" si="2">SUM(I9:I26)</f>
        <v>19550000</v>
      </c>
      <c r="J27" s="2088">
        <f t="shared" si="2"/>
        <v>19550000</v>
      </c>
      <c r="K27" s="2090">
        <f t="shared" si="2"/>
        <v>19550000</v>
      </c>
    </row>
    <row r="28" spans="2:12" ht="12.75" customHeight="1">
      <c r="B28" s="2093"/>
      <c r="C28" s="2052"/>
      <c r="D28" s="2052"/>
      <c r="E28" s="2052"/>
      <c r="F28" s="2088"/>
      <c r="G28" s="2088"/>
      <c r="H28" s="2100"/>
      <c r="I28" s="2088"/>
      <c r="J28" s="2088"/>
      <c r="K28" s="2090"/>
    </row>
    <row r="29" spans="2:12" ht="27.75" customHeight="1" thickBot="1">
      <c r="B29" s="2099"/>
      <c r="C29" s="2053"/>
      <c r="D29" s="2053"/>
      <c r="E29" s="2053"/>
      <c r="F29" s="2089"/>
      <c r="G29" s="2089"/>
      <c r="H29" s="2101"/>
      <c r="I29" s="2089"/>
      <c r="J29" s="2089"/>
      <c r="K29" s="2091"/>
    </row>
    <row r="30" spans="2:12" ht="21" customHeight="1" thickTop="1">
      <c r="B30" s="2092" t="s">
        <v>645</v>
      </c>
      <c r="C30" s="2054">
        <v>0</v>
      </c>
      <c r="D30" s="2054">
        <v>0</v>
      </c>
      <c r="E30" s="2054">
        <v>0</v>
      </c>
      <c r="F30" s="2095">
        <v>0</v>
      </c>
      <c r="G30" s="2095">
        <v>0</v>
      </c>
      <c r="H30" s="2102">
        <v>0</v>
      </c>
      <c r="I30" s="2095">
        <v>0</v>
      </c>
      <c r="J30" s="2095">
        <v>0</v>
      </c>
      <c r="K30" s="2097">
        <v>0</v>
      </c>
    </row>
    <row r="31" spans="2:12" ht="18.75" customHeight="1">
      <c r="B31" s="2093"/>
      <c r="C31" s="2052"/>
      <c r="D31" s="2052"/>
      <c r="E31" s="2052"/>
      <c r="F31" s="2088"/>
      <c r="G31" s="2088"/>
      <c r="H31" s="2100"/>
      <c r="I31" s="2088"/>
      <c r="J31" s="2088"/>
      <c r="K31" s="2090"/>
    </row>
    <row r="32" spans="2:12" ht="18.75" customHeight="1" thickBot="1">
      <c r="B32" s="2094"/>
      <c r="C32" s="2055"/>
      <c r="D32" s="2055"/>
      <c r="E32" s="2055"/>
      <c r="F32" s="2096"/>
      <c r="G32" s="2096"/>
      <c r="H32" s="2103"/>
      <c r="I32" s="2096"/>
      <c r="J32" s="2096"/>
      <c r="K32" s="2098"/>
    </row>
  </sheetData>
  <mergeCells count="92">
    <mergeCell ref="J27:J29"/>
    <mergeCell ref="K27:K29"/>
    <mergeCell ref="B30:B32"/>
    <mergeCell ref="I30:I32"/>
    <mergeCell ref="J30:J32"/>
    <mergeCell ref="K30:K32"/>
    <mergeCell ref="B27:B29"/>
    <mergeCell ref="I27:I29"/>
    <mergeCell ref="H27:H29"/>
    <mergeCell ref="H30:H32"/>
    <mergeCell ref="F27:F29"/>
    <mergeCell ref="F30:F32"/>
    <mergeCell ref="E27:E29"/>
    <mergeCell ref="E30:E32"/>
    <mergeCell ref="G27:G29"/>
    <mergeCell ref="G30:G32"/>
    <mergeCell ref="J21:J23"/>
    <mergeCell ref="K21:K23"/>
    <mergeCell ref="B24:B26"/>
    <mergeCell ref="I24:I26"/>
    <mergeCell ref="J24:J26"/>
    <mergeCell ref="K24:K26"/>
    <mergeCell ref="B21:B23"/>
    <mergeCell ref="I21:I23"/>
    <mergeCell ref="H21:H23"/>
    <mergeCell ref="H24:H26"/>
    <mergeCell ref="F21:F23"/>
    <mergeCell ref="F24:F26"/>
    <mergeCell ref="E21:E23"/>
    <mergeCell ref="E24:E26"/>
    <mergeCell ref="G21:G23"/>
    <mergeCell ref="G24:G26"/>
    <mergeCell ref="J15:J17"/>
    <mergeCell ref="K15:K17"/>
    <mergeCell ref="B18:B20"/>
    <mergeCell ref="I18:I20"/>
    <mergeCell ref="J18:J20"/>
    <mergeCell ref="K18:K20"/>
    <mergeCell ref="B15:B17"/>
    <mergeCell ref="I15:I17"/>
    <mergeCell ref="H15:H17"/>
    <mergeCell ref="H18:H20"/>
    <mergeCell ref="F15:F17"/>
    <mergeCell ref="F18:F20"/>
    <mergeCell ref="E15:E17"/>
    <mergeCell ref="E18:E20"/>
    <mergeCell ref="G15:G17"/>
    <mergeCell ref="G18:G20"/>
    <mergeCell ref="J9:J11"/>
    <mergeCell ref="K9:K11"/>
    <mergeCell ref="B12:B14"/>
    <mergeCell ref="I12:I14"/>
    <mergeCell ref="J12:J14"/>
    <mergeCell ref="K12:K14"/>
    <mergeCell ref="B9:B11"/>
    <mergeCell ref="I9:I11"/>
    <mergeCell ref="H9:H11"/>
    <mergeCell ref="H12:H14"/>
    <mergeCell ref="F9:F11"/>
    <mergeCell ref="F12:F14"/>
    <mergeCell ref="E9:E11"/>
    <mergeCell ref="E12:E14"/>
    <mergeCell ref="G9:G11"/>
    <mergeCell ref="G12:G14"/>
    <mergeCell ref="B2:K2"/>
    <mergeCell ref="B3:K4"/>
    <mergeCell ref="B7:B8"/>
    <mergeCell ref="I7:I8"/>
    <mergeCell ref="J7:J8"/>
    <mergeCell ref="K7:K8"/>
    <mergeCell ref="H7:H8"/>
    <mergeCell ref="F7:F8"/>
    <mergeCell ref="E7:E8"/>
    <mergeCell ref="G7:G8"/>
    <mergeCell ref="C7:C8"/>
    <mergeCell ref="D9:D11"/>
    <mergeCell ref="D7:D8"/>
    <mergeCell ref="D30:D32"/>
    <mergeCell ref="D12:D14"/>
    <mergeCell ref="D18:D20"/>
    <mergeCell ref="D15:D17"/>
    <mergeCell ref="D21:D23"/>
    <mergeCell ref="D24:D26"/>
    <mergeCell ref="D27:D29"/>
    <mergeCell ref="C24:C26"/>
    <mergeCell ref="C27:C29"/>
    <mergeCell ref="C30:C32"/>
    <mergeCell ref="C9:C11"/>
    <mergeCell ref="C12:C14"/>
    <mergeCell ref="C15:C17"/>
    <mergeCell ref="C18:C20"/>
    <mergeCell ref="C21:C23"/>
  </mergeCells>
  <pageMargins left="0.59055118110236227" right="0.78740157480314965" top="0.98425196850393704" bottom="0.98425196850393704" header="0.51181102362204722" footer="0.51181102362204722"/>
  <pageSetup paperSize="9" scale="56" firstPageNumber="63" orientation="portrait" useFirstPageNumber="1" r:id="rId1"/>
  <headerFooter alignWithMargins="0">
    <oddFooter>&amp;C&amp;P.oldal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113"/>
  <sheetViews>
    <sheetView topLeftCell="B1" zoomScaleNormal="100" workbookViewId="0">
      <selection activeCell="E9" sqref="E9"/>
    </sheetView>
  </sheetViews>
  <sheetFormatPr defaultColWidth="8.85546875" defaultRowHeight="15"/>
  <cols>
    <col min="1" max="1" width="6.7109375" style="1306" customWidth="1"/>
    <col min="2" max="2" width="12.85546875" style="1306" bestFit="1" customWidth="1"/>
    <col min="3" max="3" width="48.7109375" style="1306" customWidth="1"/>
    <col min="4" max="4" width="16.85546875" style="1306" customWidth="1"/>
    <col min="5" max="5" width="17.5703125" style="1306" bestFit="1" customWidth="1"/>
  </cols>
  <sheetData>
    <row r="2" spans="2:5">
      <c r="B2" s="2106" t="s">
        <v>1662</v>
      </c>
      <c r="C2" s="2106"/>
      <c r="D2" s="2106"/>
      <c r="E2" s="2106"/>
    </row>
    <row r="3" spans="2:5">
      <c r="B3" s="2106" t="s">
        <v>1663</v>
      </c>
      <c r="C3" s="2106"/>
      <c r="D3" s="2106"/>
      <c r="E3" s="2106"/>
    </row>
    <row r="4" spans="2:5" ht="16.5" thickBot="1">
      <c r="E4" s="1401" t="s">
        <v>1353</v>
      </c>
    </row>
    <row r="5" spans="2:5">
      <c r="B5" s="2107" t="s">
        <v>1661</v>
      </c>
      <c r="C5" s="2109" t="s">
        <v>119</v>
      </c>
      <c r="D5" s="2111" t="s">
        <v>1664</v>
      </c>
      <c r="E5" s="2113" t="s">
        <v>1665</v>
      </c>
    </row>
    <row r="6" spans="2:5" ht="15.75" thickBot="1">
      <c r="B6" s="2108"/>
      <c r="C6" s="2110"/>
      <c r="D6" s="2112"/>
      <c r="E6" s="2114"/>
    </row>
    <row r="7" spans="2:5" ht="25.5">
      <c r="B7" s="1312" t="s">
        <v>1660</v>
      </c>
      <c r="C7" s="1313" t="s">
        <v>646</v>
      </c>
      <c r="D7" s="1314">
        <v>5044010.5290000001</v>
      </c>
      <c r="E7" s="1315">
        <v>5479649.8200000003</v>
      </c>
    </row>
    <row r="8" spans="2:5" ht="25.5">
      <c r="B8" s="1312" t="s">
        <v>1690</v>
      </c>
      <c r="C8" s="1313" t="s">
        <v>1689</v>
      </c>
      <c r="D8" s="1314">
        <v>8.6590000000000007</v>
      </c>
      <c r="E8" s="1315"/>
    </row>
    <row r="9" spans="2:5">
      <c r="B9" s="1312" t="s">
        <v>1692</v>
      </c>
      <c r="C9" s="1313" t="s">
        <v>1691</v>
      </c>
      <c r="D9" s="1314">
        <v>53863.345999999998</v>
      </c>
      <c r="E9" s="1315"/>
    </row>
    <row r="10" spans="2:5" ht="25.5">
      <c r="B10" s="1309" t="s">
        <v>1659</v>
      </c>
      <c r="C10" s="1308" t="s">
        <v>647</v>
      </c>
      <c r="D10" s="1307">
        <v>5134132.415</v>
      </c>
      <c r="E10" s="1310">
        <v>2676970.9950000001</v>
      </c>
    </row>
    <row r="11" spans="2:5" ht="25.5">
      <c r="B11" s="1309" t="s">
        <v>654</v>
      </c>
      <c r="C11" s="1308" t="s">
        <v>1658</v>
      </c>
      <c r="D11" s="1307">
        <v>1244171.3500000001</v>
      </c>
      <c r="E11" s="1310">
        <v>79219.911999999997</v>
      </c>
    </row>
    <row r="12" spans="2:5" ht="27" customHeight="1">
      <c r="B12" s="1309" t="s">
        <v>1111</v>
      </c>
      <c r="C12" s="1308" t="s">
        <v>1112</v>
      </c>
      <c r="D12" s="1307">
        <v>998.62</v>
      </c>
      <c r="E12" s="1310">
        <v>998.62</v>
      </c>
    </row>
    <row r="13" spans="2:5" ht="27" customHeight="1">
      <c r="B13" s="1309" t="s">
        <v>1667</v>
      </c>
      <c r="C13" s="1308" t="s">
        <v>1666</v>
      </c>
      <c r="D13" s="1307">
        <v>53603.087</v>
      </c>
      <c r="E13" s="1310"/>
    </row>
    <row r="14" spans="2:5">
      <c r="B14" s="1309" t="s">
        <v>1657</v>
      </c>
      <c r="C14" s="1308" t="s">
        <v>1656</v>
      </c>
      <c r="D14" s="1307">
        <v>0</v>
      </c>
      <c r="E14" s="1310"/>
    </row>
    <row r="15" spans="2:5">
      <c r="B15" s="1309" t="s">
        <v>649</v>
      </c>
      <c r="C15" s="1308" t="s">
        <v>650</v>
      </c>
      <c r="D15" s="1307">
        <v>132328.095</v>
      </c>
      <c r="E15" s="1310"/>
    </row>
    <row r="16" spans="2:5" ht="25.5">
      <c r="B16" s="1309" t="s">
        <v>1655</v>
      </c>
      <c r="C16" s="1308" t="s">
        <v>1654</v>
      </c>
      <c r="D16" s="1307">
        <v>2120775.932</v>
      </c>
      <c r="E16" s="1310">
        <v>7776113.3600000003</v>
      </c>
    </row>
    <row r="17" spans="2:5">
      <c r="B17" s="1309" t="s">
        <v>1653</v>
      </c>
      <c r="C17" s="1308" t="s">
        <v>651</v>
      </c>
      <c r="D17" s="1307">
        <v>2745388.676</v>
      </c>
      <c r="E17" s="1310"/>
    </row>
    <row r="18" spans="2:5">
      <c r="B18" s="1309" t="s">
        <v>1652</v>
      </c>
      <c r="C18" s="1308" t="s">
        <v>1651</v>
      </c>
      <c r="D18" s="1307">
        <v>13911624.592</v>
      </c>
      <c r="E18" s="1310">
        <v>23530401.977000002</v>
      </c>
    </row>
    <row r="19" spans="2:5">
      <c r="B19" s="1309" t="s">
        <v>652</v>
      </c>
      <c r="C19" s="1308" t="s">
        <v>1650</v>
      </c>
      <c r="D19" s="1307">
        <v>445688.05300000001</v>
      </c>
      <c r="E19" s="1310">
        <v>150</v>
      </c>
    </row>
    <row r="20" spans="2:5">
      <c r="B20" s="1309" t="s">
        <v>1649</v>
      </c>
      <c r="C20" s="1308" t="s">
        <v>653</v>
      </c>
      <c r="D20" s="1307">
        <v>159371.25399999999</v>
      </c>
      <c r="E20" s="1310"/>
    </row>
    <row r="21" spans="2:5">
      <c r="B21" s="1309" t="s">
        <v>1668</v>
      </c>
      <c r="C21" s="1308" t="s">
        <v>1669</v>
      </c>
      <c r="D21" s="1307">
        <v>82478.176999999996</v>
      </c>
      <c r="E21" s="1310"/>
    </row>
    <row r="22" spans="2:5">
      <c r="B22" s="1309" t="s">
        <v>1648</v>
      </c>
      <c r="C22" s="1308" t="s">
        <v>655</v>
      </c>
      <c r="D22" s="1307">
        <v>1119000</v>
      </c>
      <c r="E22" s="1310"/>
    </row>
    <row r="23" spans="2:5">
      <c r="B23" s="1309" t="s">
        <v>1671</v>
      </c>
      <c r="C23" s="1308" t="s">
        <v>1670</v>
      </c>
      <c r="D23" s="1307">
        <v>2133.931</v>
      </c>
      <c r="E23" s="1310"/>
    </row>
    <row r="24" spans="2:5">
      <c r="B24" s="1309" t="s">
        <v>1647</v>
      </c>
      <c r="C24" s="1308" t="s">
        <v>656</v>
      </c>
      <c r="D24" s="1307">
        <v>41260.536999999997</v>
      </c>
      <c r="E24" s="1310"/>
    </row>
    <row r="25" spans="2:5">
      <c r="B25" s="1309" t="s">
        <v>1673</v>
      </c>
      <c r="C25" s="1308" t="s">
        <v>1672</v>
      </c>
      <c r="D25" s="1307">
        <v>1621.36</v>
      </c>
      <c r="E25" s="1310">
        <v>119.824</v>
      </c>
    </row>
    <row r="26" spans="2:5">
      <c r="B26" s="1309" t="s">
        <v>1675</v>
      </c>
      <c r="C26" s="1308" t="s">
        <v>1674</v>
      </c>
      <c r="D26" s="1337">
        <v>1.321</v>
      </c>
      <c r="E26" s="1310"/>
    </row>
    <row r="27" spans="2:5">
      <c r="B27" s="1309" t="s">
        <v>1646</v>
      </c>
      <c r="C27" s="1308" t="s">
        <v>1645</v>
      </c>
      <c r="D27" s="1307">
        <v>1019178.557</v>
      </c>
      <c r="E27" s="1310">
        <v>1686.7829999999999</v>
      </c>
    </row>
    <row r="28" spans="2:5">
      <c r="B28" s="1309" t="s">
        <v>1644</v>
      </c>
      <c r="C28" s="1308" t="s">
        <v>1643</v>
      </c>
      <c r="D28" s="1307"/>
      <c r="E28" s="1310">
        <v>3345.6750000000002</v>
      </c>
    </row>
    <row r="29" spans="2:5">
      <c r="B29" s="1309" t="s">
        <v>1677</v>
      </c>
      <c r="C29" s="1308" t="s">
        <v>1676</v>
      </c>
      <c r="D29" s="1307">
        <v>5585.085</v>
      </c>
      <c r="E29" s="1310">
        <v>1139.825</v>
      </c>
    </row>
    <row r="30" spans="2:5">
      <c r="B30" s="1309" t="s">
        <v>1642</v>
      </c>
      <c r="C30" s="1308" t="s">
        <v>657</v>
      </c>
      <c r="D30" s="1307">
        <v>30098.744999999999</v>
      </c>
      <c r="E30" s="1310"/>
    </row>
    <row r="31" spans="2:5">
      <c r="B31" s="1309" t="s">
        <v>1679</v>
      </c>
      <c r="C31" s="1308" t="s">
        <v>1678</v>
      </c>
      <c r="D31" s="1307">
        <v>4413.049</v>
      </c>
      <c r="E31" s="1310"/>
    </row>
    <row r="32" spans="2:5">
      <c r="B32" s="1309" t="s">
        <v>1681</v>
      </c>
      <c r="C32" s="1308" t="s">
        <v>1680</v>
      </c>
      <c r="D32" s="1307">
        <v>123916.872</v>
      </c>
      <c r="E32" s="1310">
        <v>6312.4070000000002</v>
      </c>
    </row>
    <row r="33" spans="2:5">
      <c r="B33" s="1309" t="s">
        <v>1694</v>
      </c>
      <c r="C33" s="1308" t="s">
        <v>1693</v>
      </c>
      <c r="D33" s="1307"/>
      <c r="E33" s="1310">
        <v>400000</v>
      </c>
    </row>
    <row r="34" spans="2:5">
      <c r="B34" s="1309" t="s">
        <v>1641</v>
      </c>
      <c r="C34" s="1308" t="s">
        <v>658</v>
      </c>
      <c r="D34" s="1307">
        <v>417106.63799999998</v>
      </c>
      <c r="E34" s="1310">
        <v>2932.0369999999998</v>
      </c>
    </row>
    <row r="35" spans="2:5">
      <c r="B35" s="1309"/>
      <c r="C35" s="1308"/>
      <c r="D35" s="1307"/>
      <c r="E35" s="1310"/>
    </row>
    <row r="36" spans="2:5">
      <c r="B36" s="1309" t="s">
        <v>1640</v>
      </c>
      <c r="C36" s="1308" t="s">
        <v>660</v>
      </c>
      <c r="D36" s="1307">
        <v>1963570.07</v>
      </c>
      <c r="E36" s="1310">
        <v>2107095.2140000002</v>
      </c>
    </row>
    <row r="37" spans="2:5">
      <c r="B37" s="1309" t="s">
        <v>1639</v>
      </c>
      <c r="C37" s="1308" t="s">
        <v>1638</v>
      </c>
      <c r="D37" s="1307">
        <v>92757.495999999999</v>
      </c>
      <c r="E37" s="1310">
        <v>170820.64799999999</v>
      </c>
    </row>
    <row r="38" spans="2:5">
      <c r="B38" s="1309" t="s">
        <v>1637</v>
      </c>
      <c r="C38" s="1308" t="s">
        <v>1636</v>
      </c>
      <c r="D38" s="1307">
        <v>0</v>
      </c>
      <c r="E38" s="1310"/>
    </row>
    <row r="39" spans="2:5">
      <c r="B39" s="1309" t="s">
        <v>662</v>
      </c>
      <c r="C39" s="1308" t="s">
        <v>663</v>
      </c>
      <c r="D39" s="1307">
        <v>2958118.0260000001</v>
      </c>
      <c r="E39" s="1310">
        <v>1979636.77</v>
      </c>
    </row>
    <row r="40" spans="2:5">
      <c r="B40" s="1309" t="s">
        <v>1635</v>
      </c>
      <c r="C40" s="1308" t="s">
        <v>1634</v>
      </c>
      <c r="D40" s="1307">
        <v>0</v>
      </c>
      <c r="E40" s="1310"/>
    </row>
    <row r="41" spans="2:5">
      <c r="B41" s="1309" t="s">
        <v>1633</v>
      </c>
      <c r="C41" s="1308" t="s">
        <v>1632</v>
      </c>
      <c r="D41" s="1307">
        <v>0</v>
      </c>
      <c r="E41" s="1310"/>
    </row>
    <row r="42" spans="2:5">
      <c r="B42" s="1309" t="s">
        <v>1631</v>
      </c>
      <c r="C42" s="1308" t="s">
        <v>1630</v>
      </c>
      <c r="D42" s="1307">
        <v>214043.32800000001</v>
      </c>
      <c r="E42" s="1310">
        <v>220753.85200000001</v>
      </c>
    </row>
    <row r="43" spans="2:5">
      <c r="B43" s="1309" t="s">
        <v>1629</v>
      </c>
      <c r="C43" s="1308" t="s">
        <v>1628</v>
      </c>
      <c r="D43" s="1307">
        <v>0</v>
      </c>
      <c r="E43" s="1310"/>
    </row>
    <row r="44" spans="2:5">
      <c r="B44" s="1309" t="s">
        <v>1627</v>
      </c>
      <c r="C44" s="1308" t="s">
        <v>1626</v>
      </c>
      <c r="D44" s="1307">
        <v>178726.63500000001</v>
      </c>
      <c r="E44" s="1310">
        <v>207906.571</v>
      </c>
    </row>
    <row r="45" spans="2:5">
      <c r="B45" s="1309" t="s">
        <v>1625</v>
      </c>
      <c r="C45" s="1308" t="s">
        <v>1624</v>
      </c>
      <c r="D45" s="1307">
        <v>11763.611999999999</v>
      </c>
      <c r="E45" s="1310">
        <v>27163.991000000002</v>
      </c>
    </row>
    <row r="46" spans="2:5">
      <c r="B46" s="1309" t="s">
        <v>1623</v>
      </c>
      <c r="C46" s="1308" t="s">
        <v>1622</v>
      </c>
      <c r="D46" s="1307">
        <v>0</v>
      </c>
      <c r="E46" s="1310"/>
    </row>
    <row r="47" spans="2:5">
      <c r="B47" s="1309" t="s">
        <v>1621</v>
      </c>
      <c r="C47" s="1308" t="s">
        <v>1620</v>
      </c>
      <c r="D47" s="1307">
        <v>0</v>
      </c>
      <c r="E47" s="1310"/>
    </row>
    <row r="48" spans="2:5">
      <c r="B48" s="1309" t="s">
        <v>1619</v>
      </c>
      <c r="C48" s="1308" t="s">
        <v>1618</v>
      </c>
      <c r="D48" s="1307">
        <v>48433.582999999999</v>
      </c>
      <c r="E48" s="1310">
        <v>45600.81</v>
      </c>
    </row>
    <row r="49" spans="2:5">
      <c r="B49" s="1309" t="s">
        <v>1617</v>
      </c>
      <c r="C49" s="1308" t="s">
        <v>1616</v>
      </c>
      <c r="D49" s="1307">
        <v>0</v>
      </c>
      <c r="E49" s="1310"/>
    </row>
    <row r="50" spans="2:5">
      <c r="B50" s="1309" t="s">
        <v>1615</v>
      </c>
      <c r="C50" s="1308" t="s">
        <v>1614</v>
      </c>
      <c r="D50" s="1307">
        <v>33678.163</v>
      </c>
      <c r="E50" s="1310">
        <v>10186.177</v>
      </c>
    </row>
    <row r="51" spans="2:5" ht="14.25" customHeight="1">
      <c r="B51" s="1309" t="s">
        <v>1613</v>
      </c>
      <c r="C51" s="1308" t="s">
        <v>1612</v>
      </c>
      <c r="D51" s="1307">
        <v>251827.41099999999</v>
      </c>
      <c r="E51" s="1310">
        <v>249387.85399999999</v>
      </c>
    </row>
    <row r="52" spans="2:5">
      <c r="B52" s="1309" t="s">
        <v>664</v>
      </c>
      <c r="C52" s="1308" t="s">
        <v>1611</v>
      </c>
      <c r="D52" s="1307">
        <v>3173.5</v>
      </c>
      <c r="E52" s="1310">
        <v>2582.37</v>
      </c>
    </row>
    <row r="53" spans="2:5">
      <c r="B53" s="1309" t="s">
        <v>665</v>
      </c>
      <c r="C53" s="1308" t="s">
        <v>666</v>
      </c>
      <c r="D53" s="1307">
        <v>9808.82</v>
      </c>
      <c r="E53" s="1310"/>
    </row>
    <row r="54" spans="2:5" ht="25.5">
      <c r="B54" s="1309" t="s">
        <v>1610</v>
      </c>
      <c r="C54" s="1308" t="s">
        <v>1609</v>
      </c>
      <c r="D54" s="1307">
        <v>36255.779000000002</v>
      </c>
      <c r="E54" s="1310"/>
    </row>
    <row r="55" spans="2:5" ht="25.5">
      <c r="B55" s="1309" t="s">
        <v>1608</v>
      </c>
      <c r="C55" s="1308" t="s">
        <v>667</v>
      </c>
      <c r="D55" s="1307">
        <v>13000</v>
      </c>
      <c r="E55" s="1310"/>
    </row>
    <row r="56" spans="2:5">
      <c r="B56" s="1309" t="s">
        <v>1607</v>
      </c>
      <c r="C56" s="1308" t="s">
        <v>668</v>
      </c>
      <c r="D56" s="1307">
        <v>646</v>
      </c>
      <c r="E56" s="1310"/>
    </row>
    <row r="57" spans="2:5" ht="25.5">
      <c r="B57" s="1309" t="s">
        <v>1606</v>
      </c>
      <c r="C57" s="1308" t="s">
        <v>669</v>
      </c>
      <c r="D57" s="1307">
        <v>47239.262999999999</v>
      </c>
      <c r="E57" s="1310"/>
    </row>
    <row r="58" spans="2:5">
      <c r="B58" s="1309" t="s">
        <v>670</v>
      </c>
      <c r="C58" s="1308" t="s">
        <v>1605</v>
      </c>
      <c r="D58" s="1307">
        <v>149960.177</v>
      </c>
      <c r="E58" s="1310">
        <v>29380.824000000001</v>
      </c>
    </row>
    <row r="59" spans="2:5">
      <c r="B59" s="1309" t="s">
        <v>1604</v>
      </c>
      <c r="C59" s="1308" t="s">
        <v>672</v>
      </c>
      <c r="D59" s="1307">
        <v>26530.817999999999</v>
      </c>
      <c r="E59" s="1310"/>
    </row>
    <row r="60" spans="2:5">
      <c r="B60" s="1309" t="s">
        <v>673</v>
      </c>
      <c r="C60" s="1308" t="s">
        <v>1603</v>
      </c>
      <c r="D60" s="1307">
        <v>252043.386</v>
      </c>
      <c r="E60" s="1310">
        <v>55417.212</v>
      </c>
    </row>
    <row r="61" spans="2:5">
      <c r="B61" s="1309" t="s">
        <v>1602</v>
      </c>
      <c r="C61" s="1308" t="s">
        <v>1601</v>
      </c>
      <c r="D61" s="1307">
        <v>487948.97499999998</v>
      </c>
      <c r="E61" s="1310">
        <v>3654.4</v>
      </c>
    </row>
    <row r="62" spans="2:5">
      <c r="B62" s="1309" t="s">
        <v>674</v>
      </c>
      <c r="C62" s="1308" t="s">
        <v>1600</v>
      </c>
      <c r="D62" s="1307">
        <v>34797.271000000001</v>
      </c>
      <c r="E62" s="1310">
        <v>1056.96</v>
      </c>
    </row>
    <row r="63" spans="2:5">
      <c r="B63" s="1309" t="s">
        <v>1599</v>
      </c>
      <c r="C63" s="1308" t="s">
        <v>675</v>
      </c>
      <c r="D63" s="1307">
        <v>7490.0730000000003</v>
      </c>
      <c r="E63" s="1310"/>
    </row>
    <row r="64" spans="2:5" ht="25.5">
      <c r="B64" s="1309" t="s">
        <v>1683</v>
      </c>
      <c r="C64" s="1308" t="s">
        <v>1682</v>
      </c>
      <c r="D64" s="1307">
        <v>14010.635</v>
      </c>
      <c r="E64" s="1310"/>
    </row>
    <row r="65" spans="2:5" ht="25.5">
      <c r="B65" s="1309" t="s">
        <v>1598</v>
      </c>
      <c r="C65" s="1308" t="s">
        <v>676</v>
      </c>
      <c r="D65" s="1307">
        <v>229894.55100000001</v>
      </c>
      <c r="E65" s="1310">
        <v>12123.407999999999</v>
      </c>
    </row>
    <row r="66" spans="2:5" ht="25.5">
      <c r="B66" s="1309" t="s">
        <v>1597</v>
      </c>
      <c r="C66" s="1308" t="s">
        <v>1596</v>
      </c>
      <c r="D66" s="1307">
        <v>729.19399999999996</v>
      </c>
      <c r="E66" s="1310">
        <v>45</v>
      </c>
    </row>
    <row r="67" spans="2:5" ht="25.5">
      <c r="B67" s="1309" t="s">
        <v>1595</v>
      </c>
      <c r="C67" s="1308" t="s">
        <v>1594</v>
      </c>
      <c r="D67" s="1307">
        <v>109071.96400000001</v>
      </c>
      <c r="E67" s="1310">
        <v>33404.669000000002</v>
      </c>
    </row>
    <row r="68" spans="2:5">
      <c r="B68" s="1309" t="s">
        <v>1685</v>
      </c>
      <c r="C68" s="1308" t="s">
        <v>1684</v>
      </c>
      <c r="D68" s="1307">
        <v>127078.22199999999</v>
      </c>
      <c r="E68" s="1310"/>
    </row>
    <row r="69" spans="2:5" ht="38.25">
      <c r="B69" s="1309" t="s">
        <v>1593</v>
      </c>
      <c r="C69" s="1308" t="s">
        <v>1592</v>
      </c>
      <c r="D69" s="1307">
        <v>12223</v>
      </c>
      <c r="E69" s="1310"/>
    </row>
    <row r="70" spans="2:5">
      <c r="B70" s="1309" t="s">
        <v>1591</v>
      </c>
      <c r="C70" s="1308" t="s">
        <v>203</v>
      </c>
      <c r="D70" s="1307">
        <v>2785.8159999999998</v>
      </c>
      <c r="E70" s="1310">
        <v>1095.0170000000001</v>
      </c>
    </row>
    <row r="71" spans="2:5">
      <c r="B71" s="1309" t="s">
        <v>677</v>
      </c>
      <c r="C71" s="1308" t="s">
        <v>1686</v>
      </c>
      <c r="D71" s="1307">
        <v>29800</v>
      </c>
      <c r="E71" s="1310"/>
    </row>
    <row r="72" spans="2:5">
      <c r="B72" s="1309" t="s">
        <v>1590</v>
      </c>
      <c r="C72" s="1308" t="s">
        <v>678</v>
      </c>
      <c r="D72" s="1307">
        <v>36609.857000000004</v>
      </c>
      <c r="E72" s="1310"/>
    </row>
    <row r="73" spans="2:5" ht="25.5">
      <c r="B73" s="1309" t="s">
        <v>1589</v>
      </c>
      <c r="C73" s="1308" t="s">
        <v>679</v>
      </c>
      <c r="D73" s="1307">
        <v>3455.1840000000002</v>
      </c>
      <c r="E73" s="1310"/>
    </row>
    <row r="74" spans="2:5" ht="25.5">
      <c r="B74" s="1309" t="s">
        <v>1588</v>
      </c>
      <c r="C74" s="1308" t="s">
        <v>680</v>
      </c>
      <c r="D74" s="1307">
        <v>22402.151999999998</v>
      </c>
      <c r="E74" s="1310"/>
    </row>
    <row r="75" spans="2:5">
      <c r="B75" s="1309" t="s">
        <v>1587</v>
      </c>
      <c r="C75" s="1308" t="s">
        <v>1586</v>
      </c>
      <c r="D75" s="1307">
        <v>7893.9790000000003</v>
      </c>
      <c r="E75" s="1310"/>
    </row>
    <row r="76" spans="2:5">
      <c r="B76" s="1309" t="s">
        <v>1688</v>
      </c>
      <c r="C76" s="1308" t="s">
        <v>1687</v>
      </c>
      <c r="D76" s="1307">
        <v>10647.562</v>
      </c>
      <c r="E76" s="1310">
        <v>1400</v>
      </c>
    </row>
    <row r="77" spans="2:5">
      <c r="B77" s="1309" t="s">
        <v>1585</v>
      </c>
      <c r="C77" s="1308" t="s">
        <v>1584</v>
      </c>
      <c r="D77" s="1307">
        <v>343.74299999999999</v>
      </c>
      <c r="E77" s="1310">
        <v>2447.5500000000002</v>
      </c>
    </row>
    <row r="78" spans="2:5">
      <c r="B78" s="1309" t="s">
        <v>681</v>
      </c>
      <c r="C78" s="1308" t="s">
        <v>682</v>
      </c>
      <c r="D78" s="1307">
        <v>2241186.67</v>
      </c>
      <c r="E78" s="1310">
        <v>19708.286</v>
      </c>
    </row>
    <row r="79" spans="2:5">
      <c r="B79" s="1309" t="s">
        <v>1583</v>
      </c>
      <c r="C79" s="1308" t="s">
        <v>683</v>
      </c>
      <c r="D79" s="1307">
        <v>556052.66</v>
      </c>
      <c r="E79" s="1310">
        <v>3522.2260000000001</v>
      </c>
    </row>
    <row r="80" spans="2:5">
      <c r="B80" s="1309" t="s">
        <v>1582</v>
      </c>
      <c r="C80" s="1308" t="s">
        <v>1581</v>
      </c>
      <c r="D80" s="1307">
        <v>10452.735000000001</v>
      </c>
      <c r="E80" s="1310"/>
    </row>
    <row r="81" spans="2:5">
      <c r="B81" s="1309" t="s">
        <v>684</v>
      </c>
      <c r="C81" s="1308" t="s">
        <v>685</v>
      </c>
      <c r="D81" s="1307">
        <v>1287978.125</v>
      </c>
      <c r="E81" s="1310">
        <v>216590.84099999999</v>
      </c>
    </row>
    <row r="82" spans="2:5">
      <c r="B82" s="1309" t="s">
        <v>1580</v>
      </c>
      <c r="C82" s="1308" t="s">
        <v>1579</v>
      </c>
      <c r="D82" s="1307">
        <v>19655.893</v>
      </c>
      <c r="E82" s="1310">
        <v>14844.569</v>
      </c>
    </row>
    <row r="83" spans="2:5">
      <c r="B83" s="1309" t="s">
        <v>1578</v>
      </c>
      <c r="C83" s="1308" t="s">
        <v>686</v>
      </c>
      <c r="D83" s="1307">
        <v>3519.4349999999999</v>
      </c>
      <c r="E83" s="1310"/>
    </row>
    <row r="84" spans="2:5">
      <c r="B84" s="1309" t="s">
        <v>1577</v>
      </c>
      <c r="C84" s="1308" t="s">
        <v>1576</v>
      </c>
      <c r="D84" s="1307">
        <v>5760</v>
      </c>
      <c r="E84" s="1310"/>
    </row>
    <row r="85" spans="2:5">
      <c r="B85" s="1309" t="s">
        <v>687</v>
      </c>
      <c r="C85" s="1308" t="s">
        <v>688</v>
      </c>
      <c r="D85" s="1307">
        <v>37246.586000000003</v>
      </c>
      <c r="E85" s="1310"/>
    </row>
    <row r="86" spans="2:5">
      <c r="B86" s="1309" t="s">
        <v>1575</v>
      </c>
      <c r="C86" s="1308" t="s">
        <v>689</v>
      </c>
      <c r="D86" s="1307">
        <v>19157.326000000001</v>
      </c>
      <c r="E86" s="1310"/>
    </row>
    <row r="87" spans="2:5">
      <c r="B87" s="1309" t="s">
        <v>1574</v>
      </c>
      <c r="C87" s="1308" t="s">
        <v>690</v>
      </c>
      <c r="D87" s="1307">
        <v>950</v>
      </c>
      <c r="E87" s="1310"/>
    </row>
    <row r="88" spans="2:5">
      <c r="B88" s="1309" t="s">
        <v>1573</v>
      </c>
      <c r="C88" s="1308" t="s">
        <v>1572</v>
      </c>
      <c r="D88" s="1307">
        <v>92931.081000000006</v>
      </c>
      <c r="E88" s="1310">
        <v>9064.1540000000005</v>
      </c>
    </row>
    <row r="89" spans="2:5">
      <c r="B89" s="1309" t="s">
        <v>1571</v>
      </c>
      <c r="C89" s="1308" t="s">
        <v>691</v>
      </c>
      <c r="D89" s="1307">
        <v>197777.35699999999</v>
      </c>
      <c r="E89" s="1310">
        <v>288.62599999999998</v>
      </c>
    </row>
    <row r="90" spans="2:5">
      <c r="B90" s="1309" t="s">
        <v>1570</v>
      </c>
      <c r="C90" s="1308" t="s">
        <v>692</v>
      </c>
      <c r="D90" s="1307">
        <v>15213.335999999999</v>
      </c>
      <c r="E90" s="1310"/>
    </row>
    <row r="91" spans="2:5">
      <c r="B91" s="1309" t="s">
        <v>1569</v>
      </c>
      <c r="C91" s="1308" t="s">
        <v>1568</v>
      </c>
      <c r="D91" s="1307">
        <v>154181.261</v>
      </c>
      <c r="E91" s="1310">
        <v>474</v>
      </c>
    </row>
    <row r="92" spans="2:5" ht="38.25">
      <c r="B92" s="1309" t="s">
        <v>1567</v>
      </c>
      <c r="C92" s="1308" t="s">
        <v>1566</v>
      </c>
      <c r="D92" s="1307"/>
      <c r="E92" s="1310"/>
    </row>
    <row r="93" spans="2:5" ht="25.5">
      <c r="B93" s="1309" t="s">
        <v>693</v>
      </c>
      <c r="C93" s="1308" t="s">
        <v>1565</v>
      </c>
      <c r="D93" s="1307">
        <v>1258921.409</v>
      </c>
      <c r="E93" s="1310">
        <v>9461.3690000000006</v>
      </c>
    </row>
    <row r="94" spans="2:5" ht="25.5">
      <c r="B94" s="1309" t="s">
        <v>694</v>
      </c>
      <c r="C94" s="1308" t="s">
        <v>695</v>
      </c>
      <c r="D94" s="1307">
        <v>219882.38699999999</v>
      </c>
      <c r="E94" s="1310">
        <v>18352.845000000001</v>
      </c>
    </row>
    <row r="95" spans="2:5" ht="25.5">
      <c r="B95" s="1309" t="s">
        <v>696</v>
      </c>
      <c r="C95" s="1308" t="s">
        <v>1564</v>
      </c>
      <c r="D95" s="1307">
        <v>8783.2420000000002</v>
      </c>
      <c r="E95" s="1310">
        <v>8465.1</v>
      </c>
    </row>
    <row r="96" spans="2:5">
      <c r="B96" s="1309" t="s">
        <v>1563</v>
      </c>
      <c r="C96" s="1308" t="s">
        <v>1562</v>
      </c>
      <c r="D96" s="1307">
        <v>3683.8389999999999</v>
      </c>
      <c r="E96" s="1310">
        <v>826.07799999999997</v>
      </c>
    </row>
    <row r="97" spans="2:5">
      <c r="B97" s="1309" t="s">
        <v>1561</v>
      </c>
      <c r="C97" s="1308" t="s">
        <v>1560</v>
      </c>
      <c r="D97" s="1307">
        <v>247567.255</v>
      </c>
      <c r="E97" s="1310">
        <v>70.323999999999998</v>
      </c>
    </row>
    <row r="98" spans="2:5">
      <c r="B98" s="1309" t="s">
        <v>1559</v>
      </c>
      <c r="C98" s="1308" t="s">
        <v>1558</v>
      </c>
      <c r="D98" s="1307">
        <v>320625.06800000003</v>
      </c>
      <c r="E98" s="1310">
        <v>702.20500000000004</v>
      </c>
    </row>
    <row r="99" spans="2:5">
      <c r="B99" s="1309" t="s">
        <v>697</v>
      </c>
      <c r="C99" s="1308" t="s">
        <v>698</v>
      </c>
      <c r="D99" s="1307">
        <v>531</v>
      </c>
      <c r="E99" s="1310"/>
    </row>
    <row r="100" spans="2:5">
      <c r="B100" s="1309" t="s">
        <v>699</v>
      </c>
      <c r="C100" s="1308" t="s">
        <v>1557</v>
      </c>
      <c r="D100" s="1307">
        <v>70325.327999999994</v>
      </c>
      <c r="E100" s="1310">
        <v>295.875</v>
      </c>
    </row>
    <row r="101" spans="2:5">
      <c r="B101" s="1309" t="s">
        <v>700</v>
      </c>
      <c r="C101" s="1308" t="s">
        <v>701</v>
      </c>
      <c r="D101" s="1307">
        <v>73632.601999999999</v>
      </c>
      <c r="E101" s="1311"/>
    </row>
    <row r="102" spans="2:5">
      <c r="B102" s="1309" t="s">
        <v>1556</v>
      </c>
      <c r="C102" s="1308" t="s">
        <v>1555</v>
      </c>
      <c r="D102" s="1307">
        <v>185611.83600000001</v>
      </c>
      <c r="E102" s="1311">
        <v>50298.224000000002</v>
      </c>
    </row>
    <row r="103" spans="2:5">
      <c r="B103" s="1309" t="s">
        <v>1554</v>
      </c>
      <c r="C103" s="1308" t="s">
        <v>702</v>
      </c>
      <c r="D103" s="1307">
        <v>192214.05100000001</v>
      </c>
      <c r="E103" s="1311">
        <v>10697.142</v>
      </c>
    </row>
    <row r="104" spans="2:5">
      <c r="B104" s="1309" t="s">
        <v>1553</v>
      </c>
      <c r="C104" s="1308" t="s">
        <v>361</v>
      </c>
      <c r="D104" s="1307">
        <v>6602.6989999999996</v>
      </c>
      <c r="E104" s="1310"/>
    </row>
    <row r="105" spans="2:5" ht="25.5">
      <c r="B105" s="1309" t="s">
        <v>1552</v>
      </c>
      <c r="C105" s="1308" t="s">
        <v>703</v>
      </c>
      <c r="D105" s="1307">
        <v>242491.79</v>
      </c>
      <c r="E105" s="1310"/>
    </row>
    <row r="106" spans="2:5" ht="25.5">
      <c r="B106" s="1309" t="s">
        <v>1551</v>
      </c>
      <c r="C106" s="1308" t="s">
        <v>1550</v>
      </c>
      <c r="D106" s="1307"/>
      <c r="E106" s="1310"/>
    </row>
    <row r="107" spans="2:5" ht="25.5">
      <c r="B107" s="1309" t="s">
        <v>1549</v>
      </c>
      <c r="C107" s="1308" t="s">
        <v>704</v>
      </c>
      <c r="D107" s="1307">
        <v>962.87</v>
      </c>
      <c r="E107" s="1310"/>
    </row>
    <row r="108" spans="2:5">
      <c r="B108" s="1309" t="s">
        <v>1021</v>
      </c>
      <c r="C108" s="1308" t="s">
        <v>1022</v>
      </c>
      <c r="D108" s="1307">
        <v>87838.971000000005</v>
      </c>
      <c r="E108" s="1310">
        <v>20513.304</v>
      </c>
    </row>
    <row r="109" spans="2:5" ht="25.5">
      <c r="B109" s="1309" t="s">
        <v>1548</v>
      </c>
      <c r="C109" s="1308" t="s">
        <v>1547</v>
      </c>
      <c r="D109" s="1307">
        <v>1524.5160000000001</v>
      </c>
      <c r="E109" s="1310"/>
    </row>
    <row r="110" spans="2:5" ht="25.5">
      <c r="B110" s="1309" t="s">
        <v>1546</v>
      </c>
      <c r="C110" s="1308" t="s">
        <v>706</v>
      </c>
      <c r="D110" s="1307"/>
      <c r="E110" s="1310">
        <v>18413375.142999999</v>
      </c>
    </row>
    <row r="111" spans="2:5">
      <c r="B111" s="1309" t="s">
        <v>1545</v>
      </c>
      <c r="C111" s="1308" t="s">
        <v>705</v>
      </c>
      <c r="D111" s="1307">
        <v>44900782.631999999</v>
      </c>
      <c r="E111" s="1310">
        <v>32748507.892000001</v>
      </c>
    </row>
    <row r="112" spans="2:5" ht="15.75" thickBot="1">
      <c r="B112" s="1331" t="s">
        <v>1544</v>
      </c>
      <c r="C112" s="1332" t="s">
        <v>1543</v>
      </c>
      <c r="D112" s="1333">
        <v>5003.8599999999997</v>
      </c>
      <c r="E112" s="1334">
        <v>6865.62</v>
      </c>
    </row>
    <row r="113" spans="2:5" ht="15.75" thickBot="1">
      <c r="B113" s="2104" t="s">
        <v>110</v>
      </c>
      <c r="C113" s="2105"/>
      <c r="D113" s="1335">
        <f>SUM(D7:D112)</f>
        <v>93790564.945000023</v>
      </c>
      <c r="E113" s="1336">
        <f>SUM(E7:E112)</f>
        <v>96673124.355000004</v>
      </c>
    </row>
  </sheetData>
  <mergeCells count="7">
    <mergeCell ref="B113:C113"/>
    <mergeCell ref="B2:E2"/>
    <mergeCell ref="B3:E3"/>
    <mergeCell ref="B5:B6"/>
    <mergeCell ref="C5:C6"/>
    <mergeCell ref="D5:D6"/>
    <mergeCell ref="E5:E6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27</vt:i4>
      </vt:variant>
      <vt:variant>
        <vt:lpstr>Névvel ellátott tartományok</vt:lpstr>
      </vt:variant>
      <vt:variant>
        <vt:i4>18</vt:i4>
      </vt:variant>
    </vt:vector>
  </HeadingPairs>
  <TitlesOfParts>
    <vt:vector size="45" baseType="lpstr">
      <vt:lpstr>1.mell.</vt:lpstr>
      <vt:lpstr>2.mell. </vt:lpstr>
      <vt:lpstr>3.mell.</vt:lpstr>
      <vt:lpstr>4.mell.</vt:lpstr>
      <vt:lpstr>5.mell.</vt:lpstr>
      <vt:lpstr>6.mell.</vt:lpstr>
      <vt:lpstr>7.mell.</vt:lpstr>
      <vt:lpstr>8.mell.</vt:lpstr>
      <vt:lpstr>9.mell </vt:lpstr>
      <vt:lpstr>10.mell. </vt:lpstr>
      <vt:lpstr>11.mell. </vt:lpstr>
      <vt:lpstr>12.mell. </vt:lpstr>
      <vt:lpstr>13.mell. </vt:lpstr>
      <vt:lpstr>14. mell.</vt:lpstr>
      <vt:lpstr>15. mell.</vt:lpstr>
      <vt:lpstr>16. mell.</vt:lpstr>
      <vt:lpstr>17. mell.</vt:lpstr>
      <vt:lpstr>18. mell.</vt:lpstr>
      <vt:lpstr>19. mell.</vt:lpstr>
      <vt:lpstr>20. mell.</vt:lpstr>
      <vt:lpstr>21. mell.</vt:lpstr>
      <vt:lpstr>22. mell.</vt:lpstr>
      <vt:lpstr>23.mell.</vt:lpstr>
      <vt:lpstr>24.mell.</vt:lpstr>
      <vt:lpstr>25.mell.</vt:lpstr>
      <vt:lpstr>26.mell.</vt:lpstr>
      <vt:lpstr>27. mell</vt:lpstr>
      <vt:lpstr>'10.mell. '!Nyomtatási_cím</vt:lpstr>
      <vt:lpstr>'13.mell. '!Nyomtatási_cím</vt:lpstr>
      <vt:lpstr>'2.mell. '!Nyomtatási_cím</vt:lpstr>
      <vt:lpstr>'23.mell.'!Nyomtatási_cím</vt:lpstr>
      <vt:lpstr>'24.mell.'!Nyomtatási_cím</vt:lpstr>
      <vt:lpstr>'3.mell.'!Nyomtatási_cím</vt:lpstr>
      <vt:lpstr>'4.mell.'!Nyomtatási_cím</vt:lpstr>
      <vt:lpstr>'5.mell.'!Nyomtatási_cím</vt:lpstr>
      <vt:lpstr>'6.mell.'!Nyomtatási_cím</vt:lpstr>
      <vt:lpstr>'7.mell.'!Nyomtatási_cím</vt:lpstr>
      <vt:lpstr>'8.mell.'!Nyomtatási_cím</vt:lpstr>
      <vt:lpstr>'9.mell '!Nyomtatási_cím</vt:lpstr>
      <vt:lpstr>'1.mell.'!Nyomtatási_terület</vt:lpstr>
      <vt:lpstr>'11.mell. '!Nyomtatási_terület</vt:lpstr>
      <vt:lpstr>'2.mell. '!Nyomtatási_terület</vt:lpstr>
      <vt:lpstr>'3.mell.'!Nyomtatási_terület</vt:lpstr>
      <vt:lpstr>'4.mell.'!Nyomtatási_terület</vt:lpstr>
      <vt:lpstr>'9.mell '!Nyomtatási_terület</vt:lpstr>
    </vt:vector>
  </TitlesOfParts>
  <Company>Fradi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Ferencvárosi Önkormányzat</dc:creator>
  <cp:lastModifiedBy>Nyáry Lászlóné</cp:lastModifiedBy>
  <cp:lastPrinted>2026-05-21T09:18:47Z</cp:lastPrinted>
  <dcterms:created xsi:type="dcterms:W3CDTF">2004-02-02T11:10:51Z</dcterms:created>
  <dcterms:modified xsi:type="dcterms:W3CDTF">2026-05-21T09:20:30Z</dcterms:modified>
</cp:coreProperties>
</file>