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PÉNZÜGYI IRODA\Költségvetési Csoport\2026\2026_évi_ei_módosítás\2026_05május\Végleges\"/>
    </mc:Choice>
  </mc:AlternateContent>
  <bookViews>
    <workbookView xWindow="-120" yWindow="-120" windowWidth="29040" windowHeight="15720" tabRatio="913"/>
  </bookViews>
  <sheets>
    <sheet name="1. mell 1. pont" sheetId="129" r:id="rId1"/>
    <sheet name="1. mell 2 pont " sheetId="128" r:id="rId2"/>
    <sheet name="1. mell 3. pont " sheetId="130" r:id="rId3"/>
    <sheet name="2.mell" sheetId="126" r:id="rId4"/>
    <sheet name="3 mell 1. pont" sheetId="43" r:id="rId5"/>
    <sheet name="3 mell. 2. pont" sheetId="44" r:id="rId6"/>
    <sheet name="3 mell 3. pont" sheetId="125" r:id="rId7"/>
    <sheet name="4.mell." sheetId="47" r:id="rId8"/>
    <sheet name="5.mell. " sheetId="48" r:id="rId9"/>
    <sheet name="6.mell. " sheetId="49" r:id="rId10"/>
    <sheet name="7.mell." sheetId="145" r:id="rId11"/>
    <sheet name="8.mell. " sheetId="141" r:id="rId12"/>
    <sheet name="9.mell." sheetId="131" r:id="rId13"/>
    <sheet name="10.mell " sheetId="142" r:id="rId14"/>
    <sheet name="11.mell" sheetId="134" r:id="rId15"/>
    <sheet name="12.mell" sheetId="135" r:id="rId16"/>
    <sheet name="13.mell" sheetId="136" r:id="rId17"/>
    <sheet name="14.mell" sheetId="137" r:id="rId18"/>
    <sheet name="15.mell" sheetId="138" r:id="rId19"/>
    <sheet name="16.mell" sheetId="143" r:id="rId20"/>
    <sheet name="17.mell" sheetId="144" r:id="rId21"/>
  </sheets>
  <externalReferences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14" hidden="1">'11.mell'!$A$9:$N$180</definedName>
    <definedName name="_xlnm._FilterDatabase" localSheetId="15" hidden="1">'12.mell'!$A$6:$M$62</definedName>
    <definedName name="_xlnm._FilterDatabase" localSheetId="19" hidden="1">'16.mell'!$A$5:$D$707</definedName>
    <definedName name="_xlnm._FilterDatabase" localSheetId="20" hidden="1">'17.mell'!$A$5:$C$18</definedName>
    <definedName name="_xlnm._FilterDatabase" localSheetId="3" hidden="1">'2.mell'!$A$8:$K$775</definedName>
    <definedName name="_xlnm._FilterDatabase" localSheetId="5" hidden="1">'3 mell. 2. pont'!$A$8:$G$952</definedName>
    <definedName name="adósság">0</definedName>
    <definedName name="beruh" localSheetId="13">#REF!</definedName>
    <definedName name="beruh" localSheetId="14">#REF!</definedName>
    <definedName name="beruh" localSheetId="15">#REF!</definedName>
    <definedName name="beruh" localSheetId="16">#REF!</definedName>
    <definedName name="beruh" localSheetId="17">#REF!</definedName>
    <definedName name="beruh" localSheetId="18">#REF!</definedName>
    <definedName name="beruh" localSheetId="19">#REF!</definedName>
    <definedName name="beruh" localSheetId="20">#REF!</definedName>
    <definedName name="beruh" localSheetId="11">#REF!</definedName>
    <definedName name="beruh">#REF!</definedName>
    <definedName name="beruházás" localSheetId="13">#REF!</definedName>
    <definedName name="beruházás" localSheetId="14">#REF!</definedName>
    <definedName name="beruházás" localSheetId="15">#REF!</definedName>
    <definedName name="beruházás" localSheetId="16">#REF!</definedName>
    <definedName name="beruházás" localSheetId="17">#REF!</definedName>
    <definedName name="beruházás" localSheetId="18">#REF!</definedName>
    <definedName name="beruházás" localSheetId="19">#REF!</definedName>
    <definedName name="beruházás" localSheetId="20">#REF!</definedName>
    <definedName name="beruházás" localSheetId="11">#REF!</definedName>
    <definedName name="beruházás">#REF!</definedName>
    <definedName name="cs8_sz_melleklet_Dim01">"="</definedName>
    <definedName name="cs8_sz_melleklet_Dim02">"="</definedName>
    <definedName name="cs8_sz_melleklet_Dim03">"="</definedName>
    <definedName name="cs8_sz_melleklet_Dim04">"="</definedName>
    <definedName name="cs8_sz_melleklet_Dim05">"="</definedName>
    <definedName name="cs8_sz_melleklet_Dim06">"="</definedName>
    <definedName name="cs8_sz_melleklet_Dim07">"="</definedName>
    <definedName name="cs8_sz_melleklet_Dim08">"="</definedName>
    <definedName name="cs8_sz_melleklet_Dim09">"="</definedName>
    <definedName name="cs8_sz_melleklet_Dim10">"="</definedName>
    <definedName name="cs8_sz_melleklet_Dim11">"="</definedName>
    <definedName name="cs8_sz_melleklet_Dim12">"="</definedName>
    <definedName name="cs8_sz_mellekletAnchor">#REF!</definedName>
    <definedName name="cs9_sz_melleklet_Dim01">"="</definedName>
    <definedName name="cs9_sz_melleklet_Dim02">"="</definedName>
    <definedName name="cs9_sz_melleklet_Dim03">"="</definedName>
    <definedName name="cs9_sz_melleklet_Dim04">"="</definedName>
    <definedName name="cs9_sz_melleklet_Dim05">"="</definedName>
    <definedName name="cs9_sz_melleklet_Dim06">"="</definedName>
    <definedName name="cs9_sz_melleklet_Dim07">"="</definedName>
    <definedName name="cs9_sz_melleklet_Dim08">"="</definedName>
    <definedName name="cs9_sz_melleklet_Dim09">"="</definedName>
    <definedName name="cs9_sz_melleklet_Dim10">"="</definedName>
    <definedName name="cs9_sz_melleklet_Dim11">"="</definedName>
    <definedName name="cs9_sz_melleklet_Dim12">"="</definedName>
    <definedName name="cs9_sz_mellekletAnchor">#REF!</definedName>
    <definedName name="csAlapy_rendeleti_tabla_excel_Dim01">"="</definedName>
    <definedName name="csAlapy_rendeleti_tabla_excel_Dim02">"="</definedName>
    <definedName name="csAlapy_rendeleti_tabla_excel_Dim03">"="</definedName>
    <definedName name="csAlapy_rendeleti_tabla_excel_Dim04">"="</definedName>
    <definedName name="csAlapy_rendeleti_tabla_excel_Dim05">"="</definedName>
    <definedName name="csAlapy_rendeleti_tabla_excel_Dim06">"="</definedName>
    <definedName name="csAlapy_rendeleti_tabla_excel_Dim07">"="</definedName>
    <definedName name="csAlapy_rendeleti_tabla_excel_Dim08">"="</definedName>
    <definedName name="csAlapy_rendeleti_tabla_excel_Dim09">"="</definedName>
    <definedName name="csAlapy_rendeleti_tabla_excel_Dim10">"="</definedName>
    <definedName name="csAlapy_rendeleti_tabla_excel_Dim11">"="</definedName>
    <definedName name="csAlapy_rendeleti_tabla_excel_Dim12">"="</definedName>
    <definedName name="csAllowDetailBudgeting">1</definedName>
    <definedName name="csAllowLocalConsolidation">1</definedName>
    <definedName name="csAlt_spec_iskola_rendeleti_tabla_excel_Dim01">"="</definedName>
    <definedName name="csAlt_spec_iskola_rendeleti_tabla_excel_Dim02">"="</definedName>
    <definedName name="csAlt_spec_iskola_rendeleti_tabla_excel_Dim03">"="</definedName>
    <definedName name="csAlt_spec_iskola_rendeleti_tabla_excel_Dim04">"="</definedName>
    <definedName name="csAlt_spec_iskola_rendeleti_tabla_excel_Dim05">"="</definedName>
    <definedName name="csAlt_spec_iskola_rendeleti_tabla_excel_Dim06">"="</definedName>
    <definedName name="csAlt_spec_iskola_rendeleti_tabla_excel_Dim07">"="</definedName>
    <definedName name="csAlt_spec_iskola_rendeleti_tabla_excel_Dim08">"="</definedName>
    <definedName name="csAlt_spec_iskola_rendeleti_tabla_excel_Dim09">"="</definedName>
    <definedName name="csAlt_spec_iskola_rendeleti_tabla_excel_Dim10">"="</definedName>
    <definedName name="csAlt_spec_iskola_rendeleti_tabla_excel_Dim11">"="</definedName>
    <definedName name="csAlt_spec_iskola_rendeleti_tabla_excel_Dim12">"="</definedName>
    <definedName name="csAppName">"FlFcBkFmGhGaFj@bAeDmE`CoA`DbAk"</definedName>
    <definedName name="csArany_Janos_rendeleti_tabla_excel_Dim01">"="</definedName>
    <definedName name="csArany_Janos_rendeleti_tabla_excel_Dim02">"="</definedName>
    <definedName name="csArany_Janos_rendeleti_tabla_excel_Dim03">"="</definedName>
    <definedName name="csArany_Janos_rendeleti_tabla_excel_Dim04">"="</definedName>
    <definedName name="csArany_Janos_rendeleti_tabla_excel_Dim05">"="</definedName>
    <definedName name="csArany_Janos_rendeleti_tabla_excel_Dim06">"="</definedName>
    <definedName name="csArany_Janos_rendeleti_tabla_excel_Dim07">"="</definedName>
    <definedName name="csArany_Janos_rendeleti_tabla_excel_Dim08">"="</definedName>
    <definedName name="csArany_Janos_rendeleti_tabla_excel_Dim09">"="</definedName>
    <definedName name="csArany_Janos_rendeleti_tabla_excel_Dim10">"="</definedName>
    <definedName name="csArany_Janos_rendeleti_tabla_excel_Dim11">"="</definedName>
    <definedName name="csArany_Janos_rendeleti_tabla_excel_Dim12">"="</definedName>
    <definedName name="csberuhazas_felujitas_Dim01">"="</definedName>
    <definedName name="csberuhazas_felujitas_Dim02">"="</definedName>
    <definedName name="csberuhazas_felujitas_Dim03">"="</definedName>
    <definedName name="csberuhazas_felujitas_Dim04">"="</definedName>
    <definedName name="csberuhazas_felujitas_Dim05">"="</definedName>
    <definedName name="csberuhazas_felujitas_Dim06">"="</definedName>
    <definedName name="csberuhazas_felujitas_Dim07">"="</definedName>
    <definedName name="csberuhazas_felujitas_Dim08">"="</definedName>
    <definedName name="csberuhazas_felujitas_Dim09">"="</definedName>
    <definedName name="csberuhazas_felujitas_Dim10">"="</definedName>
    <definedName name="csberuhazas_felujitas_Dim11">"="</definedName>
    <definedName name="csberuhazas_felujitas_Dim12">#REF!</definedName>
    <definedName name="csberuhazas_felujitasAnchor">#REF!</definedName>
    <definedName name="csBottyan_rendeleti_tabla_excel_Dim01">"="</definedName>
    <definedName name="csBottyan_rendeleti_tabla_excel_Dim02">"="</definedName>
    <definedName name="csBottyan_rendeleti_tabla_excel_Dim03">"="</definedName>
    <definedName name="csBottyan_rendeleti_tabla_excel_Dim04">"="</definedName>
    <definedName name="csBottyan_rendeleti_tabla_excel_Dim05">"="</definedName>
    <definedName name="csBottyan_rendeleti_tabla_excel_Dim06">"="</definedName>
    <definedName name="csBottyan_rendeleti_tabla_excel_Dim07">"="</definedName>
    <definedName name="csBottyan_rendeleti_tabla_excel_Dim08">"="</definedName>
    <definedName name="csBottyan_rendeleti_tabla_excel_Dim09">"="</definedName>
    <definedName name="csBottyan_rendeleti_tabla_excel_Dim10">"="</definedName>
    <definedName name="csBottyan_rendeleti_tabla_excel_Dim11">"="</definedName>
    <definedName name="csBottyan_rendeleti_tabla_excel_Dim12">"="</definedName>
    <definedName name="csceltartalekok_Dim01">"="</definedName>
    <definedName name="csceltartalekok_Dim02">"="</definedName>
    <definedName name="csceltartalekok_Dim03">"="</definedName>
    <definedName name="csceltartalekok_Dim04">"="</definedName>
    <definedName name="csceltartalekok_Dim05">"="</definedName>
    <definedName name="csceltartalekok_Dim06">"="</definedName>
    <definedName name="csceltartalekok_Dim07">"="</definedName>
    <definedName name="csceltartalekok_Dim08">"="</definedName>
    <definedName name="csceltartalekok_Dim09">"="</definedName>
    <definedName name="csceltartalekok_Dim10">"="</definedName>
    <definedName name="csceltartalekok_Dim11">"="</definedName>
    <definedName name="csceltartalekok_Dim12">#REF!</definedName>
    <definedName name="csceltartalekokAnchor">#REF!</definedName>
    <definedName name="csCigany_rendeleti_tabla_Dim01">"="</definedName>
    <definedName name="csCigany_rendeleti_tabla_Dim02">"="</definedName>
    <definedName name="csCigany_rendeleti_tabla_Dim03">"="</definedName>
    <definedName name="csCigany_rendeleti_tabla_Dim04">"="</definedName>
    <definedName name="csCigany_rendeleti_tabla_Dim05">"="</definedName>
    <definedName name="csCigany_rendeleti_tabla_Dim06">"="</definedName>
    <definedName name="csCigany_rendeleti_tabla_Dim07">"="</definedName>
    <definedName name="csCigany_rendeleti_tabla_Dim08">"="</definedName>
    <definedName name="csCigany_rendeleti_tabla_Dim09">"="</definedName>
    <definedName name="csCigany_rendeleti_tabla_Dim10">"="</definedName>
    <definedName name="csCigany_rendeleti_tabla_Dim11">"="</definedName>
    <definedName name="csCigany_rendeleti_tabla_Dim12">"="</definedName>
    <definedName name="csCigany_rendeleti_tablaAnchor">#REF!</definedName>
    <definedName name="csDesignMode">1</definedName>
    <definedName name="csDetailBudgetingURL">"FlFcBkFmGhGaD`@c@eEj@oFdFhEdAlAgEoE`@iAeBmBdDkAn@fDoEgFdCcEeEfAaEkEhAjEcBgFoDi@d@aAeGdCkCgAjCkA`DmEbAnDnAnBdDjEaCbDkDaGf@eEbAm@bDlDaE`GbBfBmDlAb@c"</definedName>
    <definedName name="csEotvos_gimn_rendeleti_tabla_excel_Dim01">"="</definedName>
    <definedName name="csEotvos_gimn_rendeleti_tabla_excel_Dim02">"="</definedName>
    <definedName name="csEotvos_gimn_rendeleti_tabla_excel_Dim03">"="</definedName>
    <definedName name="csEotvos_gimn_rendeleti_tabla_excel_Dim04">"="</definedName>
    <definedName name="csEotvos_gimn_rendeleti_tabla_excel_Dim05">"="</definedName>
    <definedName name="csEotvos_gimn_rendeleti_tabla_excel_Dim06">"="</definedName>
    <definedName name="csEotvos_gimn_rendeleti_tabla_excel_Dim07">"="</definedName>
    <definedName name="csEotvos_gimn_rendeleti_tabla_excel_Dim08">"="</definedName>
    <definedName name="csEotvos_gimn_rendeleti_tabla_excel_Dim09">"="</definedName>
    <definedName name="csEotvos_gimn_rendeleti_tabla_excel_Dim10">"="</definedName>
    <definedName name="csEotvos_gimn_rendeleti_tabla_excel_Dim11">"="</definedName>
    <definedName name="csEotvos_gimn_rendeleti_tabla_excel_Dim12">"="</definedName>
    <definedName name="csEotvos_szakkozep_rendeleti_tabla_excel_Dim01">"="</definedName>
    <definedName name="csEotvos_szakkozep_rendeleti_tabla_excel_Dim02">"="</definedName>
    <definedName name="csEotvos_szakkozep_rendeleti_tabla_excel_Dim03">"="</definedName>
    <definedName name="csEotvos_szakkozep_rendeleti_tabla_excel_Dim04">"="</definedName>
    <definedName name="csEotvos_szakkozep_rendeleti_tabla_excel_Dim05">"="</definedName>
    <definedName name="csEotvos_szakkozep_rendeleti_tabla_excel_Dim06">"="</definedName>
    <definedName name="csEotvos_szakkozep_rendeleti_tabla_excel_Dim07">"="</definedName>
    <definedName name="csEotvos_szakkozep_rendeleti_tabla_excel_Dim08">"="</definedName>
    <definedName name="csEotvos_szakkozep_rendeleti_tabla_excel_Dim09">"="</definedName>
    <definedName name="csEotvos_szakkozep_rendeleti_tabla_excel_Dim10">"="</definedName>
    <definedName name="csEotvos_szakkozep_rendeleti_tabla_excel_Dim11">"="</definedName>
    <definedName name="csEotvos_szakkozep_rendeleti_tabla_excel_Dim12">"="</definedName>
    <definedName name="csErkel_rendeleti_tabla_excel_Dim01">"="</definedName>
    <definedName name="csErkel_rendeleti_tabla_excel_Dim02">"="</definedName>
    <definedName name="csErkel_rendeleti_tabla_excel_Dim03">"="</definedName>
    <definedName name="csErkel_rendeleti_tabla_excel_Dim04">"="</definedName>
    <definedName name="csErkel_rendeleti_tabla_excel_Dim05">"="</definedName>
    <definedName name="csErkel_rendeleti_tabla_excel_Dim06">"="</definedName>
    <definedName name="csErkel_rendeleti_tabla_excel_Dim07">"="</definedName>
    <definedName name="csErkel_rendeleti_tabla_excel_Dim08">"="</definedName>
    <definedName name="csErkel_rendeleti_tabla_excel_Dim09">"="</definedName>
    <definedName name="csErkel_rendeleti_tabla_excel_Dim10">"="</definedName>
    <definedName name="csErkel_rendeleti_tabla_excel_Dim11">"="</definedName>
    <definedName name="csErkel_rendeleti_tabla_excel_Dim12">"="</definedName>
    <definedName name="csEsthajnal_rendeleti_tabla_excel_Dim01">"="</definedName>
    <definedName name="csEsthajnal_rendeleti_tabla_excel_Dim02">"="</definedName>
    <definedName name="csEsthajnal_rendeleti_tabla_excel_Dim03">"="</definedName>
    <definedName name="csEsthajnal_rendeleti_tabla_excel_Dim04">"="</definedName>
    <definedName name="csEsthajnal_rendeleti_tabla_excel_Dim05">"="</definedName>
    <definedName name="csEsthajnal_rendeleti_tabla_excel_Dim06">"="</definedName>
    <definedName name="csEsthajnal_rendeleti_tabla_excel_Dim07">"="</definedName>
    <definedName name="csEsthajnal_rendeleti_tabla_excel_Dim08">"="</definedName>
    <definedName name="csEsthajnal_rendeleti_tabla_excel_Dim09">"="</definedName>
    <definedName name="csEsthajnal_rendeleti_tabla_excel_Dim10">"="</definedName>
    <definedName name="csEsthajnal_rendeleti_tabla_excel_Dim11">"="</definedName>
    <definedName name="csEsthajnal_rendeleti_tabla_excel_Dim12">"="</definedName>
    <definedName name="csexcel_Cigany_rend_tabla_konc_Dim01">"="</definedName>
    <definedName name="csexcel_Cigany_rend_tabla_konc_Dim02">"="</definedName>
    <definedName name="csexcel_Cigany_rend_tabla_konc_Dim03">"="</definedName>
    <definedName name="csexcel_Cigany_rend_tabla_konc_Dim04">"="</definedName>
    <definedName name="csexcel_Cigany_rend_tabla_konc_Dim05">"="</definedName>
    <definedName name="csexcel_Cigany_rend_tabla_konc_Dim06">"="</definedName>
    <definedName name="csexcel_Cigany_rend_tabla_konc_Dim07">"="</definedName>
    <definedName name="csexcel_Cigany_rend_tabla_konc_Dim08">"="</definedName>
    <definedName name="csexcel_Cigany_rend_tabla_konc_Dim09">"="</definedName>
    <definedName name="csexcel_Cigany_rend_tabla_konc_Dim10">"="</definedName>
    <definedName name="csexcel_Cigany_rend_tabla_konc_Dim11">"="</definedName>
    <definedName name="csexcel_Cigany_rend_tabla_konc_Dim12">"="</definedName>
    <definedName name="csexcel_int_alapy_Dim01">"="</definedName>
    <definedName name="csexcel_int_alapy_Dim02">"="</definedName>
    <definedName name="csexcel_int_alapy_Dim03">"="</definedName>
    <definedName name="csexcel_int_alapy_Dim04">"="</definedName>
    <definedName name="csexcel_int_alapy_Dim05">"="</definedName>
    <definedName name="csexcel_int_alapy_Dim06">"="</definedName>
    <definedName name="csexcel_int_alapy_Dim07">"="</definedName>
    <definedName name="csexcel_int_alapy_Dim08">"="</definedName>
    <definedName name="csexcel_int_alapy_Dim09">"="</definedName>
    <definedName name="csexcel_int_alapy_Dim10">"="</definedName>
    <definedName name="csexcel_int_alapy_Dim11">"="</definedName>
    <definedName name="csexcel_int_alapy_Dim12">"="</definedName>
    <definedName name="csexcel_int_alapy_konc_Dim01">"="</definedName>
    <definedName name="csexcel_int_alapy_konc_Dim02">"="</definedName>
    <definedName name="csexcel_int_alapy_konc_Dim03">"="</definedName>
    <definedName name="csexcel_int_alapy_konc_Dim04">"="</definedName>
    <definedName name="csexcel_int_alapy_konc_Dim05">"="</definedName>
    <definedName name="csexcel_int_alapy_konc_Dim06">"="</definedName>
    <definedName name="csexcel_int_alapy_konc_Dim07">"="</definedName>
    <definedName name="csexcel_int_alapy_konc_Dim08">"="</definedName>
    <definedName name="csexcel_int_alapy_konc_Dim09">"="</definedName>
    <definedName name="csexcel_int_alapy_konc_Dim10">"="</definedName>
    <definedName name="csexcel_int_alapy_konc_Dim11">"="</definedName>
    <definedName name="csexcel_int_alapy_konc_Dim12">"="</definedName>
    <definedName name="csexcel_int_alapyAnchor" localSheetId="1">#REF!</definedName>
    <definedName name="csexcel_int_alapyAnchor" localSheetId="11">[1]Alapy!#REF!</definedName>
    <definedName name="csexcel_int_alapyAnchor">#REF!</definedName>
    <definedName name="csexcel_int_alt_spec_isk_Dim01">"="</definedName>
    <definedName name="csexcel_int_alt_spec_isk_Dim02">"="</definedName>
    <definedName name="csexcel_int_alt_spec_isk_Dim03">"="</definedName>
    <definedName name="csexcel_int_alt_spec_isk_Dim04">"="</definedName>
    <definedName name="csexcel_int_alt_spec_isk_Dim05">"="</definedName>
    <definedName name="csexcel_int_alt_spec_isk_Dim06">"="</definedName>
    <definedName name="csexcel_int_alt_spec_isk_Dim07">"="</definedName>
    <definedName name="csexcel_int_alt_spec_isk_Dim08">"="</definedName>
    <definedName name="csexcel_int_alt_spec_isk_Dim09">"="</definedName>
    <definedName name="csexcel_int_alt_spec_isk_Dim10">"="</definedName>
    <definedName name="csexcel_int_alt_spec_isk_Dim11">"="</definedName>
    <definedName name="csexcel_int_alt_spec_isk_Dim12">"="</definedName>
    <definedName name="csexcel_int_alt_spec_isk_konc_Dim01">"="</definedName>
    <definedName name="csexcel_int_alt_spec_isk_konc_Dim02">"="</definedName>
    <definedName name="csexcel_int_alt_spec_isk_konc_Dim03">"="</definedName>
    <definedName name="csexcel_int_alt_spec_isk_konc_Dim04">"="</definedName>
    <definedName name="csexcel_int_alt_spec_isk_konc_Dim05">"="</definedName>
    <definedName name="csexcel_int_alt_spec_isk_konc_Dim06">"="</definedName>
    <definedName name="csexcel_int_alt_spec_isk_konc_Dim07">"="</definedName>
    <definedName name="csexcel_int_alt_spec_isk_konc_Dim08">"="</definedName>
    <definedName name="csexcel_int_alt_spec_isk_konc_Dim09">"="</definedName>
    <definedName name="csexcel_int_alt_spec_isk_konc_Dim10">"="</definedName>
    <definedName name="csexcel_int_alt_spec_isk_konc_Dim11">"="</definedName>
    <definedName name="csexcel_int_alt_spec_isk_konc_Dim12">"="</definedName>
    <definedName name="csexcel_int_alt_spec_iskAnchor" localSheetId="1">#REF!</definedName>
    <definedName name="csexcel_int_alt_spec_iskAnchor" localSheetId="11">'[1]Óvoda,Ált.spec.isk'!#REF!</definedName>
    <definedName name="csexcel_int_alt_spec_iskAnchor">#REF!</definedName>
    <definedName name="csexcel_int_arany_janos_Dim01">"="</definedName>
    <definedName name="csexcel_int_arany_janos_Dim02">"="</definedName>
    <definedName name="csexcel_int_arany_janos_Dim03">"="</definedName>
    <definedName name="csexcel_int_arany_janos_Dim04">"="</definedName>
    <definedName name="csexcel_int_arany_janos_Dim05">"="</definedName>
    <definedName name="csexcel_int_arany_janos_Dim06">"="</definedName>
    <definedName name="csexcel_int_arany_janos_Dim07">"="</definedName>
    <definedName name="csexcel_int_arany_janos_Dim08">"="</definedName>
    <definedName name="csexcel_int_arany_janos_Dim09">"="</definedName>
    <definedName name="csexcel_int_arany_janos_Dim10">"="</definedName>
    <definedName name="csexcel_int_arany_janos_Dim11">"="</definedName>
    <definedName name="csexcel_int_arany_janos_Dim12">"="</definedName>
    <definedName name="csexcel_int_arany_janosAnchor">#REF!</definedName>
    <definedName name="csexcel_int_bottyan_Dim01">"="</definedName>
    <definedName name="csexcel_int_bottyan_Dim02">"="</definedName>
    <definedName name="csexcel_int_bottyan_Dim03">"="</definedName>
    <definedName name="csexcel_int_bottyan_Dim04">"="</definedName>
    <definedName name="csexcel_int_bottyan_Dim05">"="</definedName>
    <definedName name="csexcel_int_bottyan_Dim06">"="</definedName>
    <definedName name="csexcel_int_bottyan_Dim07">"="</definedName>
    <definedName name="csexcel_int_bottyan_Dim08">"="</definedName>
    <definedName name="csexcel_int_bottyan_Dim09">"="</definedName>
    <definedName name="csexcel_int_bottyan_Dim10">"="</definedName>
    <definedName name="csexcel_int_bottyan_Dim11">"="</definedName>
    <definedName name="csexcel_int_bottyan_Dim12">"="</definedName>
    <definedName name="csexcel_int_bottyan_konc_Dim01">"="</definedName>
    <definedName name="csexcel_int_bottyan_konc_Dim02">"="</definedName>
    <definedName name="csexcel_int_bottyan_konc_Dim03">"="</definedName>
    <definedName name="csexcel_int_bottyan_konc_Dim04">"="</definedName>
    <definedName name="csexcel_int_bottyan_konc_Dim05">"="</definedName>
    <definedName name="csexcel_int_bottyan_konc_Dim06">"="</definedName>
    <definedName name="csexcel_int_bottyan_konc_Dim07">"="</definedName>
    <definedName name="csexcel_int_bottyan_konc_Dim08">"="</definedName>
    <definedName name="csexcel_int_bottyan_konc_Dim09">"="</definedName>
    <definedName name="csexcel_int_bottyan_konc_Dim10">"="</definedName>
    <definedName name="csexcel_int_bottyan_konc_Dim11">"="</definedName>
    <definedName name="csexcel_int_bottyan_konc_Dim12">"="</definedName>
    <definedName name="csexcel_int_bottyan_koncAnchor">#REF!</definedName>
    <definedName name="csexcel_int_bottyanAnchor">#REF!</definedName>
    <definedName name="csexcel_int_eotvos_gimn_Dim01">"="</definedName>
    <definedName name="csexcel_int_eotvos_gimn_Dim02">"="</definedName>
    <definedName name="csexcel_int_eotvos_gimn_Dim03">"="</definedName>
    <definedName name="csexcel_int_eotvos_gimn_Dim04">"="</definedName>
    <definedName name="csexcel_int_eotvos_gimn_Dim05">"="</definedName>
    <definedName name="csexcel_int_eotvos_gimn_Dim06">"="</definedName>
    <definedName name="csexcel_int_eotvos_gimn_Dim07">"="</definedName>
    <definedName name="csexcel_int_eotvos_gimn_Dim08">"="</definedName>
    <definedName name="csexcel_int_eotvos_gimn_Dim09">"="</definedName>
    <definedName name="csexcel_int_eotvos_gimn_Dim10">"="</definedName>
    <definedName name="csexcel_int_eotvos_gimn_Dim11">"="</definedName>
    <definedName name="csexcel_int_eotvos_gimn_Dim12">"="</definedName>
    <definedName name="csexcel_int_eotvos_gimnAnchor">#REF!</definedName>
    <definedName name="csexcel_int_eotvos_szakk_Dim01">"="</definedName>
    <definedName name="csexcel_int_eotvos_szakk_Dim02">"="</definedName>
    <definedName name="csexcel_int_eotvos_szakk_Dim03">"="</definedName>
    <definedName name="csexcel_int_eotvos_szakk_Dim04">"="</definedName>
    <definedName name="csexcel_int_eotvos_szakk_Dim05">"="</definedName>
    <definedName name="csexcel_int_eotvos_szakk_Dim06">"="</definedName>
    <definedName name="csexcel_int_eotvos_szakk_Dim07">"="</definedName>
    <definedName name="csexcel_int_eotvos_szakk_Dim08">"="</definedName>
    <definedName name="csexcel_int_eotvos_szakk_Dim09">"="</definedName>
    <definedName name="csexcel_int_eotvos_szakk_Dim10">"="</definedName>
    <definedName name="csexcel_int_eotvos_szakk_Dim11">"="</definedName>
    <definedName name="csexcel_int_eotvos_szakk_Dim12">"="</definedName>
    <definedName name="csexcel_int_eotvos_szakk_konc_Dim01">"="</definedName>
    <definedName name="csexcel_int_eotvos_szakk_konc_Dim02">"="</definedName>
    <definedName name="csexcel_int_eotvos_szakk_konc_Dim03">"="</definedName>
    <definedName name="csexcel_int_eotvos_szakk_konc_Dim04">"="</definedName>
    <definedName name="csexcel_int_eotvos_szakk_konc_Dim05">"="</definedName>
    <definedName name="csexcel_int_eotvos_szakk_konc_Dim06">"="</definedName>
    <definedName name="csexcel_int_eotvos_szakk_konc_Dim07">"="</definedName>
    <definedName name="csexcel_int_eotvos_szakk_konc_Dim08">"="</definedName>
    <definedName name="csexcel_int_eotvos_szakk_konc_Dim09">"="</definedName>
    <definedName name="csexcel_int_eotvos_szakk_konc_Dim10">"="</definedName>
    <definedName name="csexcel_int_eotvos_szakk_konc_Dim11">"="</definedName>
    <definedName name="csexcel_int_eotvos_szakk_konc_Dim12">"="</definedName>
    <definedName name="csexcel_int_eotvos_szakkAnchor" localSheetId="1">#REF!</definedName>
    <definedName name="csexcel_int_eotvos_szakkAnchor" localSheetId="11">'[1]Eötvös Szakk.'!#REF!</definedName>
    <definedName name="csexcel_int_eotvos_szakkAnchor">#REF!</definedName>
    <definedName name="csexcel_int_erkel_Dim01">"="</definedName>
    <definedName name="csexcel_int_erkel_Dim02">"="</definedName>
    <definedName name="csexcel_int_erkel_Dim03">"="</definedName>
    <definedName name="csexcel_int_erkel_Dim04">"="</definedName>
    <definedName name="csexcel_int_erkel_Dim05">"="</definedName>
    <definedName name="csexcel_int_erkel_Dim06">"="</definedName>
    <definedName name="csexcel_int_erkel_Dim07">"="</definedName>
    <definedName name="csexcel_int_erkel_Dim08">"="</definedName>
    <definedName name="csexcel_int_erkel_Dim09">"="</definedName>
    <definedName name="csexcel_int_erkel_Dim10">"="</definedName>
    <definedName name="csexcel_int_erkel_Dim11">"="</definedName>
    <definedName name="csexcel_int_erkel_Dim12">"="</definedName>
    <definedName name="csexcel_int_erkel_konc_Dim01">"="</definedName>
    <definedName name="csexcel_int_erkel_konc_Dim02">"="</definedName>
    <definedName name="csexcel_int_erkel_konc_Dim03">"="</definedName>
    <definedName name="csexcel_int_erkel_konc_Dim04">"="</definedName>
    <definedName name="csexcel_int_erkel_konc_Dim05">"="</definedName>
    <definedName name="csexcel_int_erkel_konc_Dim06">"="</definedName>
    <definedName name="csexcel_int_erkel_konc_Dim07">"="</definedName>
    <definedName name="csexcel_int_erkel_konc_Dim08">"="</definedName>
    <definedName name="csexcel_int_erkel_konc_Dim09">"="</definedName>
    <definedName name="csexcel_int_erkel_konc_Dim10">"="</definedName>
    <definedName name="csexcel_int_erkel_konc_Dim11">"="</definedName>
    <definedName name="csexcel_int_erkel_konc_Dim12">"="</definedName>
    <definedName name="csexcel_int_erkelAnchor" localSheetId="1">#REF!</definedName>
    <definedName name="csexcel_int_erkelAnchor" localSheetId="11">[1]Erkel!#REF!</definedName>
    <definedName name="csexcel_int_erkelAnchor">#REF!</definedName>
    <definedName name="csexcel_int_esthajnal_Dim01">"="</definedName>
    <definedName name="csexcel_int_esthajnal_Dim02">"="</definedName>
    <definedName name="csexcel_int_esthajnal_Dim03">"="</definedName>
    <definedName name="csexcel_int_esthajnal_Dim04">"="</definedName>
    <definedName name="csexcel_int_esthajnal_Dim05">"="</definedName>
    <definedName name="csexcel_int_esthajnal_Dim06">"="</definedName>
    <definedName name="csexcel_int_esthajnal_Dim07">"="</definedName>
    <definedName name="csexcel_int_esthajnal_Dim08">"="</definedName>
    <definedName name="csexcel_int_esthajnal_Dim09">"="</definedName>
    <definedName name="csexcel_int_esthajnal_Dim10">"="</definedName>
    <definedName name="csexcel_int_esthajnal_Dim11">"="</definedName>
    <definedName name="csexcel_int_esthajnal_Dim12">"="</definedName>
    <definedName name="csexcel_int_esthajnalAnchor">#REF!</definedName>
    <definedName name="csexcel_int_feichtinger_Dim01">"="</definedName>
    <definedName name="csexcel_int_feichtinger_Dim02">"="</definedName>
    <definedName name="csexcel_int_feichtinger_Dim03">"="</definedName>
    <definedName name="csexcel_int_feichtinger_Dim04">"="</definedName>
    <definedName name="csexcel_int_feichtinger_Dim05">"="</definedName>
    <definedName name="csexcel_int_feichtinger_Dim06">"="</definedName>
    <definedName name="csexcel_int_feichtinger_Dim07">"="</definedName>
    <definedName name="csexcel_int_feichtinger_Dim08">"="</definedName>
    <definedName name="csexcel_int_feichtinger_Dim09">"="</definedName>
    <definedName name="csexcel_int_feichtinger_Dim10">"="</definedName>
    <definedName name="csexcel_int_feichtinger_Dim11">"="</definedName>
    <definedName name="csexcel_int_feichtinger_Dim12">"="</definedName>
    <definedName name="csexcel_int_feichtingerAnchor">#REF!</definedName>
    <definedName name="csexcel_int_fogy_o_tokodaltaro_Dim01">"="</definedName>
    <definedName name="csexcel_int_fogy_o_tokodaltaro_Dim02">"="</definedName>
    <definedName name="csexcel_int_fogy_o_tokodaltaro_Dim03">"="</definedName>
    <definedName name="csexcel_int_fogy_o_tokodaltaro_Dim04">"="</definedName>
    <definedName name="csexcel_int_fogy_o_tokodaltaro_Dim05">"="</definedName>
    <definedName name="csexcel_int_fogy_o_tokodaltaro_Dim06">"="</definedName>
    <definedName name="csexcel_int_fogy_o_tokodaltaro_Dim07">"="</definedName>
    <definedName name="csexcel_int_fogy_o_tokodaltaro_Dim08">"="</definedName>
    <definedName name="csexcel_int_fogy_o_tokodaltaro_Dim09">"="</definedName>
    <definedName name="csexcel_int_fogy_o_tokodaltaro_Dim10">"="</definedName>
    <definedName name="csexcel_int_fogy_o_tokodaltaro_Dim11">"="</definedName>
    <definedName name="csexcel_int_fogy_o_tokodaltaro_Dim12">"="</definedName>
    <definedName name="csexcel_int_fogy_o_tokodaltaroAnchor">#REF!</definedName>
    <definedName name="csexcel_int_geza_Dim01">"="</definedName>
    <definedName name="csexcel_int_geza_Dim02">"="</definedName>
    <definedName name="csexcel_int_geza_Dim03">"="</definedName>
    <definedName name="csexcel_int_geza_Dim04">"="</definedName>
    <definedName name="csexcel_int_geza_Dim05">"="</definedName>
    <definedName name="csexcel_int_geza_Dim06">"="</definedName>
    <definedName name="csexcel_int_geza_Dim07">"="</definedName>
    <definedName name="csexcel_int_geza_Dim08">"="</definedName>
    <definedName name="csexcel_int_geza_Dim09">"="</definedName>
    <definedName name="csexcel_int_geza_Dim10">"="</definedName>
    <definedName name="csexcel_int_geza_Dim11">"="</definedName>
    <definedName name="csexcel_int_geza_Dim12">"="</definedName>
    <definedName name="csexcel_int_geza_konc_Dim01">"="</definedName>
    <definedName name="csexcel_int_geza_konc_Dim02">"="</definedName>
    <definedName name="csexcel_int_geza_konc_Dim03">"="</definedName>
    <definedName name="csexcel_int_geza_konc_Dim04">"="</definedName>
    <definedName name="csexcel_int_geza_konc_Dim05">"="</definedName>
    <definedName name="csexcel_int_geza_konc_Dim06">"="</definedName>
    <definedName name="csexcel_int_geza_konc_Dim07">"="</definedName>
    <definedName name="csexcel_int_geza_konc_Dim08">"="</definedName>
    <definedName name="csexcel_int_geza_konc_Dim09">"="</definedName>
    <definedName name="csexcel_int_geza_konc_Dim10">"="</definedName>
    <definedName name="csexcel_int_geza_konc_Dim11">"="</definedName>
    <definedName name="csexcel_int_geza_konc_Dim12">"="</definedName>
    <definedName name="csexcel_int_gezaAnchor" localSheetId="1">#REF!</definedName>
    <definedName name="csexcel_int_gezaAnchor" localSheetId="11">[1]Géza!#REF!</definedName>
    <definedName name="csexcel_int_gezaAnchor">#REF!</definedName>
    <definedName name="csexcel_int_gyszgy_Dim01">"="</definedName>
    <definedName name="csexcel_int_gyszgy_Dim02">"="</definedName>
    <definedName name="csexcel_int_gyszgy_Dim03">"="</definedName>
    <definedName name="csexcel_int_gyszgy_Dim04">"="</definedName>
    <definedName name="csexcel_int_gyszgy_Dim05">"="</definedName>
    <definedName name="csexcel_int_gyszgy_Dim06">"="</definedName>
    <definedName name="csexcel_int_gyszgy_Dim07">"="</definedName>
    <definedName name="csexcel_int_gyszgy_Dim08">"="</definedName>
    <definedName name="csexcel_int_gyszgy_Dim09">"="</definedName>
    <definedName name="csexcel_int_gyszgy_Dim10">"="</definedName>
    <definedName name="csexcel_int_gyszgy_Dim11">"="</definedName>
    <definedName name="csexcel_int_gyszgy_Dim12">"="</definedName>
    <definedName name="csexcel_int_gyszgy_konc_Dim01">"="</definedName>
    <definedName name="csexcel_int_gyszgy_konc_Dim02">"="</definedName>
    <definedName name="csexcel_int_gyszgy_konc_Dim03">"="</definedName>
    <definedName name="csexcel_int_gyszgy_konc_Dim04">"="</definedName>
    <definedName name="csexcel_int_gyszgy_konc_Dim05">"="</definedName>
    <definedName name="csexcel_int_gyszgy_konc_Dim06">"="</definedName>
    <definedName name="csexcel_int_gyszgy_konc_Dim07">"="</definedName>
    <definedName name="csexcel_int_gyszgy_konc_Dim08">"="</definedName>
    <definedName name="csexcel_int_gyszgy_konc_Dim09">"="</definedName>
    <definedName name="csexcel_int_gyszgy_konc_Dim10">"="</definedName>
    <definedName name="csexcel_int_gyszgy_konc_Dim11">"="</definedName>
    <definedName name="csexcel_int_gyszgy_konc_Dim12">"="</definedName>
    <definedName name="csexcel_int_gyszgy_koncAnchor">#REF!</definedName>
    <definedName name="csexcel_int_gyszgyAnchor">#REF!</definedName>
    <definedName name="csexcel_int_hegyhati_Dim01">"="</definedName>
    <definedName name="csexcel_int_hegyhati_Dim02">"="</definedName>
    <definedName name="csexcel_int_hegyhati_Dim03">"="</definedName>
    <definedName name="csexcel_int_hegyhati_Dim04">"="</definedName>
    <definedName name="csexcel_int_hegyhati_Dim05">"="</definedName>
    <definedName name="csexcel_int_hegyhati_Dim06">"="</definedName>
    <definedName name="csexcel_int_hegyhati_Dim07">"="</definedName>
    <definedName name="csexcel_int_hegyhati_Dim08">"="</definedName>
    <definedName name="csexcel_int_hegyhati_Dim09">"="</definedName>
    <definedName name="csexcel_int_hegyhati_Dim10">"="</definedName>
    <definedName name="csexcel_int_hegyhati_Dim11">"="</definedName>
    <definedName name="csexcel_int_hegyhati_Dim12">"="</definedName>
    <definedName name="csexcel_int_hegyhati_konc_Dim01">"="</definedName>
    <definedName name="csexcel_int_hegyhati_konc_Dim02">"="</definedName>
    <definedName name="csexcel_int_hegyhati_konc_Dim03">"="</definedName>
    <definedName name="csexcel_int_hegyhati_konc_Dim04">"="</definedName>
    <definedName name="csexcel_int_hegyhati_konc_Dim05">"="</definedName>
    <definedName name="csexcel_int_hegyhati_konc_Dim06">"="</definedName>
    <definedName name="csexcel_int_hegyhati_konc_Dim07">"="</definedName>
    <definedName name="csexcel_int_hegyhati_konc_Dim08">"="</definedName>
    <definedName name="csexcel_int_hegyhati_konc_Dim09">"="</definedName>
    <definedName name="csexcel_int_hegyhati_konc_Dim10">"="</definedName>
    <definedName name="csexcel_int_hegyhati_konc_Dim11">"="</definedName>
    <definedName name="csexcel_int_hegyhati_konc_Dim12">"="</definedName>
    <definedName name="csexcel_int_hegyhati_koncAnchor">#REF!</definedName>
    <definedName name="csexcel_int_hegyhatiAnchor">#REF!</definedName>
    <definedName name="csexcel_int_integralt_szoc_Dim01">"="</definedName>
    <definedName name="csexcel_int_integralt_szoc_Dim02">"="</definedName>
    <definedName name="csexcel_int_integralt_szoc_Dim03">"="</definedName>
    <definedName name="csexcel_int_integralt_szoc_Dim04">"="</definedName>
    <definedName name="csexcel_int_integralt_szoc_Dim05">"="</definedName>
    <definedName name="csexcel_int_integralt_szoc_Dim06">"="</definedName>
    <definedName name="csexcel_int_integralt_szoc_Dim07">"="</definedName>
    <definedName name="csexcel_int_integralt_szoc_Dim08">"="</definedName>
    <definedName name="csexcel_int_integralt_szoc_Dim09">"="</definedName>
    <definedName name="csexcel_int_integralt_szoc_Dim10">"="</definedName>
    <definedName name="csexcel_int_integralt_szoc_Dim11">"="</definedName>
    <definedName name="csexcel_int_integralt_szoc_Dim12">"="</definedName>
    <definedName name="csexcel_int_integralt_szoc_konc_Dim01">"="</definedName>
    <definedName name="csexcel_int_integralt_szoc_konc_Dim02">"="</definedName>
    <definedName name="csexcel_int_integralt_szoc_konc_Dim03">"="</definedName>
    <definedName name="csexcel_int_integralt_szoc_konc_Dim04">"="</definedName>
    <definedName name="csexcel_int_integralt_szoc_konc_Dim05">"="</definedName>
    <definedName name="csexcel_int_integralt_szoc_konc_Dim06">"="</definedName>
    <definedName name="csexcel_int_integralt_szoc_konc_Dim07">"="</definedName>
    <definedName name="csexcel_int_integralt_szoc_konc_Dim08">"="</definedName>
    <definedName name="csexcel_int_integralt_szoc_konc_Dim09">"="</definedName>
    <definedName name="csexcel_int_integralt_szoc_konc_Dim10">"="</definedName>
    <definedName name="csexcel_int_integralt_szoc_konc_Dim11">"="</definedName>
    <definedName name="csexcel_int_integralt_szoc_konc_Dim12">"="</definedName>
    <definedName name="csexcel_int_integralt_szocAnchor" localSheetId="1">#REF!</definedName>
    <definedName name="csexcel_int_integralt_szocAnchor" localSheetId="11">'[1]Integrált szoc'!#REF!</definedName>
    <definedName name="csexcel_int_integralt_szocAnchor">#REF!</definedName>
    <definedName name="csexcel_int_javorka_Dim01">"="</definedName>
    <definedName name="csexcel_int_javorka_Dim02">"="</definedName>
    <definedName name="csexcel_int_javorka_Dim03">"="</definedName>
    <definedName name="csexcel_int_javorka_Dim04">"="</definedName>
    <definedName name="csexcel_int_javorka_Dim05">"="</definedName>
    <definedName name="csexcel_int_javorka_Dim06">"="</definedName>
    <definedName name="csexcel_int_javorka_Dim07">"="</definedName>
    <definedName name="csexcel_int_javorka_Dim08">"="</definedName>
    <definedName name="csexcel_int_javorka_Dim09">"="</definedName>
    <definedName name="csexcel_int_javorka_Dim10">"="</definedName>
    <definedName name="csexcel_int_javorka_Dim11">"="</definedName>
    <definedName name="csexcel_int_javorka_Dim12">"="</definedName>
    <definedName name="csexcel_int_javorka_konc_Dim01">"="</definedName>
    <definedName name="csexcel_int_javorka_konc_Dim02">"="</definedName>
    <definedName name="csexcel_int_javorka_konc_Dim03">"="</definedName>
    <definedName name="csexcel_int_javorka_konc_Dim04">"="</definedName>
    <definedName name="csexcel_int_javorka_konc_Dim05">"="</definedName>
    <definedName name="csexcel_int_javorka_konc_Dim06">"="</definedName>
    <definedName name="csexcel_int_javorka_konc_Dim07">"="</definedName>
    <definedName name="csexcel_int_javorka_konc_Dim08">"="</definedName>
    <definedName name="csexcel_int_javorka_konc_Dim09">"="</definedName>
    <definedName name="csexcel_int_javorka_konc_Dim10">"="</definedName>
    <definedName name="csexcel_int_javorka_konc_Dim11">"="</definedName>
    <definedName name="csexcel_int_javorka_konc_Dim12">"="</definedName>
    <definedName name="csexcel_int_Javorka_rendeleti_tabla_Dim01">"="</definedName>
    <definedName name="csexcel_int_Javorka_rendeleti_tabla_Dim02">"="</definedName>
    <definedName name="csexcel_int_Javorka_rendeleti_tabla_Dim03">"="</definedName>
    <definedName name="csexcel_int_Javorka_rendeleti_tabla_Dim04">"="</definedName>
    <definedName name="csexcel_int_Javorka_rendeleti_tabla_Dim05">"="</definedName>
    <definedName name="csexcel_int_Javorka_rendeleti_tabla_Dim06">"="</definedName>
    <definedName name="csexcel_int_Javorka_rendeleti_tabla_Dim07">"="</definedName>
    <definedName name="csexcel_int_Javorka_rendeleti_tabla_Dim08">"="</definedName>
    <definedName name="csexcel_int_Javorka_rendeleti_tabla_Dim09">"="</definedName>
    <definedName name="csexcel_int_Javorka_rendeleti_tabla_Dim10">"="</definedName>
    <definedName name="csexcel_int_Javorka_rendeleti_tabla_Dim11">"="</definedName>
    <definedName name="csexcel_int_Javorka_rendeleti_tabla_Dim12">"="</definedName>
    <definedName name="csexcel_int_Javorka_rendeleti_tablaAnchor">#REF!</definedName>
    <definedName name="csexcel_int_javorkaAnchor" localSheetId="1">#REF!</definedName>
    <definedName name="csexcel_int_javorkaAnchor" localSheetId="11">[1]Jávorka!#REF!</definedName>
    <definedName name="csexcel_int_javorkaAnchor">#REF!</definedName>
    <definedName name="csexcel_int_jokai_Dim01">"="</definedName>
    <definedName name="csexcel_int_jokai_Dim02">"="</definedName>
    <definedName name="csexcel_int_jokai_Dim03">"="</definedName>
    <definedName name="csexcel_int_jokai_Dim04">"="</definedName>
    <definedName name="csexcel_int_jokai_Dim05">"="</definedName>
    <definedName name="csexcel_int_jokai_Dim06">"="</definedName>
    <definedName name="csexcel_int_jokai_Dim07">"="</definedName>
    <definedName name="csexcel_int_jokai_Dim08">"="</definedName>
    <definedName name="csexcel_int_jokai_Dim09">"="</definedName>
    <definedName name="csexcel_int_jokai_Dim10">"="</definedName>
    <definedName name="csexcel_int_jokai_Dim11">"="</definedName>
    <definedName name="csexcel_int_jokai_Dim12">"="</definedName>
    <definedName name="csexcel_int_jokaiAnchor">#REF!</definedName>
    <definedName name="csexcel_int_konyvtar_Dim01">"="</definedName>
    <definedName name="csexcel_int_konyvtar_Dim02">"="</definedName>
    <definedName name="csexcel_int_konyvtar_Dim03">"="</definedName>
    <definedName name="csexcel_int_konyvtar_Dim04">"="</definedName>
    <definedName name="csexcel_int_konyvtar_Dim05">"="</definedName>
    <definedName name="csexcel_int_konyvtar_Dim06">"="</definedName>
    <definedName name="csexcel_int_konyvtar_Dim07">"="</definedName>
    <definedName name="csexcel_int_konyvtar_Dim08">"="</definedName>
    <definedName name="csexcel_int_konyvtar_Dim09">"="</definedName>
    <definedName name="csexcel_int_konyvtar_Dim10">"="</definedName>
    <definedName name="csexcel_int_konyvtar_Dim11">"="</definedName>
    <definedName name="csexcel_int_konyvtar_Dim12">"="</definedName>
    <definedName name="csexcel_int_konyvtar_konc_Dim01">"="</definedName>
    <definedName name="csexcel_int_konyvtar_konc_Dim02">"="</definedName>
    <definedName name="csexcel_int_konyvtar_konc_Dim03">"="</definedName>
    <definedName name="csexcel_int_konyvtar_konc_Dim04">"="</definedName>
    <definedName name="csexcel_int_konyvtar_konc_Dim05">"="</definedName>
    <definedName name="csexcel_int_konyvtar_konc_Dim06">"="</definedName>
    <definedName name="csexcel_int_konyvtar_konc_Dim07">"="</definedName>
    <definedName name="csexcel_int_konyvtar_konc_Dim08">"="</definedName>
    <definedName name="csexcel_int_konyvtar_konc_Dim09">"="</definedName>
    <definedName name="csexcel_int_konyvtar_konc_Dim10">"="</definedName>
    <definedName name="csexcel_int_konyvtar_konc_Dim11">"="</definedName>
    <definedName name="csexcel_int_konyvtar_konc_Dim12">"="</definedName>
    <definedName name="csexcel_int_konyvtarAnchor" localSheetId="1">#REF!</definedName>
    <definedName name="csexcel_int_konyvtarAnchor" localSheetId="11">[1]Könyvtár!#REF!</definedName>
    <definedName name="csexcel_int_konyvtarAnchor">#REF!</definedName>
    <definedName name="csexcel_int_korhaz_Dim01">"="</definedName>
    <definedName name="csexcel_int_korhaz_Dim02">"="</definedName>
    <definedName name="csexcel_int_korhaz_Dim03">"="</definedName>
    <definedName name="csexcel_int_korhaz_Dim04">"="</definedName>
    <definedName name="csexcel_int_korhaz_Dim05">"="</definedName>
    <definedName name="csexcel_int_korhaz_Dim06">"="</definedName>
    <definedName name="csexcel_int_korhaz_Dim07">"="</definedName>
    <definedName name="csexcel_int_korhaz_Dim08">"="</definedName>
    <definedName name="csexcel_int_korhaz_Dim09">"="</definedName>
    <definedName name="csexcel_int_korhaz_Dim10">"="</definedName>
    <definedName name="csexcel_int_korhaz_Dim11">"="</definedName>
    <definedName name="csexcel_int_korhaz_Dim12">"="</definedName>
    <definedName name="csexcel_int_korhaz_konc_Dim01">"="</definedName>
    <definedName name="csexcel_int_korhaz_konc_Dim02">"="</definedName>
    <definedName name="csexcel_int_korhaz_konc_Dim03">"="</definedName>
    <definedName name="csexcel_int_korhaz_konc_Dim04">"="</definedName>
    <definedName name="csexcel_int_korhaz_konc_Dim05">"="</definedName>
    <definedName name="csexcel_int_korhaz_konc_Dim06">"="</definedName>
    <definedName name="csexcel_int_korhaz_konc_Dim07">"="</definedName>
    <definedName name="csexcel_int_korhaz_konc_Dim08">"="</definedName>
    <definedName name="csexcel_int_korhaz_konc_Dim09">"="</definedName>
    <definedName name="csexcel_int_korhaz_konc_Dim10">"="</definedName>
    <definedName name="csexcel_int_korhaz_konc_Dim11">"="</definedName>
    <definedName name="csexcel_int_korhaz_konc_Dim12">"="</definedName>
    <definedName name="csexcel_int_korhazAnchor" localSheetId="1">#REF!</definedName>
    <definedName name="csexcel_int_korhazAnchor" localSheetId="11">[1]Kórház!#REF!</definedName>
    <definedName name="csexcel_int_korhazAnchor">#REF!</definedName>
    <definedName name="csexcel_int_kozepfoku_koll_Dim01">"="</definedName>
    <definedName name="csexcel_int_kozepfoku_koll_Dim02">"="</definedName>
    <definedName name="csexcel_int_kozepfoku_koll_Dim03">"="</definedName>
    <definedName name="csexcel_int_kozepfoku_koll_Dim04">"="</definedName>
    <definedName name="csexcel_int_kozepfoku_koll_Dim05">"="</definedName>
    <definedName name="csexcel_int_kozepfoku_koll_Dim06">"="</definedName>
    <definedName name="csexcel_int_kozepfoku_koll_Dim07">"="</definedName>
    <definedName name="csexcel_int_kozepfoku_koll_Dim08">"="</definedName>
    <definedName name="csexcel_int_kozepfoku_koll_Dim09">"="</definedName>
    <definedName name="csexcel_int_kozepfoku_koll_Dim10">"="</definedName>
    <definedName name="csexcel_int_kozepfoku_koll_Dim11">"="</definedName>
    <definedName name="csexcel_int_kozepfoku_koll_Dim12">"="</definedName>
    <definedName name="csexcel_int_kozepfoku_koll_konc_Dim01">"="</definedName>
    <definedName name="csexcel_int_kozepfoku_koll_konc_Dim02">"="</definedName>
    <definedName name="csexcel_int_kozepfoku_koll_konc_Dim03">"="</definedName>
    <definedName name="csexcel_int_kozepfoku_koll_konc_Dim04">"="</definedName>
    <definedName name="csexcel_int_kozepfoku_koll_konc_Dim05">"="</definedName>
    <definedName name="csexcel_int_kozepfoku_koll_konc_Dim06">"="</definedName>
    <definedName name="csexcel_int_kozepfoku_koll_konc_Dim07">"="</definedName>
    <definedName name="csexcel_int_kozepfoku_koll_konc_Dim08">"="</definedName>
    <definedName name="csexcel_int_kozepfoku_koll_konc_Dim09">"="</definedName>
    <definedName name="csexcel_int_kozepfoku_koll_konc_Dim10">"="</definedName>
    <definedName name="csexcel_int_kozepfoku_koll_konc_Dim11">"="</definedName>
    <definedName name="csexcel_int_kozepfoku_koll_konc_Dim12">"="</definedName>
    <definedName name="csexcel_int_kozepfoku_koll_koncAnchor">#REF!</definedName>
    <definedName name="csexcel_int_kozepfoku_kollAnchor">#REF!</definedName>
    <definedName name="csexcel_int_kultsar_Dim01">"="</definedName>
    <definedName name="csexcel_int_kultsar_Dim02">"="</definedName>
    <definedName name="csexcel_int_kultsar_Dim03">"="</definedName>
    <definedName name="csexcel_int_kultsar_Dim04">"="</definedName>
    <definedName name="csexcel_int_kultsar_Dim05">"="</definedName>
    <definedName name="csexcel_int_kultsar_Dim06">"="</definedName>
    <definedName name="csexcel_int_kultsar_Dim07">"="</definedName>
    <definedName name="csexcel_int_kultsar_Dim08">"="</definedName>
    <definedName name="csexcel_int_kultsar_Dim09">"="</definedName>
    <definedName name="csexcel_int_kultsar_Dim10">"="</definedName>
    <definedName name="csexcel_int_kultsar_Dim11">"="</definedName>
    <definedName name="csexcel_int_kultsar_Dim12">"="</definedName>
    <definedName name="csexcel_int_kultsar_konc_Dim01">"="</definedName>
    <definedName name="csexcel_int_kultsar_konc_Dim02">"="</definedName>
    <definedName name="csexcel_int_kultsar_konc_Dim03">"="</definedName>
    <definedName name="csexcel_int_kultsar_konc_Dim04">"="</definedName>
    <definedName name="csexcel_int_kultsar_konc_Dim05">"="</definedName>
    <definedName name="csexcel_int_kultsar_konc_Dim06">"="</definedName>
    <definedName name="csexcel_int_kultsar_konc_Dim07">"="</definedName>
    <definedName name="csexcel_int_kultsar_konc_Dim08">"="</definedName>
    <definedName name="csexcel_int_kultsar_konc_Dim09">"="</definedName>
    <definedName name="csexcel_int_kultsar_konc_Dim10">"="</definedName>
    <definedName name="csexcel_int_kultsar_konc_Dim11">"="</definedName>
    <definedName name="csexcel_int_kultsar_konc_Dim12">"="</definedName>
    <definedName name="csexcel_int_kultsarAnchor" localSheetId="1">#REF!</definedName>
    <definedName name="csexcel_int_kultsarAnchor" localSheetId="11">[1]Kultsar!#REF!</definedName>
    <definedName name="csexcel_int_kultsarAnchor">#REF!</definedName>
    <definedName name="csexcel_int_leveltar_Dim01">"="</definedName>
    <definedName name="csexcel_int_leveltar_Dim02">"="</definedName>
    <definedName name="csexcel_int_leveltar_Dim03">"="</definedName>
    <definedName name="csexcel_int_leveltar_Dim04">"="</definedName>
    <definedName name="csexcel_int_leveltar_Dim05">"="</definedName>
    <definedName name="csexcel_int_leveltar_Dim06">"="</definedName>
    <definedName name="csexcel_int_leveltar_Dim07">"="</definedName>
    <definedName name="csexcel_int_leveltar_Dim08">"="</definedName>
    <definedName name="csexcel_int_leveltar_Dim09">"="</definedName>
    <definedName name="csexcel_int_leveltar_Dim10">"="</definedName>
    <definedName name="csexcel_int_leveltar_Dim11">"="</definedName>
    <definedName name="csexcel_int_leveltar_Dim12">"="</definedName>
    <definedName name="csexcel_int_leveltar_konc_Dim01">"="</definedName>
    <definedName name="csexcel_int_leveltar_konc_Dim02">"="</definedName>
    <definedName name="csexcel_int_leveltar_konc_Dim03">"="</definedName>
    <definedName name="csexcel_int_leveltar_konc_Dim04">"="</definedName>
    <definedName name="csexcel_int_leveltar_konc_Dim05">"="</definedName>
    <definedName name="csexcel_int_leveltar_konc_Dim06">"="</definedName>
    <definedName name="csexcel_int_leveltar_konc_Dim07">"="</definedName>
    <definedName name="csexcel_int_leveltar_konc_Dim08">"="</definedName>
    <definedName name="csexcel_int_leveltar_konc_Dim09">"="</definedName>
    <definedName name="csexcel_int_leveltar_konc_Dim10">"="</definedName>
    <definedName name="csexcel_int_leveltar_konc_Dim11">"="</definedName>
    <definedName name="csexcel_int_leveltar_konc_Dim12">"="</definedName>
    <definedName name="csexcel_int_leveltarAnchor" localSheetId="1">#REF!</definedName>
    <definedName name="csexcel_int_leveltarAnchor" localSheetId="11">[1]Levéltár!#REF!</definedName>
    <definedName name="csexcel_int_leveltarAnchor">#REF!</definedName>
    <definedName name="csexcel_int_meri_Dim01">"="</definedName>
    <definedName name="csexcel_int_meri_Dim02">"="</definedName>
    <definedName name="csexcel_int_meri_Dim03">"="</definedName>
    <definedName name="csexcel_int_meri_Dim04">"="</definedName>
    <definedName name="csexcel_int_meri_Dim05">"="</definedName>
    <definedName name="csexcel_int_meri_Dim06">"="</definedName>
    <definedName name="csexcel_int_meri_Dim07">"="</definedName>
    <definedName name="csexcel_int_meri_Dim08">"="</definedName>
    <definedName name="csexcel_int_meri_Dim09">"="</definedName>
    <definedName name="csexcel_int_meri_Dim10">"="</definedName>
    <definedName name="csexcel_int_meri_Dim11">"="</definedName>
    <definedName name="csexcel_int_meri_Dim12">"="</definedName>
    <definedName name="csexcel_int_meri_konc_Dim01">"="</definedName>
    <definedName name="csexcel_int_meri_konc_Dim02">"="</definedName>
    <definedName name="csexcel_int_meri_konc_Dim03">"="</definedName>
    <definedName name="csexcel_int_meri_konc_Dim04">"="</definedName>
    <definedName name="csexcel_int_meri_konc_Dim05">"="</definedName>
    <definedName name="csexcel_int_meri_konc_Dim06">"="</definedName>
    <definedName name="csexcel_int_meri_konc_Dim07">"="</definedName>
    <definedName name="csexcel_int_meri_konc_Dim08">"="</definedName>
    <definedName name="csexcel_int_meri_konc_Dim09">"="</definedName>
    <definedName name="csexcel_int_meri_konc_Dim10">"="</definedName>
    <definedName name="csexcel_int_meri_konc_Dim11">"="</definedName>
    <definedName name="csexcel_int_meri_konc_Dim12">"="</definedName>
    <definedName name="csexcel_int_meriAnchor" localSheetId="1">#REF!</definedName>
    <definedName name="csexcel_int_meriAnchor" localSheetId="11">[1]MERI!#REF!</definedName>
    <definedName name="csexcel_int_meriAnchor">#REF!</definedName>
    <definedName name="csexcel_int_mora_Dim01">"="</definedName>
    <definedName name="csexcel_int_mora_Dim02">"="</definedName>
    <definedName name="csexcel_int_mora_Dim03">"="</definedName>
    <definedName name="csexcel_int_mora_Dim04">"="</definedName>
    <definedName name="csexcel_int_mora_Dim05">"="</definedName>
    <definedName name="csexcel_int_mora_Dim06">"="</definedName>
    <definedName name="csexcel_int_mora_Dim07">"="</definedName>
    <definedName name="csexcel_int_mora_Dim08">"="</definedName>
    <definedName name="csexcel_int_mora_Dim09">"="</definedName>
    <definedName name="csexcel_int_mora_Dim10">"="</definedName>
    <definedName name="csexcel_int_mora_Dim11">"="</definedName>
    <definedName name="csexcel_int_mora_Dim12">"="</definedName>
    <definedName name="csexcel_int_mora_konc_Dim01">"="</definedName>
    <definedName name="csexcel_int_mora_konc_Dim02">"="</definedName>
    <definedName name="csexcel_int_mora_konc_Dim03">"="</definedName>
    <definedName name="csexcel_int_mora_konc_Dim04">"="</definedName>
    <definedName name="csexcel_int_mora_konc_Dim05">"="</definedName>
    <definedName name="csexcel_int_mora_konc_Dim06">"="</definedName>
    <definedName name="csexcel_int_mora_konc_Dim07">"="</definedName>
    <definedName name="csexcel_int_mora_konc_Dim08">"="</definedName>
    <definedName name="csexcel_int_mora_konc_Dim09">"="</definedName>
    <definedName name="csexcel_int_mora_konc_Dim10">"="</definedName>
    <definedName name="csexcel_int_mora_konc_Dim11">"="</definedName>
    <definedName name="csexcel_int_mora_konc_Dim12">"="</definedName>
    <definedName name="csexcel_int_mora_koncAnchor">#REF!</definedName>
    <definedName name="csexcel_int_moraAnchor">#REF!</definedName>
    <definedName name="csexcel_int_muzeum_Dim01">"="</definedName>
    <definedName name="csexcel_int_muzeum_Dim02">"="</definedName>
    <definedName name="csexcel_int_muzeum_Dim03">"="</definedName>
    <definedName name="csexcel_int_muzeum_Dim04">"="</definedName>
    <definedName name="csexcel_int_muzeum_Dim05">"="</definedName>
    <definedName name="csexcel_int_muzeum_Dim06">"="</definedName>
    <definedName name="csexcel_int_muzeum_Dim07">"="</definedName>
    <definedName name="csexcel_int_muzeum_Dim08">"="</definedName>
    <definedName name="csexcel_int_muzeum_Dim09">"="</definedName>
    <definedName name="csexcel_int_muzeum_Dim10">"="</definedName>
    <definedName name="csexcel_int_muzeum_Dim11">"="</definedName>
    <definedName name="csexcel_int_muzeum_Dim12">"="</definedName>
    <definedName name="csexcel_int_muzeum_konc_Dim01">"="</definedName>
    <definedName name="csexcel_int_muzeum_konc_Dim02">"="</definedName>
    <definedName name="csexcel_int_muzeum_konc_Dim03">"="</definedName>
    <definedName name="csexcel_int_muzeum_konc_Dim04">"="</definedName>
    <definedName name="csexcel_int_muzeum_konc_Dim05">"="</definedName>
    <definedName name="csexcel_int_muzeum_konc_Dim06">"="</definedName>
    <definedName name="csexcel_int_muzeum_konc_Dim07">"="</definedName>
    <definedName name="csexcel_int_muzeum_konc_Dim08">"="</definedName>
    <definedName name="csexcel_int_muzeum_konc_Dim09">"="</definedName>
    <definedName name="csexcel_int_muzeum_konc_Dim10">"="</definedName>
    <definedName name="csexcel_int_muzeum_konc_Dim11">"="</definedName>
    <definedName name="csexcel_int_muzeum_konc_Dim12">"="</definedName>
    <definedName name="csexcel_int_muzeumAnchor" localSheetId="1">#REF!</definedName>
    <definedName name="csexcel_int_muzeumAnchor" localSheetId="11">[1]Múzeum!#REF!</definedName>
    <definedName name="csexcel_int_muzeumAnchor">#REF!</definedName>
    <definedName name="csexcel_int_pedagogiai_gyermekved_szaksz_konc_Dim01">"="</definedName>
    <definedName name="csexcel_int_pedagogiai_gyermekved_szaksz_konc_Dim02">"="</definedName>
    <definedName name="csexcel_int_pedagogiai_gyermekved_szaksz_konc_Dim03">"="</definedName>
    <definedName name="csexcel_int_pedagogiai_gyermekved_szaksz_konc_Dim04">"="</definedName>
    <definedName name="csexcel_int_pedagogiai_gyermekved_szaksz_konc_Dim05">"="</definedName>
    <definedName name="csexcel_int_pedagogiai_gyermekved_szaksz_konc_Dim06">"="</definedName>
    <definedName name="csexcel_int_pedagogiai_gyermekved_szaksz_konc_Dim07">"="</definedName>
    <definedName name="csexcel_int_pedagogiai_gyermekved_szaksz_konc_Dim08">"="</definedName>
    <definedName name="csexcel_int_pedagogiai_gyermekved_szaksz_konc_Dim09">"="</definedName>
    <definedName name="csexcel_int_pedagogiai_gyermekved_szaksz_konc_Dim10">"="</definedName>
    <definedName name="csexcel_int_pedagogiai_gyermekved_szaksz_konc_Dim11">"="</definedName>
    <definedName name="csexcel_int_pedagogiai_gyermekved_szaksz_konc_Dim12">"="</definedName>
    <definedName name="csexcel_int_pszichiatria_Dim01">"="</definedName>
    <definedName name="csexcel_int_pszichiatria_Dim02">"="</definedName>
    <definedName name="csexcel_int_pszichiatria_Dim03">"="</definedName>
    <definedName name="csexcel_int_pszichiatria_Dim04">"="</definedName>
    <definedName name="csexcel_int_pszichiatria_Dim05">"="</definedName>
    <definedName name="csexcel_int_pszichiatria_Dim06">"="</definedName>
    <definedName name="csexcel_int_pszichiatria_Dim07">"="</definedName>
    <definedName name="csexcel_int_pszichiatria_Dim08">"="</definedName>
    <definedName name="csexcel_int_pszichiatria_Dim09">"="</definedName>
    <definedName name="csexcel_int_pszichiatria_Dim10">"="</definedName>
    <definedName name="csexcel_int_pszichiatria_Dim11">"="</definedName>
    <definedName name="csexcel_int_pszichiatria_Dim12">"="</definedName>
    <definedName name="csexcel_int_pszichiatriaAnchor">#REF!</definedName>
    <definedName name="csexcel_int_szabolcsi_Dim01">"="</definedName>
    <definedName name="csexcel_int_szabolcsi_Dim02">"="</definedName>
    <definedName name="csexcel_int_szabolcsi_Dim03">"="</definedName>
    <definedName name="csexcel_int_szabolcsi_Dim04">"="</definedName>
    <definedName name="csexcel_int_szabolcsi_Dim05">"="</definedName>
    <definedName name="csexcel_int_szabolcsi_Dim06">"="</definedName>
    <definedName name="csexcel_int_szabolcsi_Dim07">"="</definedName>
    <definedName name="csexcel_int_szabolcsi_Dim08">"="</definedName>
    <definedName name="csexcel_int_szabolcsi_Dim09">"="</definedName>
    <definedName name="csexcel_int_szabolcsi_Dim10">"="</definedName>
    <definedName name="csexcel_int_szabolcsi_Dim11">"="</definedName>
    <definedName name="csexcel_int_szabolcsi_Dim12">"="</definedName>
    <definedName name="csexcel_int_szabolcsi_konc_Dim01">"="</definedName>
    <definedName name="csexcel_int_szabolcsi_konc_Dim02">"="</definedName>
    <definedName name="csexcel_int_szabolcsi_konc_Dim03">"="</definedName>
    <definedName name="csexcel_int_szabolcsi_konc_Dim04">"="</definedName>
    <definedName name="csexcel_int_szabolcsi_konc_Dim05">"="</definedName>
    <definedName name="csexcel_int_szabolcsi_konc_Dim06">"="</definedName>
    <definedName name="csexcel_int_szabolcsi_konc_Dim07">"="</definedName>
    <definedName name="csexcel_int_szabolcsi_konc_Dim08">"="</definedName>
    <definedName name="csexcel_int_szabolcsi_konc_Dim09">"="</definedName>
    <definedName name="csexcel_int_szabolcsi_konc_Dim10">"="</definedName>
    <definedName name="csexcel_int_szabolcsi_konc_Dim11">"="</definedName>
    <definedName name="csexcel_int_szabolcsi_konc_Dim12">"="</definedName>
    <definedName name="csexcel_int_szabolcsi_koncAnchor">#REF!</definedName>
    <definedName name="csexcel_int_szabolcsiAnchor">#REF!</definedName>
    <definedName name="csexcel_int_szakertoi_nev_konc_Dim01">"="</definedName>
    <definedName name="csexcel_int_szakertoi_nev_konc_Dim02">"="</definedName>
    <definedName name="csexcel_int_szakertoi_nev_konc_Dim03">"="</definedName>
    <definedName name="csexcel_int_szakertoi_nev_konc_Dim04">"="</definedName>
    <definedName name="csexcel_int_szakertoi_nev_konc_Dim05">"="</definedName>
    <definedName name="csexcel_int_szakertoi_nev_konc_Dim06">"="</definedName>
    <definedName name="csexcel_int_szakertoi_nev_konc_Dim07">"="</definedName>
    <definedName name="csexcel_int_szakertoi_nev_konc_Dim08">"="</definedName>
    <definedName name="csexcel_int_szakertoi_nev_konc_Dim09">"="</definedName>
    <definedName name="csexcel_int_szakertoi_nev_konc_Dim10">"="</definedName>
    <definedName name="csexcel_int_szakertoi_nev_konc_Dim11">"="</definedName>
    <definedName name="csexcel_int_szakertoi_nev_konc_Dim12">"="</definedName>
    <definedName name="csexcel_int_szakertoi_nev_koncAnchor">#REF!</definedName>
    <definedName name="csexcel_int_szakertoi_nev_tan_Dim01">"="</definedName>
    <definedName name="csexcel_int_szakertoi_nev_tan_Dim02">"="</definedName>
    <definedName name="csexcel_int_szakertoi_nev_tan_Dim03">"="</definedName>
    <definedName name="csexcel_int_szakertoi_nev_tan_Dim04">"="</definedName>
    <definedName name="csexcel_int_szakertoi_nev_tan_Dim05">"="</definedName>
    <definedName name="csexcel_int_szakertoi_nev_tan_Dim06">"="</definedName>
    <definedName name="csexcel_int_szakertoi_nev_tan_Dim07">"="</definedName>
    <definedName name="csexcel_int_szakertoi_nev_tan_Dim08">"="</definedName>
    <definedName name="csexcel_int_szakertoi_nev_tan_Dim09">"="</definedName>
    <definedName name="csexcel_int_szakertoi_nev_tan_Dim10">"="</definedName>
    <definedName name="csexcel_int_szakertoi_nev_tan_Dim11">"="</definedName>
    <definedName name="csexcel_int_szakertoi_nev_tan_Dim12">"="</definedName>
    <definedName name="csexcel_int_szakertoi_nev_tanAnchor">#REF!</definedName>
    <definedName name="csexcel_int_szechenyi_Dim01">"="</definedName>
    <definedName name="csexcel_int_szechenyi_Dim02">"="</definedName>
    <definedName name="csexcel_int_szechenyi_Dim03">"="</definedName>
    <definedName name="csexcel_int_szechenyi_Dim04">"="</definedName>
    <definedName name="csexcel_int_szechenyi_Dim05">"="</definedName>
    <definedName name="csexcel_int_szechenyi_Dim06">"="</definedName>
    <definedName name="csexcel_int_szechenyi_Dim07">"="</definedName>
    <definedName name="csexcel_int_szechenyi_Dim08">"="</definedName>
    <definedName name="csexcel_int_szechenyi_Dim09">"="</definedName>
    <definedName name="csexcel_int_szechenyi_Dim10">"="</definedName>
    <definedName name="csexcel_int_szechenyi_Dim11">"="</definedName>
    <definedName name="csexcel_int_szechenyi_Dim12">"="</definedName>
    <definedName name="csexcel_int_szechenyi_konc_Dim01">"="</definedName>
    <definedName name="csexcel_int_szechenyi_konc_Dim02">"="</definedName>
    <definedName name="csexcel_int_szechenyi_konc_Dim03">"="</definedName>
    <definedName name="csexcel_int_szechenyi_konc_Dim04">"="</definedName>
    <definedName name="csexcel_int_szechenyi_konc_Dim05">"="</definedName>
    <definedName name="csexcel_int_szechenyi_konc_Dim06">"="</definedName>
    <definedName name="csexcel_int_szechenyi_konc_Dim07">"="</definedName>
    <definedName name="csexcel_int_szechenyi_konc_Dim08">"="</definedName>
    <definedName name="csexcel_int_szechenyi_konc_Dim09">"="</definedName>
    <definedName name="csexcel_int_szechenyi_konc_Dim10">"="</definedName>
    <definedName name="csexcel_int_szechenyi_konc_Dim11">"="</definedName>
    <definedName name="csexcel_int_szechenyi_konc_Dim12">"="</definedName>
    <definedName name="csexcel_int_szechenyiAnchor" localSheetId="1">#REF!</definedName>
    <definedName name="csexcel_int_szechenyiAnchor" localSheetId="11">[1]Széchenyi!#REF!</definedName>
    <definedName name="csexcel_int_szechenyiAnchor">#REF!</definedName>
    <definedName name="csexcel_int_szt_rita_Dim01">"="</definedName>
    <definedName name="csexcel_int_szt_rita_Dim02">"="</definedName>
    <definedName name="csexcel_int_szt_rita_Dim03">"="</definedName>
    <definedName name="csexcel_int_szt_rita_Dim04">"="</definedName>
    <definedName name="csexcel_int_szt_rita_Dim05">"="</definedName>
    <definedName name="csexcel_int_szt_rita_Dim06">"="</definedName>
    <definedName name="csexcel_int_szt_rita_Dim07">"="</definedName>
    <definedName name="csexcel_int_szt_rita_Dim08">"="</definedName>
    <definedName name="csexcel_int_szt_rita_Dim09">"="</definedName>
    <definedName name="csexcel_int_szt_rita_Dim10">"="</definedName>
    <definedName name="csexcel_int_szt_rita_Dim11">"="</definedName>
    <definedName name="csexcel_int_szt_rita_Dim12">"="</definedName>
    <definedName name="csexcel_int_szt_ritaAnchor">#REF!</definedName>
    <definedName name="csexcel_int_tgszsz_Dim01">"="</definedName>
    <definedName name="csexcel_int_tgszsz_Dim02">"="</definedName>
    <definedName name="csexcel_int_tgszsz_Dim03">"="</definedName>
    <definedName name="csexcel_int_tgszsz_Dim04">"="</definedName>
    <definedName name="csexcel_int_tgszsz_Dim05">"="</definedName>
    <definedName name="csexcel_int_tgszsz_Dim06">"="</definedName>
    <definedName name="csexcel_int_tgszsz_Dim07">"="</definedName>
    <definedName name="csexcel_int_tgszsz_Dim08">"="</definedName>
    <definedName name="csexcel_int_tgszsz_Dim09">"="</definedName>
    <definedName name="csexcel_int_tgszsz_Dim10">"="</definedName>
    <definedName name="csexcel_int_tgszsz_Dim11">"="</definedName>
    <definedName name="csexcel_int_tgszsz_Dim12">"="</definedName>
    <definedName name="csexcel_int_tgszsz_konc_Dim01">"="</definedName>
    <definedName name="csexcel_int_tgszsz_konc_Dim02">"="</definedName>
    <definedName name="csexcel_int_tgszsz_konc_Dim03">"="</definedName>
    <definedName name="csexcel_int_tgszsz_konc_Dim04">"="</definedName>
    <definedName name="csexcel_int_tgszsz_konc_Dim05">"="</definedName>
    <definedName name="csexcel_int_tgszsz_konc_Dim06">"="</definedName>
    <definedName name="csexcel_int_tgszsz_konc_Dim07">"="</definedName>
    <definedName name="csexcel_int_tgszsz_konc_Dim08">"="</definedName>
    <definedName name="csexcel_int_tgszsz_konc_Dim09">"="</definedName>
    <definedName name="csexcel_int_tgszsz_konc_Dim10">"="</definedName>
    <definedName name="csexcel_int_tgszsz_konc_Dim11">"="</definedName>
    <definedName name="csexcel_int_tgszsz_konc_Dim12">"="</definedName>
    <definedName name="csexcel_int_tgszszAnchor" localSheetId="1">#REF!</definedName>
    <definedName name="csexcel_int_tgszszAnchor" localSheetId="11">[1]TGSZSZ!#REF!</definedName>
    <definedName name="csexcel_int_tgszszAnchor">#REF!</definedName>
    <definedName name="csexcel_int_zsigmondy_Dim01">"="</definedName>
    <definedName name="csexcel_int_zsigmondy_Dim02">"="</definedName>
    <definedName name="csexcel_int_zsigmondy_Dim03">"="</definedName>
    <definedName name="csexcel_int_zsigmondy_Dim04">"="</definedName>
    <definedName name="csexcel_int_zsigmondy_Dim05">"="</definedName>
    <definedName name="csexcel_int_zsigmondy_Dim06">"="</definedName>
    <definedName name="csexcel_int_zsigmondy_Dim07">"="</definedName>
    <definedName name="csexcel_int_zsigmondy_Dim08">"="</definedName>
    <definedName name="csexcel_int_zsigmondy_Dim09">"="</definedName>
    <definedName name="csexcel_int_zsigmondy_Dim10">"="</definedName>
    <definedName name="csexcel_int_zsigmondy_Dim11">"="</definedName>
    <definedName name="csexcel_int_zsigmondy_Dim12">"="</definedName>
    <definedName name="csexcel_int_zsigmondy_konc_Dim01">"="</definedName>
    <definedName name="csexcel_int_zsigmondy_konc_Dim02">"="</definedName>
    <definedName name="csexcel_int_zsigmondy_konc_Dim03">"="</definedName>
    <definedName name="csexcel_int_zsigmondy_konc_Dim04">"="</definedName>
    <definedName name="csexcel_int_zsigmondy_konc_Dim05">"="</definedName>
    <definedName name="csexcel_int_zsigmondy_konc_Dim06">"="</definedName>
    <definedName name="csexcel_int_zsigmondy_konc_Dim07">"="</definedName>
    <definedName name="csexcel_int_zsigmondy_konc_Dim08">"="</definedName>
    <definedName name="csexcel_int_zsigmondy_konc_Dim09">"="</definedName>
    <definedName name="csexcel_int_zsigmondy_konc_Dim10">"="</definedName>
    <definedName name="csexcel_int_zsigmondy_konc_Dim11">"="</definedName>
    <definedName name="csexcel_int_zsigmondy_konc_Dim12">"="</definedName>
    <definedName name="csexcel_int_zsigmondyAnchor" localSheetId="1">#REF!</definedName>
    <definedName name="csexcel_int_zsigmondyAnchor" localSheetId="11">[1]Zsigmondy!#REF!</definedName>
    <definedName name="csexcel_int_zsigmondyAnchor">#REF!</definedName>
    <definedName name="csexcel_intezmeny_ossz_Dim01">"="</definedName>
    <definedName name="csexcel_intezmeny_ossz_Dim02">"="</definedName>
    <definedName name="csexcel_intezmeny_ossz_Dim03">"="</definedName>
    <definedName name="csexcel_intezmeny_ossz_Dim04">"="</definedName>
    <definedName name="csexcel_intezmeny_ossz_Dim05">"="</definedName>
    <definedName name="csexcel_intezmeny_ossz_Dim06">"="</definedName>
    <definedName name="csexcel_intezmeny_ossz_Dim07">"="</definedName>
    <definedName name="csexcel_intezmeny_ossz_Dim08">"="</definedName>
    <definedName name="csexcel_intezmeny_ossz_Dim09">"="</definedName>
    <definedName name="csexcel_intezmeny_ossz_Dim10">"="</definedName>
    <definedName name="csexcel_intezmeny_ossz_Dim11">"="</definedName>
    <definedName name="csexcel_intezmeny_ossz_Dim12">"="</definedName>
    <definedName name="csexcel_intezmeny_ossz_konc_Dim01">"="</definedName>
    <definedName name="csexcel_intezmeny_ossz_konc_Dim02">"="</definedName>
    <definedName name="csexcel_intezmeny_ossz_konc_Dim03">"="</definedName>
    <definedName name="csexcel_intezmeny_ossz_konc_Dim04">"="</definedName>
    <definedName name="csexcel_intezmeny_ossz_konc_Dim05">"="</definedName>
    <definedName name="csexcel_intezmeny_ossz_konc_Dim06">"="</definedName>
    <definedName name="csexcel_intezmeny_ossz_konc_Dim07">"="</definedName>
    <definedName name="csexcel_intezmeny_ossz_konc_Dim08">"="</definedName>
    <definedName name="csexcel_intezmeny_ossz_konc_Dim09">"="</definedName>
    <definedName name="csexcel_intezmeny_ossz_konc_Dim10">"="</definedName>
    <definedName name="csexcel_intezmeny_ossz_konc_Dim11">"="</definedName>
    <definedName name="csexcel_intezmeny_ossz_konc_Dim12">"="</definedName>
    <definedName name="csexcel_intezmeny_osszAnchor">#REF!</definedName>
    <definedName name="csexcel_kim_hivatal_belso_penzeszkoz_teljesites_Dim01">"="</definedName>
    <definedName name="csexcel_kim_hivatal_belso_penzeszkoz_teljesites_Dim02">"="</definedName>
    <definedName name="csexcel_kim_hivatal_belso_penzeszkoz_teljesites_Dim03">"="</definedName>
    <definedName name="csexcel_kim_hivatal_belso_penzeszkoz_teljesites_Dim04">"="</definedName>
    <definedName name="csexcel_kim_hivatal_belso_penzeszkoz_teljesites_Dim05">"="</definedName>
    <definedName name="csexcel_kim_hivatal_belso_penzeszkoz_teljesites_Dim06">"="</definedName>
    <definedName name="csexcel_kim_hivatal_belso_penzeszkoz_teljesites_Dim07">"="</definedName>
    <definedName name="csexcel_kim_hivatal_belso_penzeszkoz_teljesites_Dim08">"="</definedName>
    <definedName name="csexcel_kim_hivatal_belso_penzeszkoz_teljesites_Dim09">"="</definedName>
    <definedName name="csexcel_kim_hivatal_belso_penzeszkoz_teljesites_Dim10">"="</definedName>
    <definedName name="csexcel_kim_hivatal_belso_penzeszkoz_teljesites_Dim11">"="</definedName>
    <definedName name="csexcel_kim_hivatal_belso_penzeszkoz_teljesites_Dim12">"="</definedName>
    <definedName name="csexcel_kim_hivatal_belso_penzeszkoz_teljesitesAnchor">#REF!</definedName>
    <definedName name="csexcel_kimutatas_9_sz_melleklet_Dim01">"="</definedName>
    <definedName name="csexcel_kimutatas_9_sz_melleklet_Dim02">"="</definedName>
    <definedName name="csexcel_kimutatas_9_sz_melleklet_Dim03">"="</definedName>
    <definedName name="csexcel_kimutatas_9_sz_melleklet_Dim04">"="</definedName>
    <definedName name="csexcel_kimutatas_9_sz_melleklet_Dim05">"="</definedName>
    <definedName name="csexcel_kimutatas_9_sz_melleklet_Dim06">"="</definedName>
    <definedName name="csexcel_kimutatas_9_sz_melleklet_Dim07">"="</definedName>
    <definedName name="csexcel_kimutatas_9_sz_melleklet_Dim08">"="</definedName>
    <definedName name="csexcel_kimutatas_9_sz_melleklet_Dim09">"="</definedName>
    <definedName name="csexcel_kimutatas_9_sz_melleklet_Dim10">"="</definedName>
    <definedName name="csexcel_kimutatas_9_sz_melleklet_Dim11">"="</definedName>
    <definedName name="csexcel_kimutatas_9_sz_melleklet_Dim12">"="</definedName>
    <definedName name="csexcel_kimutatas_9_sz_mellekletAnchor">#REF!</definedName>
    <definedName name="csexcel_kimutatas_beruhazas_felujitas_Dim01">"="</definedName>
    <definedName name="csexcel_kimutatas_beruhazas_felujitas_Dim02">"="</definedName>
    <definedName name="csexcel_kimutatas_beruhazas_felujitas_Dim03">"="</definedName>
    <definedName name="csexcel_kimutatas_beruhazas_felujitas_Dim04">"="</definedName>
    <definedName name="csexcel_kimutatas_beruhazas_felujitas_Dim05">"="</definedName>
    <definedName name="csexcel_kimutatas_beruhazas_felujitas_Dim06">"="</definedName>
    <definedName name="csexcel_kimutatas_beruhazas_felujitas_Dim07">"="</definedName>
    <definedName name="csexcel_kimutatas_beruhazas_felujitas_Dim08">"="</definedName>
    <definedName name="csexcel_kimutatas_beruhazas_felujitas_Dim09">"="</definedName>
    <definedName name="csexcel_kimutatas_beruhazas_felujitas_Dim10">"="</definedName>
    <definedName name="csexcel_kimutatas_beruhazas_felujitas_Dim11">"="</definedName>
    <definedName name="csexcel_kimutatas_beruhazas_felujitas_Dim12">"="</definedName>
    <definedName name="csexcel_kimutatas_beruhazas_felujitasAnchor">#REF!</definedName>
    <definedName name="csexcel_kimutatas_bev_fobb_jogcim_Dim01">"="</definedName>
    <definedName name="csexcel_kimutatas_bev_fobb_jogcim_Dim02">"="</definedName>
    <definedName name="csexcel_kimutatas_bev_fobb_jogcim_Dim03">"="</definedName>
    <definedName name="csexcel_kimutatas_bev_fobb_jogcim_Dim04">"="</definedName>
    <definedName name="csexcel_kimutatas_bev_fobb_jogcim_Dim05">"="</definedName>
    <definedName name="csexcel_kimutatas_bev_fobb_jogcim_Dim06">"="</definedName>
    <definedName name="csexcel_kimutatas_bev_fobb_jogcim_Dim07">"="</definedName>
    <definedName name="csexcel_kimutatas_bev_fobb_jogcim_Dim08">"="</definedName>
    <definedName name="csexcel_kimutatas_bev_fobb_jogcim_Dim09">"="</definedName>
    <definedName name="csexcel_kimutatas_bev_fobb_jogcim_Dim10">"="</definedName>
    <definedName name="csexcel_kimutatas_bev_fobb_jogcim_Dim11">"="</definedName>
    <definedName name="csexcel_kimutatas_bev_fobb_jogcim_Dim12">"="</definedName>
    <definedName name="csexcel_kimutatas_bev_fobb_jogcimAnchor">#REF!</definedName>
    <definedName name="csexcel_kimutatas_celtartalekok_Dim01">"="</definedName>
    <definedName name="csexcel_kimutatas_celtartalekok_Dim02">"="</definedName>
    <definedName name="csexcel_kimutatas_celtartalekok_Dim03">"="</definedName>
    <definedName name="csexcel_kimutatas_celtartalekok_Dim04">"="</definedName>
    <definedName name="csexcel_kimutatas_celtartalekok_Dim05">"="</definedName>
    <definedName name="csexcel_kimutatas_celtartalekok_Dim06">"="</definedName>
    <definedName name="csexcel_kimutatas_celtartalekok_Dim07">"="</definedName>
    <definedName name="csexcel_kimutatas_celtartalekok_Dim08">"="</definedName>
    <definedName name="csexcel_kimutatas_celtartalekok_Dim09">"="</definedName>
    <definedName name="csexcel_kimutatas_celtartalekok_Dim10">"="</definedName>
    <definedName name="csexcel_kimutatas_celtartalekok_Dim11">"="</definedName>
    <definedName name="csexcel_kimutatas_celtartalekok_Dim12">"="</definedName>
    <definedName name="csexcel_kimutatas_celtartalekokAnchor">#REF!</definedName>
    <definedName name="csexcel_kimutatas_Cigany_rend_tabla_Dim01">"="</definedName>
    <definedName name="csexcel_kimutatas_Cigany_rend_tabla_Dim02">"="</definedName>
    <definedName name="csexcel_kimutatas_Cigany_rend_tabla_Dim03">"="</definedName>
    <definedName name="csexcel_kimutatas_Cigany_rend_tabla_Dim04">"="</definedName>
    <definedName name="csexcel_kimutatas_Cigany_rend_tabla_Dim05">"="</definedName>
    <definedName name="csexcel_kimutatas_Cigany_rend_tabla_Dim06">"="</definedName>
    <definedName name="csexcel_kimutatas_Cigany_rend_tabla_Dim07">"="</definedName>
    <definedName name="csexcel_kimutatas_Cigany_rend_tabla_Dim08">"="</definedName>
    <definedName name="csexcel_kimutatas_Cigany_rend_tabla_Dim09">"="</definedName>
    <definedName name="csexcel_kimutatas_Cigany_rend_tabla_Dim10">"="</definedName>
    <definedName name="csexcel_kimutatas_Cigany_rend_tabla_Dim11">"="</definedName>
    <definedName name="csexcel_kimutatas_Cigany_rend_tabla_Dim12">"="</definedName>
    <definedName name="csexcel_kimutatas_Cigany_rend_tablaAnchor">#REF!</definedName>
    <definedName name="csexcel_kimutatas_Cigany_rendeleti_tabla_Dim01">"="</definedName>
    <definedName name="csexcel_kimutatas_Cigany_rendeleti_tabla_Dim02">"="</definedName>
    <definedName name="csexcel_kimutatas_Cigany_rendeleti_tabla_Dim03">"="</definedName>
    <definedName name="csexcel_kimutatas_Cigany_rendeleti_tabla_Dim04">"="</definedName>
    <definedName name="csexcel_kimutatas_Cigany_rendeleti_tabla_Dim05">"="</definedName>
    <definedName name="csexcel_kimutatas_Cigany_rendeleti_tabla_Dim06">"="</definedName>
    <definedName name="csexcel_kimutatas_Cigany_rendeleti_tabla_Dim07">"="</definedName>
    <definedName name="csexcel_kimutatas_Cigany_rendeleti_tabla_Dim08">"="</definedName>
    <definedName name="csexcel_kimutatas_Cigany_rendeleti_tabla_Dim09">"="</definedName>
    <definedName name="csexcel_kimutatas_Cigany_rendeleti_tabla_Dim10">"="</definedName>
    <definedName name="csexcel_kimutatas_Cigany_rendeleti_tabla_Dim11">"="</definedName>
    <definedName name="csexcel_kimutatas_Cigany_rendeleti_tabla_Dim12">"="</definedName>
    <definedName name="csexcel_kimutatas_felhalmozas_merleg_bev_Dim01">"="</definedName>
    <definedName name="csexcel_kimutatas_felhalmozas_merleg_bev_Dim02">"="</definedName>
    <definedName name="csexcel_kimutatas_felhalmozas_merleg_bev_Dim03">"="</definedName>
    <definedName name="csexcel_kimutatas_felhalmozas_merleg_bev_Dim04">"="</definedName>
    <definedName name="csexcel_kimutatas_felhalmozas_merleg_bev_Dim05">"="</definedName>
    <definedName name="csexcel_kimutatas_felhalmozas_merleg_bev_Dim06">"="</definedName>
    <definedName name="csexcel_kimutatas_felhalmozas_merleg_bev_Dim07">"="</definedName>
    <definedName name="csexcel_kimutatas_felhalmozas_merleg_bev_Dim08">"="</definedName>
    <definedName name="csexcel_kimutatas_felhalmozas_merleg_bev_Dim09">"="</definedName>
    <definedName name="csexcel_kimutatas_felhalmozas_merleg_bev_Dim10">"="</definedName>
    <definedName name="csexcel_kimutatas_felhalmozas_merleg_bev_Dim11">"="</definedName>
    <definedName name="csexcel_kimutatas_felhalmozas_merleg_bev_Dim12">"="</definedName>
    <definedName name="csexcel_kimutatas_felhalmozas_merleg_kiad_Dim01">"="</definedName>
    <definedName name="csexcel_kimutatas_felhalmozas_merleg_kiad_Dim02">"="</definedName>
    <definedName name="csexcel_kimutatas_felhalmozas_merleg_kiad_Dim03">"="</definedName>
    <definedName name="csexcel_kimutatas_felhalmozas_merleg_kiad_Dim04">"="</definedName>
    <definedName name="csexcel_kimutatas_felhalmozas_merleg_kiad_Dim05">"="</definedName>
    <definedName name="csexcel_kimutatas_felhalmozas_merleg_kiad_Dim06">"="</definedName>
    <definedName name="csexcel_kimutatas_felhalmozas_merleg_kiad_Dim07">"="</definedName>
    <definedName name="csexcel_kimutatas_felhalmozas_merleg_kiad_Dim08">"="</definedName>
    <definedName name="csexcel_kimutatas_felhalmozas_merleg_kiad_Dim09">"="</definedName>
    <definedName name="csexcel_kimutatas_felhalmozas_merleg_kiad_Dim10">"="</definedName>
    <definedName name="csexcel_kimutatas_felhalmozas_merleg_kiad_Dim11">"="</definedName>
    <definedName name="csexcel_kimutatas_felhalmozas_merleg_kiad_Dim12">"="</definedName>
    <definedName name="csexcel_kimutatas_fobbjogcim_bev_Dim01">"="</definedName>
    <definedName name="csexcel_kimutatas_fobbjogcim_bev_Dim02">"="</definedName>
    <definedName name="csexcel_kimutatas_fobbjogcim_bev_Dim03">"="</definedName>
    <definedName name="csexcel_kimutatas_fobbjogcim_bev_Dim04">"="</definedName>
    <definedName name="csexcel_kimutatas_fobbjogcim_bev_Dim05">"="</definedName>
    <definedName name="csexcel_kimutatas_fobbjogcim_bev_Dim06">"="</definedName>
    <definedName name="csexcel_kimutatas_fobbjogcim_bev_Dim07">"="</definedName>
    <definedName name="csexcel_kimutatas_fobbjogcim_bev_Dim08">"="</definedName>
    <definedName name="csexcel_kimutatas_fobbjogcim_bev_Dim09">"="</definedName>
    <definedName name="csexcel_kimutatas_fobbjogcim_bev_Dim10">"="</definedName>
    <definedName name="csexcel_kimutatas_fobbjogcim_bev_Dim11">"="</definedName>
    <definedName name="csexcel_kimutatas_fobbjogcim_bev_Dim12">"="</definedName>
    <definedName name="csexcel_kimutatas_fobbjogcim_bevAnchor">#REF!</definedName>
    <definedName name="csexcel_kimutatas_fobbjogcim_kiad_Dim01">"="</definedName>
    <definedName name="csexcel_kimutatas_fobbjogcim_kiad_Dim02">"="</definedName>
    <definedName name="csexcel_kimutatas_fobbjogcim_kiad_Dim03">"="</definedName>
    <definedName name="csexcel_kimutatas_fobbjogcim_kiad_Dim04">"="</definedName>
    <definedName name="csexcel_kimutatas_fobbjogcim_kiad_Dim05">"="</definedName>
    <definedName name="csexcel_kimutatas_fobbjogcim_kiad_Dim06">"="</definedName>
    <definedName name="csexcel_kimutatas_fobbjogcim_kiad_Dim07">"="</definedName>
    <definedName name="csexcel_kimutatas_fobbjogcim_kiad_Dim08">"="</definedName>
    <definedName name="csexcel_kimutatas_fobbjogcim_kiad_Dim09">"="</definedName>
    <definedName name="csexcel_kimutatas_fobbjogcim_kiad_Dim10">"="</definedName>
    <definedName name="csexcel_kimutatas_fobbjogcim_kiad_Dim11">"="</definedName>
    <definedName name="csexcel_kimutatas_fobbjogcim_kiad_Dim12">"="</definedName>
    <definedName name="csexcel_kimutatas_fobbjogcim_kiadAnchor">#REF!</definedName>
    <definedName name="csexcel_kimutatas_fomerleg_bev_Dim01">"="</definedName>
    <definedName name="csexcel_kimutatas_fomerleg_bev_Dim02">"="</definedName>
    <definedName name="csexcel_kimutatas_fomerleg_bev_Dim03">"="</definedName>
    <definedName name="csexcel_kimutatas_fomerleg_bev_Dim04">"="</definedName>
    <definedName name="csexcel_kimutatas_fomerleg_bev_Dim05">"="</definedName>
    <definedName name="csexcel_kimutatas_fomerleg_bev_Dim06">"="</definedName>
    <definedName name="csexcel_kimutatas_fomerleg_bev_Dim07">"="</definedName>
    <definedName name="csexcel_kimutatas_fomerleg_bev_Dim08">"="</definedName>
    <definedName name="csexcel_kimutatas_fomerleg_bev_Dim09">"="</definedName>
    <definedName name="csexcel_kimutatas_fomerleg_bev_Dim10">"="</definedName>
    <definedName name="csexcel_kimutatas_fomerleg_bev_Dim11">"="</definedName>
    <definedName name="csexcel_kimutatas_fomerleg_bev_Dim12">"="</definedName>
    <definedName name="csexcel_kimutatas_fomerleg_kiad_Dim01">"="</definedName>
    <definedName name="csexcel_kimutatas_fomerleg_kiad_Dim02">"="</definedName>
    <definedName name="csexcel_kimutatas_fomerleg_kiad_Dim03">"="</definedName>
    <definedName name="csexcel_kimutatas_fomerleg_kiad_Dim04">"="</definedName>
    <definedName name="csexcel_kimutatas_fomerleg_kiad_Dim05">"="</definedName>
    <definedName name="csexcel_kimutatas_fomerleg_kiad_Dim06">"="</definedName>
    <definedName name="csexcel_kimutatas_fomerleg_kiad_Dim07">"="</definedName>
    <definedName name="csexcel_kimutatas_fomerleg_kiad_Dim08">"="</definedName>
    <definedName name="csexcel_kimutatas_fomerleg_kiad_Dim09">"="</definedName>
    <definedName name="csexcel_kimutatas_fomerleg_kiad_Dim10">"="</definedName>
    <definedName name="csexcel_kimutatas_fomerleg_kiad_Dim11">"="</definedName>
    <definedName name="csexcel_kimutatas_fomerleg_kiad_Dim12">"="</definedName>
    <definedName name="csexcel_kimutatas_hivatal_belso_penzeszkoz_besz_Dim01">"="</definedName>
    <definedName name="csexcel_kimutatas_hivatal_belso_penzeszkoz_besz_Dim02">"="</definedName>
    <definedName name="csexcel_kimutatas_hivatal_belso_penzeszkoz_besz_Dim03">"="</definedName>
    <definedName name="csexcel_kimutatas_hivatal_belso_penzeszkoz_besz_Dim04">"="</definedName>
    <definedName name="csexcel_kimutatas_hivatal_belso_penzeszkoz_besz_Dim05">"="</definedName>
    <definedName name="csexcel_kimutatas_hivatal_belso_penzeszkoz_besz_Dim06">"="</definedName>
    <definedName name="csexcel_kimutatas_hivatal_belso_penzeszkoz_besz_Dim07">"="</definedName>
    <definedName name="csexcel_kimutatas_hivatal_belso_penzeszkoz_besz_Dim08">"="</definedName>
    <definedName name="csexcel_kimutatas_hivatal_belso_penzeszkoz_besz_Dim09">"="</definedName>
    <definedName name="csexcel_kimutatas_hivatal_belso_penzeszkoz_besz_Dim10">"="</definedName>
    <definedName name="csexcel_kimutatas_hivatal_belso_penzeszkoz_besz_Dim11">"="</definedName>
    <definedName name="csexcel_kimutatas_hivatal_belso_penzeszkoz_besz_Dim12">"="</definedName>
    <definedName name="csexcel_kimutatas_hivatal_belso_penzeszkoz_beszAnchor">#REF!</definedName>
    <definedName name="csexcel_kimutatas_hivatal_belso_penzeszkoz_Dim01">"="</definedName>
    <definedName name="csexcel_kimutatas_hivatal_belso_penzeszkoz_Dim02">"="</definedName>
    <definedName name="csexcel_kimutatas_hivatal_belso_penzeszkoz_Dim03">"="</definedName>
    <definedName name="csexcel_kimutatas_hivatal_belso_penzeszkoz_Dim04">"="</definedName>
    <definedName name="csexcel_kimutatas_hivatal_belso_penzeszkoz_Dim05">"="</definedName>
    <definedName name="csexcel_kimutatas_hivatal_belso_penzeszkoz_Dim06">"="</definedName>
    <definedName name="csexcel_kimutatas_hivatal_belso_penzeszkoz_Dim07">"="</definedName>
    <definedName name="csexcel_kimutatas_hivatal_belso_penzeszkoz_Dim08">"="</definedName>
    <definedName name="csexcel_kimutatas_hivatal_belso_penzeszkoz_Dim09">"="</definedName>
    <definedName name="csexcel_kimutatas_hivatal_belso_penzeszkoz_Dim10">"="</definedName>
    <definedName name="csexcel_kimutatas_hivatal_belso_penzeszkoz_Dim11">"="</definedName>
    <definedName name="csexcel_kimutatas_hivatal_belso_penzeszkoz_Dim12">"="</definedName>
    <definedName name="csexcel_kimutatas_hivatal_belso_penzeszkoz_jo_Dim01">"="</definedName>
    <definedName name="csexcel_kimutatas_hivatal_belso_penzeszkoz_jo_Dim02">"="</definedName>
    <definedName name="csexcel_kimutatas_hivatal_belso_penzeszkoz_jo_Dim03">"="</definedName>
    <definedName name="csexcel_kimutatas_hivatal_belso_penzeszkoz_jo_Dim04">"="</definedName>
    <definedName name="csexcel_kimutatas_hivatal_belso_penzeszkoz_jo_Dim05">"="</definedName>
    <definedName name="csexcel_kimutatas_hivatal_belso_penzeszkoz_jo_Dim06">"="</definedName>
    <definedName name="csexcel_kimutatas_hivatal_belso_penzeszkoz_jo_Dim07">"="</definedName>
    <definedName name="csexcel_kimutatas_hivatal_belso_penzeszkoz_jo_Dim08">"="</definedName>
    <definedName name="csexcel_kimutatas_hivatal_belso_penzeszkoz_jo_Dim09">"="</definedName>
    <definedName name="csexcel_kimutatas_hivatal_belso_penzeszkoz_jo_Dim10">"="</definedName>
    <definedName name="csexcel_kimutatas_hivatal_belso_penzeszkoz_jo_Dim11">"="</definedName>
    <definedName name="csexcel_kimutatas_hivatal_belso_penzeszkoz_jo_Dim12">"="</definedName>
    <definedName name="csexcel_kimutatas_hivatal_belso_penzeszkoz_jo1_Dim01">"="</definedName>
    <definedName name="csexcel_kimutatas_hivatal_belso_penzeszkoz_jo1_Dim02">"="</definedName>
    <definedName name="csexcel_kimutatas_hivatal_belso_penzeszkoz_jo1_Dim03">"="</definedName>
    <definedName name="csexcel_kimutatas_hivatal_belso_penzeszkoz_jo1_Dim04">"="</definedName>
    <definedName name="csexcel_kimutatas_hivatal_belso_penzeszkoz_jo1_Dim05">"="</definedName>
    <definedName name="csexcel_kimutatas_hivatal_belso_penzeszkoz_jo1_Dim06">"="</definedName>
    <definedName name="csexcel_kimutatas_hivatal_belso_penzeszkoz_jo1_Dim07">"="</definedName>
    <definedName name="csexcel_kimutatas_hivatal_belso_penzeszkoz_jo1_Dim08">"="</definedName>
    <definedName name="csexcel_kimutatas_hivatal_belso_penzeszkoz_jo1_Dim09">"="</definedName>
    <definedName name="csexcel_kimutatas_hivatal_belso_penzeszkoz_jo1_Dim10">"="</definedName>
    <definedName name="csexcel_kimutatas_hivatal_belso_penzeszkoz_jo1_Dim11">"="</definedName>
    <definedName name="csexcel_kimutatas_hivatal_belso_penzeszkoz_jo1_Dim12">"="</definedName>
    <definedName name="csexcel_kimutatas_hivatal_belso_penzeszkoz_joAnchor">#REF!</definedName>
    <definedName name="csexcel_kimutatas_hivatal_belso_penzeszkozAnchor">#REF!</definedName>
    <definedName name="csexcel_kimutatas_hivatal_rendeleti_tabla_Dim01">"="</definedName>
    <definedName name="csexcel_kimutatas_hivatal_rendeleti_tabla_Dim02">"="</definedName>
    <definedName name="csexcel_kimutatas_hivatal_rendeleti_tabla_Dim03">"="</definedName>
    <definedName name="csexcel_kimutatas_hivatal_rendeleti_tabla_Dim04">"="</definedName>
    <definedName name="csexcel_kimutatas_hivatal_rendeleti_tabla_Dim05">"="</definedName>
    <definedName name="csexcel_kimutatas_hivatal_rendeleti_tabla_Dim06">"="</definedName>
    <definedName name="csexcel_kimutatas_hivatal_rendeleti_tabla_Dim07">"="</definedName>
    <definedName name="csexcel_kimutatas_hivatal_rendeleti_tabla_Dim08">"="</definedName>
    <definedName name="csexcel_kimutatas_hivatal_rendeleti_tabla_Dim09">"="</definedName>
    <definedName name="csexcel_kimutatas_hivatal_rendeleti_tabla_Dim10">"="</definedName>
    <definedName name="csexcel_kimutatas_hivatal_rendeleti_tabla_Dim11">"="</definedName>
    <definedName name="csexcel_kimutatas_hivatal_rendeleti_tabla_Dim12">"="</definedName>
    <definedName name="csexcel_kimutatas_kiad_fobb_jogcim_Dim01">"="</definedName>
    <definedName name="csexcel_kimutatas_kiad_fobb_jogcim_Dim02">"="</definedName>
    <definedName name="csexcel_kimutatas_kiad_fobb_jogcim_Dim03">"="</definedName>
    <definedName name="csexcel_kimutatas_kiad_fobb_jogcim_Dim04">"="</definedName>
    <definedName name="csexcel_kimutatas_kiad_fobb_jogcim_Dim05">"="</definedName>
    <definedName name="csexcel_kimutatas_kiad_fobb_jogcim_Dim06">"="</definedName>
    <definedName name="csexcel_kimutatas_kiad_fobb_jogcim_Dim07">"="</definedName>
    <definedName name="csexcel_kimutatas_kiad_fobb_jogcim_Dim08">"="</definedName>
    <definedName name="csexcel_kimutatas_kiad_fobb_jogcim_Dim09">"="</definedName>
    <definedName name="csexcel_kimutatas_kiad_fobb_jogcim_Dim10">"="</definedName>
    <definedName name="csexcel_kimutatas_kiad_fobb_jogcim_Dim11">"="</definedName>
    <definedName name="csexcel_kimutatas_kiad_fobb_jogcim_Dim12">"="</definedName>
    <definedName name="csexcel_kimutatas_kiad_fobb_jogcimAnchor">#REF!</definedName>
    <definedName name="csexcel_kimutatas_kisebbsegi_rendeleti_tabla_Dim01">"="</definedName>
    <definedName name="csexcel_kimutatas_kisebbsegi_rendeleti_tabla_Dim02">"="</definedName>
    <definedName name="csexcel_kimutatas_kisebbsegi_rendeleti_tabla_Dim03">"="</definedName>
    <definedName name="csexcel_kimutatas_kisebbsegi_rendeleti_tabla_Dim04">"="</definedName>
    <definedName name="csexcel_kimutatas_kisebbsegi_rendeleti_tabla_Dim05">"="</definedName>
    <definedName name="csexcel_kimutatas_kisebbsegi_rendeleti_tabla_Dim06">"="</definedName>
    <definedName name="csexcel_kimutatas_kisebbsegi_rendeleti_tabla_Dim07">"="</definedName>
    <definedName name="csexcel_kimutatas_kisebbsegi_rendeleti_tabla_Dim08">"="</definedName>
    <definedName name="csexcel_kimutatas_kisebbsegi_rendeleti_tabla_Dim09">"="</definedName>
    <definedName name="csexcel_kimutatas_kisebbsegi_rendeleti_tabla_Dim10">"="</definedName>
    <definedName name="csexcel_kimutatas_kisebbsegi_rendeleti_tabla_Dim11">"="</definedName>
    <definedName name="csexcel_kimutatas_kisebbsegi_rendeleti_tabla_Dim12">"="</definedName>
    <definedName name="csexcel_kimutatas_kisebbsegi_rendeleti_tablaAnchor">#REF!</definedName>
    <definedName name="csexcel_kimutatas_likviditas_Dim01">"="</definedName>
    <definedName name="csexcel_kimutatas_likviditas_Dim02">"="</definedName>
    <definedName name="csexcel_kimutatas_likviditas_Dim03">"="</definedName>
    <definedName name="csexcel_kimutatas_likviditas_Dim04">"="</definedName>
    <definedName name="csexcel_kimutatas_likviditas_Dim05">"="</definedName>
    <definedName name="csexcel_kimutatas_likviditas_Dim06">"="</definedName>
    <definedName name="csexcel_kimutatas_likviditas_Dim07">"="</definedName>
    <definedName name="csexcel_kimutatas_likviditas_Dim08">"="</definedName>
    <definedName name="csexcel_kimutatas_likviditas_Dim09">"="</definedName>
    <definedName name="csexcel_kimutatas_likviditas_Dim10">"="</definedName>
    <definedName name="csexcel_kimutatas_likviditas_Dim11">"="</definedName>
    <definedName name="csexcel_kimutatas_likviditas_Dim12">"="</definedName>
    <definedName name="csexcel_kimutatas_likviditasAnchor">#REF!</definedName>
    <definedName name="csexcel_kimutatas_muk_fejl_bev_kiad_Dim01">"="</definedName>
    <definedName name="csexcel_kimutatas_muk_fejl_bev_kiad_Dim02">"="</definedName>
    <definedName name="csexcel_kimutatas_muk_fejl_bev_kiad_Dim03">"="</definedName>
    <definedName name="csexcel_kimutatas_muk_fejl_bev_kiad_Dim04">"="</definedName>
    <definedName name="csexcel_kimutatas_muk_fejl_bev_kiad_Dim05">"="</definedName>
    <definedName name="csexcel_kimutatas_muk_fejl_bev_kiad_Dim06">"="</definedName>
    <definedName name="csexcel_kimutatas_muk_fejl_bev_kiad_Dim07">"="</definedName>
    <definedName name="csexcel_kimutatas_muk_fejl_bev_kiad_Dim08">"="</definedName>
    <definedName name="csexcel_kimutatas_muk_fejl_bev_kiad_Dim09">"="</definedName>
    <definedName name="csexcel_kimutatas_muk_fejl_bev_kiad_Dim10">"="</definedName>
    <definedName name="csexcel_kimutatas_muk_fejl_bev_kiad_Dim11">"="</definedName>
    <definedName name="csexcel_kimutatas_muk_fejl_bev_kiad_Dim12">"="</definedName>
    <definedName name="csexcel_kimutatas_muk_fejl_bev_kiadAnchor">#REF!</definedName>
    <definedName name="csexcel_kimutatas_mukodesi_merleg_bev_Dim01">"="</definedName>
    <definedName name="csexcel_kimutatas_mukodesi_merleg_bev_Dim02">"="</definedName>
    <definedName name="csexcel_kimutatas_mukodesi_merleg_bev_Dim03">"="</definedName>
    <definedName name="csexcel_kimutatas_mukodesi_merleg_bev_Dim04">"="</definedName>
    <definedName name="csexcel_kimutatas_mukodesi_merleg_bev_Dim05">"="</definedName>
    <definedName name="csexcel_kimutatas_mukodesi_merleg_bev_Dim06">"="</definedName>
    <definedName name="csexcel_kimutatas_mukodesi_merleg_bev_Dim07">"="</definedName>
    <definedName name="csexcel_kimutatas_mukodesi_merleg_bev_Dim08">"="</definedName>
    <definedName name="csexcel_kimutatas_mukodesi_merleg_bev_Dim09">"="</definedName>
    <definedName name="csexcel_kimutatas_mukodesi_merleg_bev_Dim10">"="</definedName>
    <definedName name="csexcel_kimutatas_mukodesi_merleg_bev_Dim11">"="</definedName>
    <definedName name="csexcel_kimutatas_mukodesi_merleg_bev_Dim12">"="</definedName>
    <definedName name="csexcel_kimutatas_mukodesi_merleg_kiad_Dim01">"="</definedName>
    <definedName name="csexcel_kimutatas_mukodesi_merleg_kiad_Dim02">"="</definedName>
    <definedName name="csexcel_kimutatas_mukodesi_merleg_kiad_Dim03">"="</definedName>
    <definedName name="csexcel_kimutatas_mukodesi_merleg_kiad_Dim04">"="</definedName>
    <definedName name="csexcel_kimutatas_mukodesi_merleg_kiad_Dim05">"="</definedName>
    <definedName name="csexcel_kimutatas_mukodesi_merleg_kiad_Dim06">"="</definedName>
    <definedName name="csexcel_kimutatas_mukodesi_merleg_kiad_Dim07">"="</definedName>
    <definedName name="csexcel_kimutatas_mukodesi_merleg_kiad_Dim08">"="</definedName>
    <definedName name="csexcel_kimutatas_mukodesi_merleg_kiad_Dim09">"="</definedName>
    <definedName name="csexcel_kimutatas_mukodesi_merleg_kiad_Dim10">"="</definedName>
    <definedName name="csexcel_kimutatas_mukodesi_merleg_kiad_Dim11">"="</definedName>
    <definedName name="csexcel_kimutatas_mukodesi_merleg_kiad_Dim12">"="</definedName>
    <definedName name="csexcel_kimutatas_Nemet_rend_tabla_Dim01">"="</definedName>
    <definedName name="csexcel_kimutatas_Nemet_rend_tabla_Dim02">"="</definedName>
    <definedName name="csexcel_kimutatas_Nemet_rend_tabla_Dim03">"="</definedName>
    <definedName name="csexcel_kimutatas_Nemet_rend_tabla_Dim04">"="</definedName>
    <definedName name="csexcel_kimutatas_Nemet_rend_tabla_Dim05">"="</definedName>
    <definedName name="csexcel_kimutatas_Nemet_rend_tabla_Dim06">"="</definedName>
    <definedName name="csexcel_kimutatas_Nemet_rend_tabla_Dim07">"="</definedName>
    <definedName name="csexcel_kimutatas_Nemet_rend_tabla_Dim08">"="</definedName>
    <definedName name="csexcel_kimutatas_Nemet_rend_tabla_Dim09">"="</definedName>
    <definedName name="csexcel_kimutatas_Nemet_rend_tabla_Dim10">"="</definedName>
    <definedName name="csexcel_kimutatas_Nemet_rend_tabla_Dim11">"="</definedName>
    <definedName name="csexcel_kimutatas_Nemet_rend_tabla_Dim12">"="</definedName>
    <definedName name="csexcel_kimutatas_Nemet_rend_tablaAnchor">#REF!</definedName>
    <definedName name="csexcel_kimutatas_Nemet_rendeleti_tabla_Dim01">"="</definedName>
    <definedName name="csexcel_kimutatas_Nemet_rendeleti_tabla_Dim02">"="</definedName>
    <definedName name="csexcel_kimutatas_Nemet_rendeleti_tabla_Dim03">"="</definedName>
    <definedName name="csexcel_kimutatas_Nemet_rendeleti_tabla_Dim04">"="</definedName>
    <definedName name="csexcel_kimutatas_Nemet_rendeleti_tabla_Dim05">"="</definedName>
    <definedName name="csexcel_kimutatas_Nemet_rendeleti_tabla_Dim06">"="</definedName>
    <definedName name="csexcel_kimutatas_Nemet_rendeleti_tabla_Dim07">"="</definedName>
    <definedName name="csexcel_kimutatas_Nemet_rendeleti_tabla_Dim08">"="</definedName>
    <definedName name="csexcel_kimutatas_Nemet_rendeleti_tabla_Dim09">"="</definedName>
    <definedName name="csexcel_kimutatas_Nemet_rendeleti_tabla_Dim10">"="</definedName>
    <definedName name="csexcel_kimutatas_Nemet_rendeleti_tabla_Dim11">"="</definedName>
    <definedName name="csexcel_kimutatas_Nemet_rendeleti_tabla_Dim12">"="</definedName>
    <definedName name="csexcel_kimutatas_pm_jogcim_Dim01">"="</definedName>
    <definedName name="csexcel_kimutatas_pm_jogcim_Dim02">"="</definedName>
    <definedName name="csexcel_kimutatas_pm_jogcim_Dim03">"="</definedName>
    <definedName name="csexcel_kimutatas_pm_jogcim_Dim04">"="</definedName>
    <definedName name="csexcel_kimutatas_pm_jogcim_Dim05">"="</definedName>
    <definedName name="csexcel_kimutatas_pm_jogcim_Dim06">"="</definedName>
    <definedName name="csexcel_kimutatas_pm_jogcim_Dim07">"="</definedName>
    <definedName name="csexcel_kimutatas_pm_jogcim_Dim08">"="</definedName>
    <definedName name="csexcel_kimutatas_pm_jogcim_Dim09">"="</definedName>
    <definedName name="csexcel_kimutatas_pm_jogcim_Dim10">"="</definedName>
    <definedName name="csexcel_kimutatas_pm_jogcim_Dim11">"="</definedName>
    <definedName name="csexcel_kimutatas_pm_jogcim_Dim12">"="</definedName>
    <definedName name="csexcel_kimutatas_Szlovak_rend_tabla_Dim01">"="</definedName>
    <definedName name="csexcel_kimutatas_Szlovak_rend_tabla_Dim02">"="</definedName>
    <definedName name="csexcel_kimutatas_Szlovak_rend_tabla_Dim03">"="</definedName>
    <definedName name="csexcel_kimutatas_Szlovak_rend_tabla_Dim04">"="</definedName>
    <definedName name="csexcel_kimutatas_Szlovak_rend_tabla_Dim05">"="</definedName>
    <definedName name="csexcel_kimutatas_Szlovak_rend_tabla_Dim06">"="</definedName>
    <definedName name="csexcel_kimutatas_Szlovak_rend_tabla_Dim07">"="</definedName>
    <definedName name="csexcel_kimutatas_Szlovak_rend_tabla_Dim08">"="</definedName>
    <definedName name="csexcel_kimutatas_Szlovak_rend_tabla_Dim09">"="</definedName>
    <definedName name="csexcel_kimutatas_Szlovak_rend_tabla_Dim10">"="</definedName>
    <definedName name="csexcel_kimutatas_Szlovak_rend_tabla_Dim11">"="</definedName>
    <definedName name="csexcel_kimutatas_Szlovak_rend_tabla_Dim12">"="</definedName>
    <definedName name="csexcel_kimutatas_Szlovak_rend_tablaAnchor">#REF!</definedName>
    <definedName name="csexcel_kimutatas_Szlovak_rendeleti_tabla_Dim01">"="</definedName>
    <definedName name="csexcel_kimutatas_Szlovak_rendeleti_tabla_Dim02">"="</definedName>
    <definedName name="csexcel_kimutatas_Szlovak_rendeleti_tabla_Dim03">"="</definedName>
    <definedName name="csexcel_kimutatas_Szlovak_rendeleti_tabla_Dim04">"="</definedName>
    <definedName name="csexcel_kimutatas_Szlovak_rendeleti_tabla_Dim05">"="</definedName>
    <definedName name="csexcel_kimutatas_Szlovak_rendeleti_tabla_Dim06">"="</definedName>
    <definedName name="csexcel_kimutatas_Szlovak_rendeleti_tabla_Dim07">"="</definedName>
    <definedName name="csexcel_kimutatas_Szlovak_rendeleti_tabla_Dim08">"="</definedName>
    <definedName name="csexcel_kimutatas_Szlovak_rendeleti_tabla_Dim09">"="</definedName>
    <definedName name="csexcel_kimutatas_Szlovak_rendeleti_tabla_Dim10">"="</definedName>
    <definedName name="csexcel_kimutatas_Szlovak_rendeleti_tabla_Dim11">"="</definedName>
    <definedName name="csexcel_kimutatas_Szlovak_rendeleti_tabla_Dim12">"="</definedName>
    <definedName name="csexcel_kimutatas_Tiszk_rend_tabla_Dim01">"="</definedName>
    <definedName name="csexcel_kimutatas_Tiszk_rend_tabla_Dim02">"="</definedName>
    <definedName name="csexcel_kimutatas_Tiszk_rend_tabla_Dim03">"="</definedName>
    <definedName name="csexcel_kimutatas_Tiszk_rend_tabla_Dim04">"="</definedName>
    <definedName name="csexcel_kimutatas_Tiszk_rend_tabla_Dim05">"="</definedName>
    <definedName name="csexcel_kimutatas_Tiszk_rend_tabla_Dim06">"="</definedName>
    <definedName name="csexcel_kimutatas_Tiszk_rend_tabla_Dim07">"="</definedName>
    <definedName name="csexcel_kimutatas_Tiszk_rend_tabla_Dim08">"="</definedName>
    <definedName name="csexcel_kimutatas_Tiszk_rend_tabla_Dim09">"="</definedName>
    <definedName name="csexcel_kimutatas_Tiszk_rend_tabla_Dim10">"="</definedName>
    <definedName name="csexcel_kimutatas_Tiszk_rend_tabla_Dim11">"="</definedName>
    <definedName name="csexcel_kimutatas_Tiszk_rend_tabla_Dim12">"="</definedName>
    <definedName name="csexcel_kimutatas_Tiszk_rend_tablaAnchor">#REF!</definedName>
    <definedName name="csexcel_kimutatas_Tiszk_rendeleti_tabla_Dim01">"="</definedName>
    <definedName name="csexcel_kimutatas_Tiszk_rendeleti_tabla_Dim02">"="</definedName>
    <definedName name="csexcel_kimutatas_Tiszk_rendeleti_tabla_Dim03">"="</definedName>
    <definedName name="csexcel_kimutatas_Tiszk_rendeleti_tabla_Dim04">"="</definedName>
    <definedName name="csexcel_kimutatas_Tiszk_rendeleti_tabla_Dim05">"="</definedName>
    <definedName name="csexcel_kimutatas_Tiszk_rendeleti_tabla_Dim06">"="</definedName>
    <definedName name="csexcel_kimutatas_Tiszk_rendeleti_tabla_Dim07">"="</definedName>
    <definedName name="csexcel_kimutatas_Tiszk_rendeleti_tabla_Dim08">"="</definedName>
    <definedName name="csexcel_kimutatas_Tiszk_rendeleti_tabla_Dim09">"="</definedName>
    <definedName name="csexcel_kimutatas_Tiszk_rendeleti_tabla_Dim10">"="</definedName>
    <definedName name="csexcel_kimutatas_Tiszk_rendeleti_tabla_Dim11">"="</definedName>
    <definedName name="csexcel_kimutatas_Tiszk_rendeleti_tabla_Dim12">"="</definedName>
    <definedName name="csexcel_koltsegvetes_2007_bev_2szmell_Dim01">"="</definedName>
    <definedName name="csexcel_koltsegvetes_2007_bev_2szmell_Dim02">"="</definedName>
    <definedName name="csexcel_koltsegvetes_2007_bev_2szmell_Dim03">#REF!</definedName>
    <definedName name="csexcel_koltsegvetes_2007_bev_2szmell_Dim04">#REF!</definedName>
    <definedName name="csexcel_koltsegvetes_2007_bev_2szmell_Dim05">#REF!</definedName>
    <definedName name="csexcel_koltsegvetes_2007_bev_2szmell_Dim06">#REF!</definedName>
    <definedName name="csexcel_koltsegvetes_2007_bev_2szmell_Dim07">#REF!</definedName>
    <definedName name="csexcel_koltsegvetes_2007_bev_2szmell_Dim08">#REF!</definedName>
    <definedName name="csexcel_koltsegvetes_2007_bev_2szmell_Dim09">#REF!</definedName>
    <definedName name="csexcel_koltsegvetes_2007_bev_2szmell_Dim10">"="</definedName>
    <definedName name="csexcel_koltsegvetes_2007_bev_2szmell_Dim11">"="</definedName>
    <definedName name="csexcel_koltsegvetes_2007_bev_2szmellAnchor">#REF!</definedName>
    <definedName name="csexcel_koltsegvetes_2007_kiad_3szmell_Dim01">"="</definedName>
    <definedName name="csexcel_koltsegvetes_2007_kiad_3szmell_Dim02">"="</definedName>
    <definedName name="csexcel_koltsegvetes_2007_kiad_3szmell_Dim03">#REF!</definedName>
    <definedName name="csexcel_koltsegvetes_2007_kiad_3szmell_Dim04">#REF!</definedName>
    <definedName name="csexcel_koltsegvetes_2007_kiad_3szmell_Dim05">#REF!</definedName>
    <definedName name="csexcel_koltsegvetes_2007_kiad_3szmell_Dim06">#REF!</definedName>
    <definedName name="csexcel_koltsegvetes_2007_kiad_3szmell_Dim07">#REF!</definedName>
    <definedName name="csexcel_koltsegvetes_2007_kiad_3szmell_Dim08">#REF!</definedName>
    <definedName name="csexcel_koltsegvetes_2007_kiad_3szmell_Dim09">"="</definedName>
    <definedName name="csexcel_koltsegvetes_2007_kiad_3szmell_Dim10">#REF!</definedName>
    <definedName name="csexcel_koltsegvetes_2007_kiad_3szmell_Dim11">"="</definedName>
    <definedName name="csexcel_koltsegvetes_2007_kiad_3szmellAnchor">#REF!</definedName>
    <definedName name="csexcel_koncepcio_1szmell_bev_Dim01">"="</definedName>
    <definedName name="csexcel_koncepcio_1szmell_bev_Dim02">"="</definedName>
    <definedName name="csexcel_koncepcio_1szmell_bev_Dim03">#REF!</definedName>
    <definedName name="csexcel_koncepcio_1szmell_bev_Dim04">#REF!</definedName>
    <definedName name="csexcel_koncepcio_1szmell_bev_Dim05">"="</definedName>
    <definedName name="csexcel_koncepcio_1szmell_bev_Dim06">#REF!</definedName>
    <definedName name="csexcel_koncepcio_1szmell_bev_Dim07">"="</definedName>
    <definedName name="csexcel_koncepcio_1szmell_bev_Dim08">#REF!</definedName>
    <definedName name="csexcel_koncepcio_1szmell_bev_Dim09">#REF!</definedName>
    <definedName name="csexcel_koncepcio_1szmell_bev_Dim10">#REF!</definedName>
    <definedName name="csexcel_koncepcio_1szmell_bev_Dim11">#REF!</definedName>
    <definedName name="csexcel_koncepcio_1szmell_bevAnchor">#REF!</definedName>
    <definedName name="csexcel_koncepcio_1szmell_kiad_Dim01">"="</definedName>
    <definedName name="csexcel_koncepcio_1szmell_kiad_Dim02">"="</definedName>
    <definedName name="csexcel_koncepcio_1szmell_kiad_Dim03">#REF!</definedName>
    <definedName name="csexcel_koncepcio_1szmell_kiad_Dim04">#REF!</definedName>
    <definedName name="csexcel_koncepcio_1szmell_kiad_Dim05">"="</definedName>
    <definedName name="csexcel_koncepcio_1szmell_kiad_Dim06">#REF!</definedName>
    <definedName name="csexcel_koncepcio_1szmell_kiad_Dim07">"="</definedName>
    <definedName name="csexcel_koncepcio_1szmell_kiad_Dim08">#REF!</definedName>
    <definedName name="csexcel_koncepcio_1szmell_kiad_Dim09">#REF!</definedName>
    <definedName name="csexcel_koncepcio_1szmell_kiad_Dim10">#REF!</definedName>
    <definedName name="csexcel_koncepcio_1szmell_kiad_Dim11">#REF!</definedName>
    <definedName name="csexcel_koncepcio_1szmell_kiadAnchor">#REF!</definedName>
    <definedName name="csexcel_Nemet_rend_tabla_konc_Dim01">"="</definedName>
    <definedName name="csexcel_Nemet_rend_tabla_konc_Dim02">"="</definedName>
    <definedName name="csexcel_Nemet_rend_tabla_konc_Dim03">"="</definedName>
    <definedName name="csexcel_Nemet_rend_tabla_konc_Dim04">"="</definedName>
    <definedName name="csexcel_Nemet_rend_tabla_konc_Dim05">"="</definedName>
    <definedName name="csexcel_Nemet_rend_tabla_konc_Dim06">"="</definedName>
    <definedName name="csexcel_Nemet_rend_tabla_konc_Dim07">"="</definedName>
    <definedName name="csexcel_Nemet_rend_tabla_konc_Dim08">"="</definedName>
    <definedName name="csexcel_Nemet_rend_tabla_konc_Dim09">"="</definedName>
    <definedName name="csexcel_Nemet_rend_tabla_konc_Dim10">"="</definedName>
    <definedName name="csexcel_Nemet_rend_tabla_konc_Dim11">"="</definedName>
    <definedName name="csexcel_Nemet_rend_tabla_konc_Dim12">"="</definedName>
    <definedName name="csexcel_Szlovak_rend_tabla_konc_Dim01">"="</definedName>
    <definedName name="csexcel_Szlovak_rend_tabla_konc_Dim02">"="</definedName>
    <definedName name="csexcel_Szlovak_rend_tabla_konc_Dim03">"="</definedName>
    <definedName name="csexcel_Szlovak_rend_tabla_konc_Dim04">"="</definedName>
    <definedName name="csexcel_Szlovak_rend_tabla_konc_Dim05">"="</definedName>
    <definedName name="csexcel_Szlovak_rend_tabla_konc_Dim06">"="</definedName>
    <definedName name="csexcel_Szlovak_rend_tabla_konc_Dim07">"="</definedName>
    <definedName name="csexcel_Szlovak_rend_tabla_konc_Dim08">"="</definedName>
    <definedName name="csexcel_Szlovak_rend_tabla_konc_Dim09">"="</definedName>
    <definedName name="csexcel_Szlovak_rend_tabla_konc_Dim10">"="</definedName>
    <definedName name="csexcel_Szlovak_rend_tabla_konc_Dim11">"="</definedName>
    <definedName name="csexcel_Szlovak_rend_tabla_konc_Dim12">"="</definedName>
    <definedName name="csexcel_Tiszk_rend_tabla_konc_Dim01">"="</definedName>
    <definedName name="csexcel_Tiszk_rend_tabla_konc_Dim02">"="</definedName>
    <definedName name="csexcel_Tiszk_rend_tabla_konc_Dim03">"="</definedName>
    <definedName name="csexcel_Tiszk_rend_tabla_konc_Dim04">"="</definedName>
    <definedName name="csexcel_Tiszk_rend_tabla_konc_Dim05">"="</definedName>
    <definedName name="csexcel_Tiszk_rend_tabla_konc_Dim06">"="</definedName>
    <definedName name="csexcel_Tiszk_rend_tabla_konc_Dim07">"="</definedName>
    <definedName name="csexcel_Tiszk_rend_tabla_konc_Dim08">"="</definedName>
    <definedName name="csexcel_Tiszk_rend_tabla_konc_Dim09">"="</definedName>
    <definedName name="csexcel_Tiszk_rend_tabla_konc_Dim10">"="</definedName>
    <definedName name="csexcel_Tiszk_rend_tabla_konc_Dim11">"="</definedName>
    <definedName name="csexcel_Tiszk_rend_tabla_konc_Dim12">"="</definedName>
    <definedName name="csFeichtinger_rendeleti_tabla_excel_Dim01">"="</definedName>
    <definedName name="csFeichtinger_rendeleti_tabla_excel_Dim02">"="</definedName>
    <definedName name="csFeichtinger_rendeleti_tabla_excel_Dim03">"="</definedName>
    <definedName name="csFeichtinger_rendeleti_tabla_excel_Dim04">"="</definedName>
    <definedName name="csFeichtinger_rendeleti_tabla_excel_Dim05">"="</definedName>
    <definedName name="csFeichtinger_rendeleti_tabla_excel_Dim06">"="</definedName>
    <definedName name="csFeichtinger_rendeleti_tabla_excel_Dim07">"="</definedName>
    <definedName name="csFeichtinger_rendeleti_tabla_excel_Dim08">"="</definedName>
    <definedName name="csFeichtinger_rendeleti_tabla_excel_Dim09">"="</definedName>
    <definedName name="csFeichtinger_rendeleti_tabla_excel_Dim10">"="</definedName>
    <definedName name="csFeichtinger_rendeleti_tabla_excel_Dim11">"="</definedName>
    <definedName name="csFeichtinger_rendeleti_tabla_excel_Dim12">"="</definedName>
    <definedName name="csfelhalmozas_merleg_bev_excel_Dim01">"="</definedName>
    <definedName name="csfelhalmozas_merleg_bev_excel_Dim02">"="</definedName>
    <definedName name="csfelhalmozas_merleg_bev_excel_Dim03">"="</definedName>
    <definedName name="csfelhalmozas_merleg_bev_excel_Dim04">"="</definedName>
    <definedName name="csfelhalmozas_merleg_bev_excel_Dim05">"="</definedName>
    <definedName name="csfelhalmozas_merleg_bev_excel_Dim06">"="</definedName>
    <definedName name="csfelhalmozas_merleg_bev_excel_Dim07">"="</definedName>
    <definedName name="csfelhalmozas_merleg_bev_excel_Dim08">"="</definedName>
    <definedName name="csfelhalmozas_merleg_bev_excel_Dim09">"="</definedName>
    <definedName name="csfelhalmozas_merleg_bev_excel_Dim10">"="</definedName>
    <definedName name="csfelhalmozas_merleg_bev_excel_Dim11">"="</definedName>
    <definedName name="csfelhalmozas_merleg_bev_excel_Dim12">"="</definedName>
    <definedName name="csfelhalmozas_merleg_bev_excelAnchor">#REF!</definedName>
    <definedName name="csfelhalmozas_merleg_kiad_excel_Dim01">"="</definedName>
    <definedName name="csfelhalmozas_merleg_kiad_excel_Dim02">"="</definedName>
    <definedName name="csfelhalmozas_merleg_kiad_excel_Dim03">"="</definedName>
    <definedName name="csfelhalmozas_merleg_kiad_excel_Dim04">"="</definedName>
    <definedName name="csfelhalmozas_merleg_kiad_excel_Dim05">"="</definedName>
    <definedName name="csfelhalmozas_merleg_kiad_excel_Dim06">"="</definedName>
    <definedName name="csfelhalmozas_merleg_kiad_excel_Dim07">"="</definedName>
    <definedName name="csfelhalmozas_merleg_kiad_excel_Dim08">"="</definedName>
    <definedName name="csfelhalmozas_merleg_kiad_excel_Dim09">"="</definedName>
    <definedName name="csfelhalmozas_merleg_kiad_excel_Dim10">"="</definedName>
    <definedName name="csfelhalmozas_merleg_kiad_excel_Dim11">"="</definedName>
    <definedName name="csfelhalmozas_merleg_kiad_excel_Dim12">"="</definedName>
    <definedName name="csfelhalmozas_merleg_kiad_excelAnchor">#REF!</definedName>
    <definedName name="csfo_merleg_kiad_Dim01">"="</definedName>
    <definedName name="csfo_merleg_kiad_Dim02">"="</definedName>
    <definedName name="csfo_merleg_kiad_Dim03">"="</definedName>
    <definedName name="csfo_merleg_kiad_Dim04">"="</definedName>
    <definedName name="csfo_merleg_kiad_Dim05">"="</definedName>
    <definedName name="csfo_merleg_kiad_Dim06">"="</definedName>
    <definedName name="csfo_merleg_kiad_Dim07">"="</definedName>
    <definedName name="csfo_merleg_kiad_Dim08">"="</definedName>
    <definedName name="csfo_merleg_kiad_Dim09">"="</definedName>
    <definedName name="csfo_merleg_kiad_Dim10">"="</definedName>
    <definedName name="csfo_merleg_kiad_Dim11">"="</definedName>
    <definedName name="csfo_merleg_kiad_Dim12">"="</definedName>
    <definedName name="csfo_merleg_kiadAnchor">#REF!</definedName>
    <definedName name="csFogyatekos_tokodaltaro_rendeleti_tabla_excel_Dim01">"="</definedName>
    <definedName name="csFogyatekos_tokodaltaro_rendeleti_tabla_excel_Dim02">"="</definedName>
    <definedName name="csFogyatekos_tokodaltaro_rendeleti_tabla_excel_Dim03">"="</definedName>
    <definedName name="csFogyatekos_tokodaltaro_rendeleti_tabla_excel_Dim04">"="</definedName>
    <definedName name="csFogyatekos_tokodaltaro_rendeleti_tabla_excel_Dim05">"="</definedName>
    <definedName name="csFogyatekos_tokodaltaro_rendeleti_tabla_excel_Dim06">"="</definedName>
    <definedName name="csFogyatekos_tokodaltaro_rendeleti_tabla_excel_Dim07">"="</definedName>
    <definedName name="csFogyatekos_tokodaltaro_rendeleti_tabla_excel_Dim08">"="</definedName>
    <definedName name="csFogyatekos_tokodaltaro_rendeleti_tabla_excel_Dim09">"="</definedName>
    <definedName name="csFogyatekos_tokodaltaro_rendeleti_tabla_excel_Dim10">"="</definedName>
    <definedName name="csFogyatekos_tokodaltaro_rendeleti_tabla_excel_Dim11">"="</definedName>
    <definedName name="csFogyatekos_tokodaltaro_rendeleti_tabla_excel_Dim12">"="</definedName>
    <definedName name="csfomerleg_bev_Dim01">"="</definedName>
    <definedName name="csfomerleg_bev_Dim02">"="</definedName>
    <definedName name="csfomerleg_bev_Dim03">"="</definedName>
    <definedName name="csfomerleg_bev_Dim04">"="</definedName>
    <definedName name="csfomerleg_bev_Dim05">"="</definedName>
    <definedName name="csfomerleg_bev_Dim06">"="</definedName>
    <definedName name="csfomerleg_bev_Dim07">"="</definedName>
    <definedName name="csfomerleg_bev_Dim08">"="</definedName>
    <definedName name="csfomerleg_bev_Dim09">"="</definedName>
    <definedName name="csfomerleg_bev_Dim10">"="</definedName>
    <definedName name="csfomerleg_bev_Dim11">"="</definedName>
    <definedName name="csfomerleg_bev_Dim12">"="</definedName>
    <definedName name="csfomerleg_bev_mod_Dim01">"="</definedName>
    <definedName name="csfomerleg_bev_mod_Dim02">"="</definedName>
    <definedName name="csfomerleg_bev_mod_Dim03">"="</definedName>
    <definedName name="csfomerleg_bev_mod_Dim04">"="</definedName>
    <definedName name="csfomerleg_bev_mod_Dim05">"="</definedName>
    <definedName name="csfomerleg_bev_mod_Dim06">"="</definedName>
    <definedName name="csfomerleg_bev_mod_Dim07">"="</definedName>
    <definedName name="csfomerleg_bev_mod_Dim08">"="</definedName>
    <definedName name="csfomerleg_bev_mod_Dim09">"="</definedName>
    <definedName name="csfomerleg_bev_mod_Dim10">"="</definedName>
    <definedName name="csfomerleg_bev_mod_Dim11">"="</definedName>
    <definedName name="csfomerleg_bev_mod_Dim12">"="</definedName>
    <definedName name="csfomerleg_bevAnchor">#REF!</definedName>
    <definedName name="csGeza_fejedelem_rendeleti_tabla_excel_Dim01">"="</definedName>
    <definedName name="csGeza_fejedelem_rendeleti_tabla_excel_Dim02">"="</definedName>
    <definedName name="csGeza_fejedelem_rendeleti_tabla_excel_Dim03">"="</definedName>
    <definedName name="csGeza_fejedelem_rendeleti_tabla_excel_Dim04">"="</definedName>
    <definedName name="csGeza_fejedelem_rendeleti_tabla_excel_Dim05">"="</definedName>
    <definedName name="csGeza_fejedelem_rendeleti_tabla_excel_Dim06">"="</definedName>
    <definedName name="csGeza_fejedelem_rendeleti_tabla_excel_Dim07">"="</definedName>
    <definedName name="csGeza_fejedelem_rendeleti_tabla_excel_Dim08">"="</definedName>
    <definedName name="csGeza_fejedelem_rendeleti_tabla_excel_Dim09">"="</definedName>
    <definedName name="csGeza_fejedelem_rendeleti_tabla_excel_Dim10">"="</definedName>
    <definedName name="csGeza_fejedelem_rendeleti_tabla_excel_Dim11">"="</definedName>
    <definedName name="csGeza_fejedelem_rendeleti_tabla_excel_Dim12">"="</definedName>
    <definedName name="csGyermekvedelmi_rendeleti_tabla_excel_Dim01">"="</definedName>
    <definedName name="csGyermekvedelmi_rendeleti_tabla_excel_Dim02">"="</definedName>
    <definedName name="csGyermekvedelmi_rendeleti_tabla_excel_Dim03">"="</definedName>
    <definedName name="csGyermekvedelmi_rendeleti_tabla_excel_Dim04">"="</definedName>
    <definedName name="csGyermekvedelmi_rendeleti_tabla_excel_Dim05">"="</definedName>
    <definedName name="csGyermekvedelmi_rendeleti_tabla_excel_Dim06">"="</definedName>
    <definedName name="csGyermekvedelmi_rendeleti_tabla_excel_Dim07">"="</definedName>
    <definedName name="csGyermekvedelmi_rendeleti_tabla_excel_Dim08">"="</definedName>
    <definedName name="csGyermekvedelmi_rendeleti_tabla_excel_Dim09">"="</definedName>
    <definedName name="csGyermekvedelmi_rendeleti_tabla_excel_Dim10">"="</definedName>
    <definedName name="csGyermekvedelmi_rendeleti_tabla_excel_Dim11">"="</definedName>
    <definedName name="csGyermekvedelmi_rendeleti_tabla_excel_Dim12">"="</definedName>
    <definedName name="csHegyhati_rendeleti_tabla_excel_Dim01">"="</definedName>
    <definedName name="csHegyhati_rendeleti_tabla_excel_Dim02">"="</definedName>
    <definedName name="csHegyhati_rendeleti_tabla_excel_Dim03">"="</definedName>
    <definedName name="csHegyhati_rendeleti_tabla_excel_Dim04">"="</definedName>
    <definedName name="csHegyhati_rendeleti_tabla_excel_Dim05">"="</definedName>
    <definedName name="csHegyhati_rendeleti_tabla_excel_Dim06">"="</definedName>
    <definedName name="csHegyhati_rendeleti_tabla_excel_Dim07">"="</definedName>
    <definedName name="csHegyhati_rendeleti_tabla_excel_Dim08">"="</definedName>
    <definedName name="csHegyhati_rendeleti_tabla_excel_Dim09">"="</definedName>
    <definedName name="csHegyhati_rendeleti_tabla_excel_Dim10">"="</definedName>
    <definedName name="csHegyhati_rendeleti_tabla_excel_Dim11">"="</definedName>
    <definedName name="csHegyhati_rendeleti_tabla_excel_Dim12">"="</definedName>
    <definedName name="cshivatal_rendeleti_tabla_excel_Dim01">"="</definedName>
    <definedName name="cshivatal_rendeleti_tabla_excel_Dim02">"="</definedName>
    <definedName name="cshivatal_rendeleti_tabla_excel_Dim03">"="</definedName>
    <definedName name="cshivatal_rendeleti_tabla_excel_Dim04">"="</definedName>
    <definedName name="cshivatal_rendeleti_tabla_excel_Dim05">"="</definedName>
    <definedName name="cshivatal_rendeleti_tabla_excel_Dim06">"="</definedName>
    <definedName name="cshivatal_rendeleti_tabla_excel_Dim07">"="</definedName>
    <definedName name="cshivatal_rendeleti_tabla_excel_Dim08">"="</definedName>
    <definedName name="cshivatal_rendeleti_tabla_excel_Dim09">"="</definedName>
    <definedName name="cshivatal_rendeleti_tabla_excel_Dim10">"="</definedName>
    <definedName name="cshivatal_rendeleti_tabla_excel_Dim11">"="</definedName>
    <definedName name="cshivatal_rendeleti_tabla_excel_Dim12">"="</definedName>
    <definedName name="cshivatal_rendeleti_tabla_excelAnchor">#REF!</definedName>
    <definedName name="csIntegralt_szoc_int_rendeleti_tabla_excel_Dim01">"="</definedName>
    <definedName name="csIntegralt_szoc_int_rendeleti_tabla_excel_Dim02">"="</definedName>
    <definedName name="csIntegralt_szoc_int_rendeleti_tabla_excel_Dim03">"="</definedName>
    <definedName name="csIntegralt_szoc_int_rendeleti_tabla_excel_Dim04">"="</definedName>
    <definedName name="csIntegralt_szoc_int_rendeleti_tabla_excel_Dim05">"="</definedName>
    <definedName name="csIntegralt_szoc_int_rendeleti_tabla_excel_Dim06">"="</definedName>
    <definedName name="csIntegralt_szoc_int_rendeleti_tabla_excel_Dim07">"="</definedName>
    <definedName name="csIntegralt_szoc_int_rendeleti_tabla_excel_Dim08">"="</definedName>
    <definedName name="csIntegralt_szoc_int_rendeleti_tabla_excel_Dim09">"="</definedName>
    <definedName name="csIntegralt_szoc_int_rendeleti_tabla_excel_Dim10">"="</definedName>
    <definedName name="csIntegralt_szoc_int_rendeleti_tabla_excel_Dim11">"="</definedName>
    <definedName name="csIntegralt_szoc_int_rendeleti_tabla_excel_Dim12">"="</definedName>
    <definedName name="csintezmenyi_rendeleti_tabla_excel_Dim01">"="</definedName>
    <definedName name="csintezmenyi_rendeleti_tabla_excel_Dim02">"="</definedName>
    <definedName name="csintezmenyi_rendeleti_tabla_excel_Dim03">"="</definedName>
    <definedName name="csintezmenyi_rendeleti_tabla_excel_Dim04">"="</definedName>
    <definedName name="csintezmenyi_rendeleti_tabla_excel_Dim05">"="</definedName>
    <definedName name="csintezmenyi_rendeleti_tabla_excel_Dim06">"="</definedName>
    <definedName name="csintezmenyi_rendeleti_tabla_excel_Dim07">"="</definedName>
    <definedName name="csintezmenyi_rendeleti_tabla_excel_Dim08">"="</definedName>
    <definedName name="csintezmenyi_rendeleti_tabla_excel_Dim09">"="</definedName>
    <definedName name="csintezmenyi_rendeleti_tabla_excel_Dim10">"="</definedName>
    <definedName name="csintezmenyi_rendeleti_tabla_excel_Dim11">"="</definedName>
    <definedName name="csintezmenyi_rendeleti_tabla_excel_Dim12">"="</definedName>
    <definedName name="csJavorka_rendeleti_tabla_excel_Dim01">"="</definedName>
    <definedName name="csJavorka_rendeleti_tabla_excel_Dim02">"="</definedName>
    <definedName name="csJavorka_rendeleti_tabla_excel_Dim03">"="</definedName>
    <definedName name="csJavorka_rendeleti_tabla_excel_Dim04">"="</definedName>
    <definedName name="csJavorka_rendeleti_tabla_excel_Dim05">"="</definedName>
    <definedName name="csJavorka_rendeleti_tabla_excel_Dim06">"="</definedName>
    <definedName name="csJavorka_rendeleti_tabla_excel_Dim07">"="</definedName>
    <definedName name="csJavorka_rendeleti_tabla_excel_Dim08">"="</definedName>
    <definedName name="csJavorka_rendeleti_tabla_excel_Dim09">"="</definedName>
    <definedName name="csJavorka_rendeleti_tabla_excel_Dim10">"="</definedName>
    <definedName name="csJavorka_rendeleti_tabla_excel_Dim11">"="</definedName>
    <definedName name="csJavorka_rendeleti_tabla_excel_Dim12">"="</definedName>
    <definedName name="csJokai_rendeleti_tabla_excel_Dim01">"="</definedName>
    <definedName name="csJokai_rendeleti_tabla_excel_Dim02">"="</definedName>
    <definedName name="csJokai_rendeleti_tabla_excel_Dim03">"="</definedName>
    <definedName name="csJokai_rendeleti_tabla_excel_Dim04">"="</definedName>
    <definedName name="csJokai_rendeleti_tabla_excel_Dim05">"="</definedName>
    <definedName name="csJokai_rendeleti_tabla_excel_Dim06">"="</definedName>
    <definedName name="csJokai_rendeleti_tabla_excel_Dim07">"="</definedName>
    <definedName name="csJokai_rendeleti_tabla_excel_Dim08">"="</definedName>
    <definedName name="csJokai_rendeleti_tabla_excel_Dim09">"="</definedName>
    <definedName name="csJokai_rendeleti_tabla_excel_Dim10">"="</definedName>
    <definedName name="csJokai_rendeleti_tabla_excel_Dim11">"="</definedName>
    <definedName name="csJokai_rendeleti_tabla_excel_Dim12">"="</definedName>
    <definedName name="csJozsef_A_konyvtar_rendeleti_tabla_excel_Dim01">"="</definedName>
    <definedName name="csJozsef_A_konyvtar_rendeleti_tabla_excel_Dim02">"="</definedName>
    <definedName name="csJozsef_A_konyvtar_rendeleti_tabla_excel_Dim03">"="</definedName>
    <definedName name="csJozsef_A_konyvtar_rendeleti_tabla_excel_Dim04">"="</definedName>
    <definedName name="csJozsef_A_konyvtar_rendeleti_tabla_excel_Dim05">"="</definedName>
    <definedName name="csJozsef_A_konyvtar_rendeleti_tabla_excel_Dim06">"="</definedName>
    <definedName name="csJozsef_A_konyvtar_rendeleti_tabla_excel_Dim07">"="</definedName>
    <definedName name="csJozsef_A_konyvtar_rendeleti_tabla_excel_Dim08">"="</definedName>
    <definedName name="csJozsef_A_konyvtar_rendeleti_tabla_excel_Dim09">"="</definedName>
    <definedName name="csJozsef_A_konyvtar_rendeleti_tabla_excel_Dim10">"="</definedName>
    <definedName name="csJozsef_A_konyvtar_rendeleti_tabla_excel_Dim11">"="</definedName>
    <definedName name="csJozsef_A_konyvtar_rendeleti_tabla_excel_Dim12">"="</definedName>
    <definedName name="csKeepAlive">5</definedName>
    <definedName name="cskimutatas_2009_kv_Dim01">"="</definedName>
    <definedName name="cskimutatas_2009_kv_Dim02">"="</definedName>
    <definedName name="cskimutatas_2009_kv_Dim03">"="</definedName>
    <definedName name="cskimutatas_2009_kv_Dim04">"="</definedName>
    <definedName name="cskimutatas_2009_kv_Dim05">"="</definedName>
    <definedName name="cskimutatas_2009_kv_Dim06">"="</definedName>
    <definedName name="cskimutatas_2009_kv_Dim07">"="</definedName>
    <definedName name="cskimutatas_2009_kv_Dim08">"="</definedName>
    <definedName name="cskimutatas_2009_kv_Dim09">#REF!</definedName>
    <definedName name="cskimutatas_2009_kv_Dim10">"="</definedName>
    <definedName name="cskimutatas_2009_kv_Dim11">#REF!</definedName>
    <definedName name="cskimutatas_2009_kv_Dim12">"="</definedName>
    <definedName name="cskimutatas_2009_kvAnchor">#REF!</definedName>
    <definedName name="cskimutatas_bev_fobb_jogcim_Dim01">"="</definedName>
    <definedName name="cskimutatas_bev_fobb_jogcim_Dim02">"="</definedName>
    <definedName name="cskimutatas_bev_fobb_jogcim_Dim03">"="</definedName>
    <definedName name="cskimutatas_bev_fobb_jogcim_Dim04">"="</definedName>
    <definedName name="cskimutatas_bev_fobb_jogcim_Dim05">"="</definedName>
    <definedName name="cskimutatas_bev_fobb_jogcim_Dim06">"="</definedName>
    <definedName name="cskimutatas_bev_fobb_jogcim_Dim07">"="</definedName>
    <definedName name="cskimutatas_bev_fobb_jogcim_Dim08">"="</definedName>
    <definedName name="cskimutatas_bev_fobb_jogcim_Dim09">"="</definedName>
    <definedName name="cskimutatas_bev_fobb_jogcim_Dim10">"="</definedName>
    <definedName name="cskimutatas_bev_fobb_jogcim_Dim11">"="</definedName>
    <definedName name="cskimutatas_bev_fobb_jogcim_Dim12">"="</definedName>
    <definedName name="cskimutatas_bev_fobb_jogcimAnchor" localSheetId="1">#REF!</definedName>
    <definedName name="cskimutatas_bev_fobb_jogcimAnchor" localSheetId="11">[2]Bevétel!$A$10</definedName>
    <definedName name="cskimutatas_bev_fobb_jogcimAnchor">#REF!</definedName>
    <definedName name="cskimutatas_felhalmmerleg_bev_Dim01">"="</definedName>
    <definedName name="cskimutatas_felhalmmerleg_bev_Dim02">"="</definedName>
    <definedName name="cskimutatas_felhalmmerleg_bev_Dim03">"="</definedName>
    <definedName name="cskimutatas_felhalmmerleg_bev_Dim04">"="</definedName>
    <definedName name="cskimutatas_felhalmmerleg_bev_Dim05">"="</definedName>
    <definedName name="cskimutatas_felhalmmerleg_bev_Dim06">"="</definedName>
    <definedName name="cskimutatas_felhalmmerleg_bev_Dim07">"="</definedName>
    <definedName name="cskimutatas_felhalmmerleg_bev_Dim08">"="</definedName>
    <definedName name="cskimutatas_felhalmmerleg_bev_Dim09">"="</definedName>
    <definedName name="cskimutatas_felhalmmerleg_bev_Dim10">"="</definedName>
    <definedName name="cskimutatas_felhalmmerleg_bev_Dim11">"="</definedName>
    <definedName name="cskimutatas_felhalmmerleg_bev_Dim12">"="</definedName>
    <definedName name="cskimutatas_felhalmmerleg_bevAnchor">#REF!</definedName>
    <definedName name="cskimutatas_felhalmmerleg_kiad_Dim01">"="</definedName>
    <definedName name="cskimutatas_felhalmmerleg_kiad_Dim02">"="</definedName>
    <definedName name="cskimutatas_felhalmmerleg_kiad_Dim03">"="</definedName>
    <definedName name="cskimutatas_felhalmmerleg_kiad_Dim04">"="</definedName>
    <definedName name="cskimutatas_felhalmmerleg_kiad_Dim05">"="</definedName>
    <definedName name="cskimutatas_felhalmmerleg_kiad_Dim06">"="</definedName>
    <definedName name="cskimutatas_felhalmmerleg_kiad_Dim07">"="</definedName>
    <definedName name="cskimutatas_felhalmmerleg_kiad_Dim08">"="</definedName>
    <definedName name="cskimutatas_felhalmmerleg_kiad_Dim09">"="</definedName>
    <definedName name="cskimutatas_felhalmmerleg_kiad_Dim10">"="</definedName>
    <definedName name="cskimutatas_felhalmmerleg_kiad_Dim11">"="</definedName>
    <definedName name="cskimutatas_felhalmmerleg_kiad_Dim12">"="</definedName>
    <definedName name="cskimutatas_felhalmmerleg_kiadAnchor">#REF!</definedName>
    <definedName name="cskimutatas_felhalmozas_bev_merleg_jo_Dim01">"="</definedName>
    <definedName name="cskimutatas_felhalmozas_bev_merleg_jo_Dim02">"="</definedName>
    <definedName name="cskimutatas_felhalmozas_bev_merleg_jo_Dim03">"="</definedName>
    <definedName name="cskimutatas_felhalmozas_bev_merleg_jo_Dim04">"="</definedName>
    <definedName name="cskimutatas_felhalmozas_bev_merleg_jo_Dim05">"="</definedName>
    <definedName name="cskimutatas_felhalmozas_bev_merleg_jo_Dim06">"="</definedName>
    <definedName name="cskimutatas_felhalmozas_bev_merleg_jo_Dim07">"="</definedName>
    <definedName name="cskimutatas_felhalmozas_bev_merleg_jo_Dim08">"="</definedName>
    <definedName name="cskimutatas_felhalmozas_bev_merleg_jo_Dim09">"="</definedName>
    <definedName name="cskimutatas_felhalmozas_bev_merleg_jo_Dim10">"="</definedName>
    <definedName name="cskimutatas_felhalmozas_bev_merleg_jo_Dim11">"="</definedName>
    <definedName name="cskimutatas_felhalmozas_bev_merleg_jo_Dim12">"="</definedName>
    <definedName name="cskimutatas_felhalmozas_bev_merleg_joAnchor">#REF!</definedName>
    <definedName name="cskimutatas_felhalmozas_bev_merleg_konc_Dim01">"="</definedName>
    <definedName name="cskimutatas_felhalmozas_bev_merleg_konc_Dim02">"="</definedName>
    <definedName name="cskimutatas_felhalmozas_bev_merleg_konc_Dim03">"="</definedName>
    <definedName name="cskimutatas_felhalmozas_bev_merleg_konc_Dim04">"="</definedName>
    <definedName name="cskimutatas_felhalmozas_bev_merleg_konc_Dim05">"="</definedName>
    <definedName name="cskimutatas_felhalmozas_bev_merleg_konc_Dim06">"="</definedName>
    <definedName name="cskimutatas_felhalmozas_bev_merleg_konc_Dim07">"="</definedName>
    <definedName name="cskimutatas_felhalmozas_bev_merleg_konc_Dim08">"="</definedName>
    <definedName name="cskimutatas_felhalmozas_bev_merleg_konc_Dim09">"="</definedName>
    <definedName name="cskimutatas_felhalmozas_bev_merleg_konc_Dim10">"="</definedName>
    <definedName name="cskimutatas_felhalmozas_bev_merleg_konc_Dim11">"="</definedName>
    <definedName name="cskimutatas_felhalmozas_bev_merleg_konc_Dim12">"="</definedName>
    <definedName name="cskimutatas_felhalmozas_bev_merleg_koncAnchor">#REF!</definedName>
    <definedName name="cskimutatas_felhalmozas_kiad_merleg_jo_Dim01">"="</definedName>
    <definedName name="cskimutatas_felhalmozas_kiad_merleg_jo_Dim02">"="</definedName>
    <definedName name="cskimutatas_felhalmozas_kiad_merleg_jo_Dim03">"="</definedName>
    <definedName name="cskimutatas_felhalmozas_kiad_merleg_jo_Dim04">"="</definedName>
    <definedName name="cskimutatas_felhalmozas_kiad_merleg_jo_Dim05">"="</definedName>
    <definedName name="cskimutatas_felhalmozas_kiad_merleg_jo_Dim06">"="</definedName>
    <definedName name="cskimutatas_felhalmozas_kiad_merleg_jo_Dim07">"="</definedName>
    <definedName name="cskimutatas_felhalmozas_kiad_merleg_jo_Dim08">"="</definedName>
    <definedName name="cskimutatas_felhalmozas_kiad_merleg_jo_Dim09">"="</definedName>
    <definedName name="cskimutatas_felhalmozas_kiad_merleg_jo_Dim10">"="</definedName>
    <definedName name="cskimutatas_felhalmozas_kiad_merleg_jo_Dim11">"="</definedName>
    <definedName name="cskimutatas_felhalmozas_kiad_merleg_jo_Dim12">"="</definedName>
    <definedName name="cskimutatas_felhalmozas_kiad_merleg_joAnchor">#REF!</definedName>
    <definedName name="cskimutatas_felhalmozas_kiad_merleg_konc_Dim01">"="</definedName>
    <definedName name="cskimutatas_felhalmozas_kiad_merleg_konc_Dim02">"="</definedName>
    <definedName name="cskimutatas_felhalmozas_kiad_merleg_konc_Dim03">"="</definedName>
    <definedName name="cskimutatas_felhalmozas_kiad_merleg_konc_Dim04">"="</definedName>
    <definedName name="cskimutatas_felhalmozas_kiad_merleg_konc_Dim05">"="</definedName>
    <definedName name="cskimutatas_felhalmozas_kiad_merleg_konc_Dim06">"="</definedName>
    <definedName name="cskimutatas_felhalmozas_kiad_merleg_konc_Dim07">"="</definedName>
    <definedName name="cskimutatas_felhalmozas_kiad_merleg_konc_Dim08">"="</definedName>
    <definedName name="cskimutatas_felhalmozas_kiad_merleg_konc_Dim09">"="</definedName>
    <definedName name="cskimutatas_felhalmozas_kiad_merleg_konc_Dim10">"="</definedName>
    <definedName name="cskimutatas_felhalmozas_kiad_merleg_konc_Dim11">"="</definedName>
    <definedName name="cskimutatas_felhalmozas_kiad_merleg_konc_Dim12">"="</definedName>
    <definedName name="cskimutatas_felhalmozas_kiad_merleg_koncAnchor">#REF!</definedName>
    <definedName name="cskimutatas_fomerleg_bev_Dim01">"="</definedName>
    <definedName name="cskimutatas_fomerleg_bev_Dim02">"="</definedName>
    <definedName name="cskimutatas_fomerleg_bev_Dim03">"="</definedName>
    <definedName name="cskimutatas_fomerleg_bev_Dim04">"="</definedName>
    <definedName name="cskimutatas_fomerleg_bev_Dim05">"="</definedName>
    <definedName name="cskimutatas_fomerleg_bev_Dim06">"="</definedName>
    <definedName name="cskimutatas_fomerleg_bev_Dim07">"="</definedName>
    <definedName name="cskimutatas_fomerleg_bev_Dim08">"="</definedName>
    <definedName name="cskimutatas_fomerleg_bev_Dim09">"="</definedName>
    <definedName name="cskimutatas_fomerleg_bev_Dim10">"="</definedName>
    <definedName name="cskimutatas_fomerleg_bev_Dim11">"="</definedName>
    <definedName name="cskimutatas_fomerleg_bev_Dim12">"="</definedName>
    <definedName name="cskimutatas_fomerleg_bev_jo_Dim01">"="</definedName>
    <definedName name="cskimutatas_fomerleg_bev_jo_Dim02">"="</definedName>
    <definedName name="cskimutatas_fomerleg_bev_jo_Dim03">"="</definedName>
    <definedName name="cskimutatas_fomerleg_bev_jo_Dim04">"="</definedName>
    <definedName name="cskimutatas_fomerleg_bev_jo_Dim05">"="</definedName>
    <definedName name="cskimutatas_fomerleg_bev_jo_Dim06">"="</definedName>
    <definedName name="cskimutatas_fomerleg_bev_jo_Dim07">"="</definedName>
    <definedName name="cskimutatas_fomerleg_bev_jo_Dim08">"="</definedName>
    <definedName name="cskimutatas_fomerleg_bev_jo_Dim09">"="</definedName>
    <definedName name="cskimutatas_fomerleg_bev_jo_Dim10">"="</definedName>
    <definedName name="cskimutatas_fomerleg_bev_jo_Dim11">"="</definedName>
    <definedName name="cskimutatas_fomerleg_bev_jo_Dim12">"="</definedName>
    <definedName name="cskimutatas_fomerleg_bev_joAnchor">#REF!</definedName>
    <definedName name="cskimutatas_fomerleg_bev_konc_Dim01">"="</definedName>
    <definedName name="cskimutatas_fomerleg_bev_konc_Dim02">"="</definedName>
    <definedName name="cskimutatas_fomerleg_bev_konc_Dim03">"="</definedName>
    <definedName name="cskimutatas_fomerleg_bev_konc_Dim04">"="</definedName>
    <definedName name="cskimutatas_fomerleg_bev_konc_Dim05">"="</definedName>
    <definedName name="cskimutatas_fomerleg_bev_konc_Dim06">"="</definedName>
    <definedName name="cskimutatas_fomerleg_bev_konc_Dim07">"="</definedName>
    <definedName name="cskimutatas_fomerleg_bev_konc_Dim08">"="</definedName>
    <definedName name="cskimutatas_fomerleg_bev_konc_Dim09">"="</definedName>
    <definedName name="cskimutatas_fomerleg_bev_konc_Dim10">"="</definedName>
    <definedName name="cskimutatas_fomerleg_bev_konc_Dim11">"="</definedName>
    <definedName name="cskimutatas_fomerleg_bev_konc_Dim12">"="</definedName>
    <definedName name="cskimutatas_fomerleg_bev_koncAnchor">#REF!</definedName>
    <definedName name="cskimutatas_fomerleg_bevAnchor">#REF!</definedName>
    <definedName name="cskimutatas_fomerleg_kiad_Dim01">"="</definedName>
    <definedName name="cskimutatas_fomerleg_kiad_Dim02">"="</definedName>
    <definedName name="cskimutatas_fomerleg_kiad_Dim03">"="</definedName>
    <definedName name="cskimutatas_fomerleg_kiad_Dim04">"="</definedName>
    <definedName name="cskimutatas_fomerleg_kiad_Dim05">"="</definedName>
    <definedName name="cskimutatas_fomerleg_kiad_Dim06">"="</definedName>
    <definedName name="cskimutatas_fomerleg_kiad_Dim07">"="</definedName>
    <definedName name="cskimutatas_fomerleg_kiad_Dim08">"="</definedName>
    <definedName name="cskimutatas_fomerleg_kiad_Dim09">"="</definedName>
    <definedName name="cskimutatas_fomerleg_kiad_Dim10">"="</definedName>
    <definedName name="cskimutatas_fomerleg_kiad_Dim11">"="</definedName>
    <definedName name="cskimutatas_fomerleg_kiad_Dim12">"="</definedName>
    <definedName name="cskimutatas_fomerleg_kiad_jo_Dim01">"="</definedName>
    <definedName name="cskimutatas_fomerleg_kiad_jo_Dim02">"="</definedName>
    <definedName name="cskimutatas_fomerleg_kiad_jo_Dim03">"="</definedName>
    <definedName name="cskimutatas_fomerleg_kiad_jo_Dim04">"="</definedName>
    <definedName name="cskimutatas_fomerleg_kiad_jo_Dim05">"="</definedName>
    <definedName name="cskimutatas_fomerleg_kiad_jo_Dim06">"="</definedName>
    <definedName name="cskimutatas_fomerleg_kiad_jo_Dim07">"="</definedName>
    <definedName name="cskimutatas_fomerleg_kiad_jo_Dim08">"="</definedName>
    <definedName name="cskimutatas_fomerleg_kiad_jo_Dim09">"="</definedName>
    <definedName name="cskimutatas_fomerleg_kiad_jo_Dim10">"="</definedName>
    <definedName name="cskimutatas_fomerleg_kiad_jo_Dim11">"="</definedName>
    <definedName name="cskimutatas_fomerleg_kiad_jo_Dim12">"="</definedName>
    <definedName name="cskimutatas_fomerleg_kiad_joAnchor">#REF!</definedName>
    <definedName name="cskimutatas_fomerleg_kiad_konc_Dim01">"="</definedName>
    <definedName name="cskimutatas_fomerleg_kiad_konc_Dim02">"="</definedName>
    <definedName name="cskimutatas_fomerleg_kiad_konc_Dim03">"="</definedName>
    <definedName name="cskimutatas_fomerleg_kiad_konc_Dim04">"="</definedName>
    <definedName name="cskimutatas_fomerleg_kiad_konc_Dim05">"="</definedName>
    <definedName name="cskimutatas_fomerleg_kiad_konc_Dim06">"="</definedName>
    <definedName name="cskimutatas_fomerleg_kiad_konc_Dim07">"="</definedName>
    <definedName name="cskimutatas_fomerleg_kiad_konc_Dim08">"="</definedName>
    <definedName name="cskimutatas_fomerleg_kiad_konc_Dim09">"="</definedName>
    <definedName name="cskimutatas_fomerleg_kiad_konc_Dim10">"="</definedName>
    <definedName name="cskimutatas_fomerleg_kiad_konc_Dim11">"="</definedName>
    <definedName name="cskimutatas_fomerleg_kiad_konc_Dim12">"="</definedName>
    <definedName name="cskimutatas_fomerleg_kiad_koncAnchor">#REF!</definedName>
    <definedName name="cskimutatas_fomerleg_kiadAnchor">#REF!</definedName>
    <definedName name="cskimutatas_hivatal_belso_penzeszkoz_Dim01">"="</definedName>
    <definedName name="cskimutatas_hivatal_belso_penzeszkoz_Dim02">"="</definedName>
    <definedName name="cskimutatas_hivatal_belso_penzeszkoz_Dim03">"="</definedName>
    <definedName name="cskimutatas_hivatal_belso_penzeszkoz_Dim04">"="</definedName>
    <definedName name="cskimutatas_hivatal_belso_penzeszkoz_Dim05">"="</definedName>
    <definedName name="cskimutatas_hivatal_belso_penzeszkoz_Dim06">"="</definedName>
    <definedName name="cskimutatas_hivatal_belso_penzeszkoz_Dim07">"="</definedName>
    <definedName name="cskimutatas_hivatal_belso_penzeszkoz_Dim08">"="</definedName>
    <definedName name="cskimutatas_hivatal_belso_penzeszkoz_Dim09">"="</definedName>
    <definedName name="cskimutatas_hivatal_belso_penzeszkoz_Dim10">"="</definedName>
    <definedName name="cskimutatas_hivatal_belso_penzeszkoz_Dim11">"="</definedName>
    <definedName name="cskimutatas_hivatal_belso_penzeszkoz_Dim12">"="</definedName>
    <definedName name="cskimutatas_hivatal_belso_penzeszkozAnchor">#REF!</definedName>
    <definedName name="cskimutatas_hivatal_rend_tabla_Dim01">"="</definedName>
    <definedName name="cskimutatas_hivatal_rend_tabla_Dim02">"="</definedName>
    <definedName name="cskimutatas_hivatal_rend_tabla_Dim03">"="</definedName>
    <definedName name="cskimutatas_hivatal_rend_tabla_Dim04">"="</definedName>
    <definedName name="cskimutatas_hivatal_rend_tabla_Dim05">"="</definedName>
    <definedName name="cskimutatas_hivatal_rend_tabla_Dim06">"="</definedName>
    <definedName name="cskimutatas_hivatal_rend_tabla_Dim07">"="</definedName>
    <definedName name="cskimutatas_hivatal_rend_tabla_Dim08">"="</definedName>
    <definedName name="cskimutatas_hivatal_rend_tabla_Dim09">"="</definedName>
    <definedName name="cskimutatas_hivatal_rend_tabla_Dim10">"="</definedName>
    <definedName name="cskimutatas_hivatal_rend_tabla_Dim11">"="</definedName>
    <definedName name="cskimutatas_hivatal_rend_tabla_Dim12">"="</definedName>
    <definedName name="cskimutatas_hivatal_rend_tablaAnchor">#REF!</definedName>
    <definedName name="cskimutatas_hivatal_rendeleti_tabla_jo_Dim01">"="</definedName>
    <definedName name="cskimutatas_hivatal_rendeleti_tabla_jo_Dim02">"="</definedName>
    <definedName name="cskimutatas_hivatal_rendeleti_tabla_jo_Dim03">"="</definedName>
    <definedName name="cskimutatas_hivatal_rendeleti_tabla_jo_Dim04">"="</definedName>
    <definedName name="cskimutatas_hivatal_rendeleti_tabla_jo_Dim05">"="</definedName>
    <definedName name="cskimutatas_hivatal_rendeleti_tabla_jo_Dim06">"="</definedName>
    <definedName name="cskimutatas_hivatal_rendeleti_tabla_jo_Dim07">"="</definedName>
    <definedName name="cskimutatas_hivatal_rendeleti_tabla_jo_Dim08">"="</definedName>
    <definedName name="cskimutatas_hivatal_rendeleti_tabla_jo_Dim09">"="</definedName>
    <definedName name="cskimutatas_hivatal_rendeleti_tabla_jo_Dim10">"="</definedName>
    <definedName name="cskimutatas_hivatal_rendeleti_tabla_jo_Dim11">"="</definedName>
    <definedName name="cskimutatas_hivatal_rendeleti_tabla_jo_Dim12">"="</definedName>
    <definedName name="cskimutatas_hivatal_rendeleti_tabla_joAnchor">#REF!</definedName>
    <definedName name="cskimutatas_hivatal_rendeleti_tabla_konc_Dim01">"="</definedName>
    <definedName name="cskimutatas_hivatal_rendeleti_tabla_konc_Dim02">"="</definedName>
    <definedName name="cskimutatas_hivatal_rendeleti_tabla_konc_Dim03">"="</definedName>
    <definedName name="cskimutatas_hivatal_rendeleti_tabla_konc_Dim04">"="</definedName>
    <definedName name="cskimutatas_hivatal_rendeleti_tabla_konc_Dim05">"="</definedName>
    <definedName name="cskimutatas_hivatal_rendeleti_tabla_konc_Dim06">"="</definedName>
    <definedName name="cskimutatas_hivatal_rendeleti_tabla_konc_Dim07">"="</definedName>
    <definedName name="cskimutatas_hivatal_rendeleti_tabla_konc_Dim08">"="</definedName>
    <definedName name="cskimutatas_hivatal_rendeleti_tabla_konc_Dim09">"="</definedName>
    <definedName name="cskimutatas_hivatal_rendeleti_tabla_konc_Dim10">"="</definedName>
    <definedName name="cskimutatas_hivatal_rendeleti_tabla_konc_Dim11">"="</definedName>
    <definedName name="cskimutatas_hivatal_rendeleti_tabla_konc_Dim12">"="</definedName>
    <definedName name="cskimutatas_hivatal_szakmai_igenyek_Dim01">"="</definedName>
    <definedName name="cskimutatas_hivatal_szakmai_igenyek_Dim02">"="</definedName>
    <definedName name="cskimutatas_hivatal_szakmai_igenyek_Dim03">"="</definedName>
    <definedName name="cskimutatas_hivatal_szakmai_igenyek_Dim04">"="</definedName>
    <definedName name="cskimutatas_hivatal_szakmai_igenyek_Dim05">"="</definedName>
    <definedName name="cskimutatas_hivatal_szakmai_igenyek_Dim06" localSheetId="1">#REF!</definedName>
    <definedName name="cskimutatas_hivatal_szakmai_igenyek_Dim06" localSheetId="13">#REF!</definedName>
    <definedName name="cskimutatas_hivatal_szakmai_igenyek_Dim06" localSheetId="14">#REF!</definedName>
    <definedName name="cskimutatas_hivatal_szakmai_igenyek_Dim06" localSheetId="15">#REF!</definedName>
    <definedName name="cskimutatas_hivatal_szakmai_igenyek_Dim06" localSheetId="16">#REF!</definedName>
    <definedName name="cskimutatas_hivatal_szakmai_igenyek_Dim06" localSheetId="17">#REF!</definedName>
    <definedName name="cskimutatas_hivatal_szakmai_igenyek_Dim06" localSheetId="18">#REF!</definedName>
    <definedName name="cskimutatas_hivatal_szakmai_igenyek_Dim06" localSheetId="19">#REF!</definedName>
    <definedName name="cskimutatas_hivatal_szakmai_igenyek_Dim06" localSheetId="20">#REF!</definedName>
    <definedName name="cskimutatas_hivatal_szakmai_igenyek_Dim06" localSheetId="11">'[3]összes igény'!#REF!</definedName>
    <definedName name="cskimutatas_hivatal_szakmai_igenyek_Dim06">#REF!</definedName>
    <definedName name="cskimutatas_hivatal_szakmai_igenyek_Dim07">"="</definedName>
    <definedName name="cskimutatas_hivatal_szakmai_igenyek_Dim08">"="</definedName>
    <definedName name="cskimutatas_hivatal_szakmai_igenyek_Dim09" localSheetId="1">#REF!</definedName>
    <definedName name="cskimutatas_hivatal_szakmai_igenyek_Dim09" localSheetId="13">#REF!</definedName>
    <definedName name="cskimutatas_hivatal_szakmai_igenyek_Dim09" localSheetId="14">#REF!</definedName>
    <definedName name="cskimutatas_hivatal_szakmai_igenyek_Dim09" localSheetId="15">#REF!</definedName>
    <definedName name="cskimutatas_hivatal_szakmai_igenyek_Dim09" localSheetId="16">#REF!</definedName>
    <definedName name="cskimutatas_hivatal_szakmai_igenyek_Dim09" localSheetId="17">#REF!</definedName>
    <definedName name="cskimutatas_hivatal_szakmai_igenyek_Dim09" localSheetId="18">#REF!</definedName>
    <definedName name="cskimutatas_hivatal_szakmai_igenyek_Dim09" localSheetId="19">#REF!</definedName>
    <definedName name="cskimutatas_hivatal_szakmai_igenyek_Dim09" localSheetId="20">#REF!</definedName>
    <definedName name="cskimutatas_hivatal_szakmai_igenyek_Dim09" localSheetId="11">'[3]összes igény'!#REF!</definedName>
    <definedName name="cskimutatas_hivatal_szakmai_igenyek_Dim09">#REF!</definedName>
    <definedName name="cskimutatas_hivatal_szakmai_igenyek_Dim10">"="</definedName>
    <definedName name="cskimutatas_hivatal_szakmai_igenyek_Dim11">"="</definedName>
    <definedName name="cskimutatas_hivatal_szakmai_igenyekAnchor" localSheetId="1">#REF!</definedName>
    <definedName name="cskimutatas_hivatal_szakmai_igenyekAnchor" localSheetId="13">#REF!</definedName>
    <definedName name="cskimutatas_hivatal_szakmai_igenyekAnchor" localSheetId="14">#REF!</definedName>
    <definedName name="cskimutatas_hivatal_szakmai_igenyekAnchor" localSheetId="15">#REF!</definedName>
    <definedName name="cskimutatas_hivatal_szakmai_igenyekAnchor" localSheetId="16">#REF!</definedName>
    <definedName name="cskimutatas_hivatal_szakmai_igenyekAnchor" localSheetId="17">#REF!</definedName>
    <definedName name="cskimutatas_hivatal_szakmai_igenyekAnchor" localSheetId="18">#REF!</definedName>
    <definedName name="cskimutatas_hivatal_szakmai_igenyekAnchor" localSheetId="19">#REF!</definedName>
    <definedName name="cskimutatas_hivatal_szakmai_igenyekAnchor" localSheetId="20">#REF!</definedName>
    <definedName name="cskimutatas_hivatal_szakmai_igenyekAnchor" localSheetId="11">'[3]összes igény'!#REF!</definedName>
    <definedName name="cskimutatas_hivatal_szakmai_igenyekAnchor">#REF!</definedName>
    <definedName name="cskimutatas_intezmenyi_rendeleti_tabla_Dim01">"="</definedName>
    <definedName name="cskimutatas_intezmenyi_rendeleti_tabla_Dim02">#REF!</definedName>
    <definedName name="cskimutatas_intezmenyi_rendeleti_tabla_Dim03">"="</definedName>
    <definedName name="cskimutatas_intezmenyi_rendeleti_tabla_Dim04">#REF!</definedName>
    <definedName name="cskimutatas_intezmenyi_rendeleti_tabla_Dim05">"="</definedName>
    <definedName name="cskimutatas_intezmenyi_rendeleti_tabla_Dim06">"="</definedName>
    <definedName name="cskimutatas_intezmenyi_rendeleti_tabla_Dim07">"="</definedName>
    <definedName name="cskimutatas_intezmenyi_rendeleti_tabla_Dim08">"="</definedName>
    <definedName name="cskimutatas_intezmenyi_rendeleti_tabla_Dim09">"="</definedName>
    <definedName name="cskimutatas_intezmenyi_rendeleti_tabla_Dim10">"="</definedName>
    <definedName name="cskimutatas_intezmenyi_rendeleti_tabla_Dim11">"="</definedName>
    <definedName name="cskimutatas_intezmenyi_rendeleti_tabla_Dim12">"="</definedName>
    <definedName name="cskimutatas_intezmenyi_rendeleti_tablaAnchor">#REF!</definedName>
    <definedName name="cskimutatas_kiad_fobb_jogcim_Dim01">"="</definedName>
    <definedName name="cskimutatas_kiad_fobb_jogcim_Dim02">"="</definedName>
    <definedName name="cskimutatas_kiad_fobb_jogcim_Dim03">"="</definedName>
    <definedName name="cskimutatas_kiad_fobb_jogcim_Dim04">"="</definedName>
    <definedName name="cskimutatas_kiad_fobb_jogcim_Dim05">"="</definedName>
    <definedName name="cskimutatas_kiad_fobb_jogcim_Dim06">"="</definedName>
    <definedName name="cskimutatas_kiad_fobb_jogcim_Dim07">"="</definedName>
    <definedName name="cskimutatas_kiad_fobb_jogcim_Dim08">"="</definedName>
    <definedName name="cskimutatas_kiad_fobb_jogcim_Dim09">"="</definedName>
    <definedName name="cskimutatas_kiad_fobb_jogcim_Dim10">"="</definedName>
    <definedName name="cskimutatas_kiad_fobb_jogcim_Dim11">"="</definedName>
    <definedName name="cskimutatas_kiad_fobb_jogcim_Dim12">"="</definedName>
    <definedName name="cskimutatas_kiad_fobb_jogcimAnchor" localSheetId="1">#REF!</definedName>
    <definedName name="cskimutatas_kiad_fobb_jogcimAnchor" localSheetId="11">[2]Kiadás!$A$8</definedName>
    <definedName name="cskimutatas_kiad_fobb_jogcimAnchor">#REF!</definedName>
    <definedName name="cskimutatas_mukod_merleg_bev_Dim01">"="</definedName>
    <definedName name="cskimutatas_mukod_merleg_bev_Dim02">"="</definedName>
    <definedName name="cskimutatas_mukod_merleg_bev_Dim03">"="</definedName>
    <definedName name="cskimutatas_mukod_merleg_bev_Dim04">"="</definedName>
    <definedName name="cskimutatas_mukod_merleg_bev_Dim05">"="</definedName>
    <definedName name="cskimutatas_mukod_merleg_bev_Dim06">"="</definedName>
    <definedName name="cskimutatas_mukod_merleg_bev_Dim07">"="</definedName>
    <definedName name="cskimutatas_mukod_merleg_bev_Dim08">"="</definedName>
    <definedName name="cskimutatas_mukod_merleg_bev_Dim09">"="</definedName>
    <definedName name="cskimutatas_mukod_merleg_bev_Dim10">"="</definedName>
    <definedName name="cskimutatas_mukod_merleg_bev_Dim11">"="</definedName>
    <definedName name="cskimutatas_mukod_merleg_bev_Dim12">"="</definedName>
    <definedName name="cskimutatas_mukod_merleg_bevAnchor">#REF!</definedName>
    <definedName name="cskimutatas_mukod_merleg_kiad_Dim01">"="</definedName>
    <definedName name="cskimutatas_mukod_merleg_kiad_Dim02">"="</definedName>
    <definedName name="cskimutatas_mukod_merleg_kiad_Dim03">"="</definedName>
    <definedName name="cskimutatas_mukod_merleg_kiad_Dim04">"="</definedName>
    <definedName name="cskimutatas_mukod_merleg_kiad_Dim05">"="</definedName>
    <definedName name="cskimutatas_mukod_merleg_kiad_Dim06">"="</definedName>
    <definedName name="cskimutatas_mukod_merleg_kiad_Dim07">"="</definedName>
    <definedName name="cskimutatas_mukod_merleg_kiad_Dim08">"="</definedName>
    <definedName name="cskimutatas_mukod_merleg_kiad_Dim09">"="</definedName>
    <definedName name="cskimutatas_mukod_merleg_kiad_Dim10">"="</definedName>
    <definedName name="cskimutatas_mukod_merleg_kiad_Dim11">"="</definedName>
    <definedName name="cskimutatas_mukod_merleg_kiad_Dim12">"="</definedName>
    <definedName name="cskimutatas_mukod_merleg_kiadAnchor">#REF!</definedName>
    <definedName name="cskimutatas_mukodesi_bev_merleg_jo_Dim01">"="</definedName>
    <definedName name="cskimutatas_mukodesi_bev_merleg_jo_Dim02">"="</definedName>
    <definedName name="cskimutatas_mukodesi_bev_merleg_jo_Dim03">"="</definedName>
    <definedName name="cskimutatas_mukodesi_bev_merleg_jo_Dim04">"="</definedName>
    <definedName name="cskimutatas_mukodesi_bev_merleg_jo_Dim05">"="</definedName>
    <definedName name="cskimutatas_mukodesi_bev_merleg_jo_Dim06">"="</definedName>
    <definedName name="cskimutatas_mukodesi_bev_merleg_jo_Dim07">"="</definedName>
    <definedName name="cskimutatas_mukodesi_bev_merleg_jo_Dim08">"="</definedName>
    <definedName name="cskimutatas_mukodesi_bev_merleg_jo_Dim09">"="</definedName>
    <definedName name="cskimutatas_mukodesi_bev_merleg_jo_Dim10">"="</definedName>
    <definedName name="cskimutatas_mukodesi_bev_merleg_jo_Dim11">"="</definedName>
    <definedName name="cskimutatas_mukodesi_bev_merleg_jo_Dim12">"="</definedName>
    <definedName name="cskimutatas_mukodesi_bev_merleg_joAnchor">#REF!</definedName>
    <definedName name="cskimutatas_mukodesi_bev_merleg_konc_Dim01">"="</definedName>
    <definedName name="cskimutatas_mukodesi_bev_merleg_konc_Dim02">"="</definedName>
    <definedName name="cskimutatas_mukodesi_bev_merleg_konc_Dim03">"="</definedName>
    <definedName name="cskimutatas_mukodesi_bev_merleg_konc_Dim04">"="</definedName>
    <definedName name="cskimutatas_mukodesi_bev_merleg_konc_Dim05">"="</definedName>
    <definedName name="cskimutatas_mukodesi_bev_merleg_konc_Dim06">"="</definedName>
    <definedName name="cskimutatas_mukodesi_bev_merleg_konc_Dim07">"="</definedName>
    <definedName name="cskimutatas_mukodesi_bev_merleg_konc_Dim08">"="</definedName>
    <definedName name="cskimutatas_mukodesi_bev_merleg_konc_Dim09">"="</definedName>
    <definedName name="cskimutatas_mukodesi_bev_merleg_konc_Dim10">"="</definedName>
    <definedName name="cskimutatas_mukodesi_bev_merleg_konc_Dim11">"="</definedName>
    <definedName name="cskimutatas_mukodesi_bev_merleg_konc_Dim12">"="</definedName>
    <definedName name="cskimutatas_mukodesi_bev_merleg_koncAnchor">#REF!</definedName>
    <definedName name="cskimutatas_mukodesi_kiad_merleg_jo_Dim01">"="</definedName>
    <definedName name="cskimutatas_mukodesi_kiad_merleg_jo_Dim02">"="</definedName>
    <definedName name="cskimutatas_mukodesi_kiad_merleg_jo_Dim03">"="</definedName>
    <definedName name="cskimutatas_mukodesi_kiad_merleg_jo_Dim04">"="</definedName>
    <definedName name="cskimutatas_mukodesi_kiad_merleg_jo_Dim05">"="</definedName>
    <definedName name="cskimutatas_mukodesi_kiad_merleg_jo_Dim06">"="</definedName>
    <definedName name="cskimutatas_mukodesi_kiad_merleg_jo_Dim07">"="</definedName>
    <definedName name="cskimutatas_mukodesi_kiad_merleg_jo_Dim08">"="</definedName>
    <definedName name="cskimutatas_mukodesi_kiad_merleg_jo_Dim09">"="</definedName>
    <definedName name="cskimutatas_mukodesi_kiad_merleg_jo_Dim10">"="</definedName>
    <definedName name="cskimutatas_mukodesi_kiad_merleg_jo_Dim11">"="</definedName>
    <definedName name="cskimutatas_mukodesi_kiad_merleg_jo_Dim12">"="</definedName>
    <definedName name="cskimutatas_mukodesi_kiad_merleg_joAnchor">#REF!</definedName>
    <definedName name="cskimutatas_mukodesi_kiad_merleg_konc_Dim01">"="</definedName>
    <definedName name="cskimutatas_mukodesi_kiad_merleg_konc_Dim02">"="</definedName>
    <definedName name="cskimutatas_mukodesi_kiad_merleg_konc_Dim03">"="</definedName>
    <definedName name="cskimutatas_mukodesi_kiad_merleg_konc_Dim04">"="</definedName>
    <definedName name="cskimutatas_mukodesi_kiad_merleg_konc_Dim05">"="</definedName>
    <definedName name="cskimutatas_mukodesi_kiad_merleg_konc_Dim06">"="</definedName>
    <definedName name="cskimutatas_mukodesi_kiad_merleg_konc_Dim07">"="</definedName>
    <definedName name="cskimutatas_mukodesi_kiad_merleg_konc_Dim08">"="</definedName>
    <definedName name="cskimutatas_mukodesi_kiad_merleg_konc_Dim09">"="</definedName>
    <definedName name="cskimutatas_mukodesi_kiad_merleg_konc_Dim10">"="</definedName>
    <definedName name="cskimutatas_mukodesi_kiad_merleg_konc_Dim11">"="</definedName>
    <definedName name="cskimutatas_mukodesi_kiad_merleg_konc_Dim12">"="</definedName>
    <definedName name="cskimutatas_mukodesi_kiad_merleg_koncAnchor">#REF!</definedName>
    <definedName name="cskimutatas_pm_jogcim_Dim01">"="</definedName>
    <definedName name="cskimutatas_pm_jogcim_Dim02">"="</definedName>
    <definedName name="cskimutatas_pm_jogcim_Dim03">"="</definedName>
    <definedName name="cskimutatas_pm_jogcim_Dim04">"="</definedName>
    <definedName name="cskimutatas_pm_jogcim_Dim05">"="</definedName>
    <definedName name="cskimutatas_pm_jogcim_Dim06">"="</definedName>
    <definedName name="cskimutatas_pm_jogcim_Dim07">"="</definedName>
    <definedName name="cskimutatas_pm_jogcim_Dim08">"="</definedName>
    <definedName name="cskimutatas_pm_jogcim_Dim09">"="</definedName>
    <definedName name="cskimutatas_pm_jogcim_Dim10">"="</definedName>
    <definedName name="cskimutatas_pm_jogcim_Dim11">"="</definedName>
    <definedName name="cskimutatas_pm_jogcim_Dim12">"="</definedName>
    <definedName name="cskimutatas_pm_jogcim_jo_Dim01">"="</definedName>
    <definedName name="cskimutatas_pm_jogcim_jo_Dim02">"="</definedName>
    <definedName name="cskimutatas_pm_jogcim_jo_Dim03">"="</definedName>
    <definedName name="cskimutatas_pm_jogcim_jo_Dim04">"="</definedName>
    <definedName name="cskimutatas_pm_jogcim_jo_Dim05">"="</definedName>
    <definedName name="cskimutatas_pm_jogcim_jo_Dim06">"="</definedName>
    <definedName name="cskimutatas_pm_jogcim_jo_Dim07">"="</definedName>
    <definedName name="cskimutatas_pm_jogcim_jo_Dim08">"="</definedName>
    <definedName name="cskimutatas_pm_jogcim_jo_Dim09">"="</definedName>
    <definedName name="cskimutatas_pm_jogcim_jo_Dim10">"="</definedName>
    <definedName name="cskimutatas_pm_jogcim_jo_Dim11">"="</definedName>
    <definedName name="cskimutatas_pm_jogcim_jo_Dim12">"="</definedName>
    <definedName name="cskimutatas_pm_jogcim_joAnchor">#REF!</definedName>
    <definedName name="cskimutatas_pm_jogcim_konc_Dim01">"="</definedName>
    <definedName name="cskimutatas_pm_jogcim_konc_Dim02">"="</definedName>
    <definedName name="cskimutatas_pm_jogcim_konc_Dim03">"="</definedName>
    <definedName name="cskimutatas_pm_jogcim_konc_Dim04">"="</definedName>
    <definedName name="cskimutatas_pm_jogcim_konc_Dim05">"="</definedName>
    <definedName name="cskimutatas_pm_jogcim_konc_Dim06">"="</definedName>
    <definedName name="cskimutatas_pm_jogcim_konc_Dim07">"="</definedName>
    <definedName name="cskimutatas_pm_jogcim_konc_Dim08">"="</definedName>
    <definedName name="cskimutatas_pm_jogcim_konc_Dim09">"="</definedName>
    <definedName name="cskimutatas_pm_jogcim_konc_Dim10">"="</definedName>
    <definedName name="cskimutatas_pm_jogcim_konc_Dim11">"="</definedName>
    <definedName name="cskimutatas_pm_jogcim_konc_Dim12">"="</definedName>
    <definedName name="cskimutatas_pm_jogcim_koncAnchor">#REF!</definedName>
    <definedName name="cskimutatas_pm_jogcimAnchor">#REF!</definedName>
    <definedName name="cskisebbsegi_rendeleti_tabla_Dim01">"="</definedName>
    <definedName name="cskisebbsegi_rendeleti_tabla_Dim02">"="</definedName>
    <definedName name="cskisebbsegi_rendeleti_tabla_Dim03">"="</definedName>
    <definedName name="cskisebbsegi_rendeleti_tabla_Dim04">"="</definedName>
    <definedName name="cskisebbsegi_rendeleti_tabla_Dim05">"="</definedName>
    <definedName name="cskisebbsegi_rendeleti_tabla_Dim06">"="</definedName>
    <definedName name="cskisebbsegi_rendeleti_tabla_Dim07">"="</definedName>
    <definedName name="cskisebbsegi_rendeleti_tabla_Dim08">"="</definedName>
    <definedName name="cskisebbsegi_rendeleti_tabla_Dim09">"="</definedName>
    <definedName name="cskisebbsegi_rendeleti_tabla_Dim10">"="</definedName>
    <definedName name="cskisebbsegi_rendeleti_tabla_Dim11">"="</definedName>
    <definedName name="cskisebbsegi_rendeleti_tabla_Dim12">"="</definedName>
    <definedName name="cskisebbsegi_rendeleti_tablaAnchor">#REF!</definedName>
    <definedName name="csKozepfoku_kolegium_rendeleti_tabla_excel_Dim01">"="</definedName>
    <definedName name="csKozepfoku_kolegium_rendeleti_tabla_excel_Dim02">"="</definedName>
    <definedName name="csKozepfoku_kolegium_rendeleti_tabla_excel_Dim03">"="</definedName>
    <definedName name="csKozepfoku_kolegium_rendeleti_tabla_excel_Dim04">"="</definedName>
    <definedName name="csKozepfoku_kolegium_rendeleti_tabla_excel_Dim05">"="</definedName>
    <definedName name="csKozepfoku_kolegium_rendeleti_tabla_excel_Dim06">"="</definedName>
    <definedName name="csKozepfoku_kolegium_rendeleti_tabla_excel_Dim07">"="</definedName>
    <definedName name="csKozepfoku_kolegium_rendeleti_tabla_excel_Dim08">"="</definedName>
    <definedName name="csKozepfoku_kolegium_rendeleti_tabla_excel_Dim09">"="</definedName>
    <definedName name="csKozepfoku_kolegium_rendeleti_tabla_excel_Dim10">"="</definedName>
    <definedName name="csKozepfoku_kolegium_rendeleti_tabla_excel_Dim11">"="</definedName>
    <definedName name="csKozepfoku_kolegium_rendeleti_tabla_excel_Dim12">"="</definedName>
    <definedName name="csKultsar_rendeleti_tabla_excel_Dim01">"="</definedName>
    <definedName name="csKultsar_rendeleti_tabla_excel_Dim02">"="</definedName>
    <definedName name="csKultsar_rendeleti_tabla_excel_Dim03">"="</definedName>
    <definedName name="csKultsar_rendeleti_tabla_excel_Dim04">"="</definedName>
    <definedName name="csKultsar_rendeleti_tabla_excel_Dim05">"="</definedName>
    <definedName name="csKultsar_rendeleti_tabla_excel_Dim06">"="</definedName>
    <definedName name="csKultsar_rendeleti_tabla_excel_Dim07">"="</definedName>
    <definedName name="csKultsar_rendeleti_tabla_excel_Dim08">"="</definedName>
    <definedName name="csKultsar_rendeleti_tabla_excel_Dim09">"="</definedName>
    <definedName name="csKultsar_rendeleti_tabla_excel_Dim10">"="</definedName>
    <definedName name="csKultsar_rendeleti_tabla_excel_Dim11">"="</definedName>
    <definedName name="csKultsar_rendeleti_tabla_excel_Dim12">"="</definedName>
    <definedName name="csLocalConsolidationOnSubmit">1</definedName>
    <definedName name="csMegyei_leveltar_rendeleti_tabla_excel_Dim01">"="</definedName>
    <definedName name="csMegyei_leveltar_rendeleti_tabla_excel_Dim02">"="</definedName>
    <definedName name="csMegyei_leveltar_rendeleti_tabla_excel_Dim03">"="</definedName>
    <definedName name="csMegyei_leveltar_rendeleti_tabla_excel_Dim04">"="</definedName>
    <definedName name="csMegyei_leveltar_rendeleti_tabla_excel_Dim05">"="</definedName>
    <definedName name="csMegyei_leveltar_rendeleti_tabla_excel_Dim06">"="</definedName>
    <definedName name="csMegyei_leveltar_rendeleti_tabla_excel_Dim07">"="</definedName>
    <definedName name="csMegyei_leveltar_rendeleti_tabla_excel_Dim08">"="</definedName>
    <definedName name="csMegyei_leveltar_rendeleti_tabla_excel_Dim09">"="</definedName>
    <definedName name="csMegyei_leveltar_rendeleti_tabla_excel_Dim10">"="</definedName>
    <definedName name="csMegyei_leveltar_rendeleti_tabla_excel_Dim11">"="</definedName>
    <definedName name="csMegyei_leveltar_rendeleti_tabla_excel_Dim12">"="</definedName>
    <definedName name="csMentalhighiene_rendeleti_tabla_excel_Dim01">"="</definedName>
    <definedName name="csMentalhighiene_rendeleti_tabla_excel_Dim02">"="</definedName>
    <definedName name="csMentalhighiene_rendeleti_tabla_excel_Dim03">"="</definedName>
    <definedName name="csMentalhighiene_rendeleti_tabla_excel_Dim04">"="</definedName>
    <definedName name="csMentalhighiene_rendeleti_tabla_excel_Dim05">"="</definedName>
    <definedName name="csMentalhighiene_rendeleti_tabla_excel_Dim06">"="</definedName>
    <definedName name="csMentalhighiene_rendeleti_tabla_excel_Dim07">"="</definedName>
    <definedName name="csMentalhighiene_rendeleti_tabla_excel_Dim08">"="</definedName>
    <definedName name="csMentalhighiene_rendeleti_tabla_excel_Dim09">"="</definedName>
    <definedName name="csMentalhighiene_rendeleti_tabla_excel_Dim10">"="</definedName>
    <definedName name="csMentalhighiene_rendeleti_tabla_excel_Dim11">"="</definedName>
    <definedName name="csMentalhighiene_rendeleti_tabla_excel_Dim12">"="</definedName>
    <definedName name="csMora_rendeleti_tabla_excel_Dim01">"="</definedName>
    <definedName name="csMora_rendeleti_tabla_excel_Dim02">"="</definedName>
    <definedName name="csMora_rendeleti_tabla_excel_Dim03">"="</definedName>
    <definedName name="csMora_rendeleti_tabla_excel_Dim04">"="</definedName>
    <definedName name="csMora_rendeleti_tabla_excel_Dim05">"="</definedName>
    <definedName name="csMora_rendeleti_tabla_excel_Dim06">"="</definedName>
    <definedName name="csMora_rendeleti_tabla_excel_Dim07">"="</definedName>
    <definedName name="csMora_rendeleti_tabla_excel_Dim08">"="</definedName>
    <definedName name="csMora_rendeleti_tabla_excel_Dim09">"="</definedName>
    <definedName name="csMora_rendeleti_tabla_excel_Dim10">"="</definedName>
    <definedName name="csMora_rendeleti_tabla_excel_Dim11">"="</definedName>
    <definedName name="csMora_rendeleti_tabla_excel_Dim12">"="</definedName>
    <definedName name="csmukodesi_merleg_bev_excel_Dim01">"="</definedName>
    <definedName name="csmukodesi_merleg_bev_excel_Dim02">"="</definedName>
    <definedName name="csmukodesi_merleg_bev_excel_Dim03">"="</definedName>
    <definedName name="csmukodesi_merleg_bev_excel_Dim04">"="</definedName>
    <definedName name="csmukodesi_merleg_bev_excel_Dim05">"="</definedName>
    <definedName name="csmukodesi_merleg_bev_excel_Dim06">"="</definedName>
    <definedName name="csmukodesi_merleg_bev_excel_Dim07">"="</definedName>
    <definedName name="csmukodesi_merleg_bev_excel_Dim08">"="</definedName>
    <definedName name="csmukodesi_merleg_bev_excel_Dim09">"="</definedName>
    <definedName name="csmukodesi_merleg_bev_excel_Dim10">"="</definedName>
    <definedName name="csmukodesi_merleg_bev_excel_Dim11">"="</definedName>
    <definedName name="csmukodesi_merleg_bev_excel_Dim12">"="</definedName>
    <definedName name="csmukodesi_merleg_bev_excelAnchor">#REF!</definedName>
    <definedName name="csmukodesi_merleg_kiad_excel_Dim01">"="</definedName>
    <definedName name="csmukodesi_merleg_kiad_excel_Dim02">"="</definedName>
    <definedName name="csmukodesi_merleg_kiad_excel_Dim03">"="</definedName>
    <definedName name="csmukodesi_merleg_kiad_excel_Dim04">"="</definedName>
    <definedName name="csmukodesi_merleg_kiad_excel_Dim05">"="</definedName>
    <definedName name="csmukodesi_merleg_kiad_excel_Dim06">"="</definedName>
    <definedName name="csmukodesi_merleg_kiad_excel_Dim07">"="</definedName>
    <definedName name="csmukodesi_merleg_kiad_excel_Dim08">"="</definedName>
    <definedName name="csmukodesi_merleg_kiad_excel_Dim09">"="</definedName>
    <definedName name="csmukodesi_merleg_kiad_excel_Dim10">"="</definedName>
    <definedName name="csmukodesi_merleg_kiad_excel_Dim11">"="</definedName>
    <definedName name="csmukodesi_merleg_kiad_excel_Dim12">"="</definedName>
    <definedName name="csmukodesi_merleg_kiad_excelAnchor">#REF!</definedName>
    <definedName name="csMuzeum_igazg_tabla_excel_Dim01">"="</definedName>
    <definedName name="csMuzeum_igazg_tabla_excel_Dim02">"="</definedName>
    <definedName name="csMuzeum_igazg_tabla_excel_Dim03">"="</definedName>
    <definedName name="csMuzeum_igazg_tabla_excel_Dim04">"="</definedName>
    <definedName name="csMuzeum_igazg_tabla_excel_Dim05">"="</definedName>
    <definedName name="csMuzeum_igazg_tabla_excel_Dim06">"="</definedName>
    <definedName name="csMuzeum_igazg_tabla_excel_Dim07">"="</definedName>
    <definedName name="csMuzeum_igazg_tabla_excel_Dim08">"="</definedName>
    <definedName name="csMuzeum_igazg_tabla_excel_Dim09">"="</definedName>
    <definedName name="csMuzeum_igazg_tabla_excel_Dim10">"="</definedName>
    <definedName name="csMuzeum_igazg_tabla_excel_Dim11">"="</definedName>
    <definedName name="csMuzeum_igazg_tabla_excel_Dim12">"="</definedName>
    <definedName name="csNemet_rendeleti_tabla_Dim01">"="</definedName>
    <definedName name="csNemet_rendeleti_tabla_Dim02">"="</definedName>
    <definedName name="csNemet_rendeleti_tabla_Dim03">"="</definedName>
    <definedName name="csNemet_rendeleti_tabla_Dim04">"="</definedName>
    <definedName name="csNemet_rendeleti_tabla_Dim05">"="</definedName>
    <definedName name="csNemet_rendeleti_tabla_Dim06">"="</definedName>
    <definedName name="csNemet_rendeleti_tabla_Dim07">"="</definedName>
    <definedName name="csNemet_rendeleti_tabla_Dim08">"="</definedName>
    <definedName name="csNemet_rendeleti_tabla_Dim09">"="</definedName>
    <definedName name="csNemet_rendeleti_tabla_Dim10">"="</definedName>
    <definedName name="csNemet_rendeleti_tabla_Dim11">"="</definedName>
    <definedName name="csNemet_rendeleti_tabla_Dim12">"="</definedName>
    <definedName name="csNemet_rendeleti_tablaAnchor">#REF!</definedName>
    <definedName name="csPszichiatriai_Esztergom_rendeleti_tabla_excel_Dim01">"="</definedName>
    <definedName name="csPszichiatriai_Esztergom_rendeleti_tabla_excel_Dim02">"="</definedName>
    <definedName name="csPszichiatriai_Esztergom_rendeleti_tabla_excel_Dim03">"="</definedName>
    <definedName name="csPszichiatriai_Esztergom_rendeleti_tabla_excel_Dim04">"="</definedName>
    <definedName name="csPszichiatriai_Esztergom_rendeleti_tabla_excel_Dim05">"="</definedName>
    <definedName name="csPszichiatriai_Esztergom_rendeleti_tabla_excel_Dim06">"="</definedName>
    <definedName name="csPszichiatriai_Esztergom_rendeleti_tabla_excel_Dim07">"="</definedName>
    <definedName name="csPszichiatriai_Esztergom_rendeleti_tabla_excel_Dim08">"="</definedName>
    <definedName name="csPszichiatriai_Esztergom_rendeleti_tabla_excel_Dim09">"="</definedName>
    <definedName name="csPszichiatriai_Esztergom_rendeleti_tabla_excel_Dim10">"="</definedName>
    <definedName name="csPszichiatriai_Esztergom_rendeleti_tabla_excel_Dim11">"="</definedName>
    <definedName name="csPszichiatriai_Esztergom_rendeleti_tabla_excel_Dim12">"="</definedName>
    <definedName name="csRefreshOnOpen">1</definedName>
    <definedName name="csRefreshOnRotate">1</definedName>
    <definedName name="csSzabolcsi_rendeleti_tabla_excel_Dim01">"="</definedName>
    <definedName name="csSzabolcsi_rendeleti_tabla_excel_Dim02">"="</definedName>
    <definedName name="csSzabolcsi_rendeleti_tabla_excel_Dim03">"="</definedName>
    <definedName name="csSzabolcsi_rendeleti_tabla_excel_Dim04">"="</definedName>
    <definedName name="csSzabolcsi_rendeleti_tabla_excel_Dim05">"="</definedName>
    <definedName name="csSzabolcsi_rendeleti_tabla_excel_Dim06">"="</definedName>
    <definedName name="csSzabolcsi_rendeleti_tabla_excel_Dim07">"="</definedName>
    <definedName name="csSzabolcsi_rendeleti_tabla_excel_Dim08">"="</definedName>
    <definedName name="csSzabolcsi_rendeleti_tabla_excel_Dim09">"="</definedName>
    <definedName name="csSzabolcsi_rendeleti_tabla_excel_Dim10">"="</definedName>
    <definedName name="csSzabolcsi_rendeleti_tabla_excel_Dim11">"="</definedName>
    <definedName name="csSzabolcsi_rendeleti_tabla_excel_Dim12">"="</definedName>
    <definedName name="csSzechenyi_rendeleti_tabla_excel_Dim01">"="</definedName>
    <definedName name="csSzechenyi_rendeleti_tabla_excel_Dim02">"="</definedName>
    <definedName name="csSzechenyi_rendeleti_tabla_excel_Dim03">"="</definedName>
    <definedName name="csSzechenyi_rendeleti_tabla_excel_Dim04">"="</definedName>
    <definedName name="csSzechenyi_rendeleti_tabla_excel_Dim05">"="</definedName>
    <definedName name="csSzechenyi_rendeleti_tabla_excel_Dim06">"="</definedName>
    <definedName name="csSzechenyi_rendeleti_tabla_excel_Dim07">"="</definedName>
    <definedName name="csSzechenyi_rendeleti_tabla_excel_Dim08">"="</definedName>
    <definedName name="csSzechenyi_rendeleti_tabla_excel_Dim09">"="</definedName>
    <definedName name="csSzechenyi_rendeleti_tabla_excel_Dim10">"="</definedName>
    <definedName name="csSzechenyi_rendeleti_tabla_excel_Dim11">"="</definedName>
    <definedName name="csSzechenyi_rendeleti_tabla_excel_Dim12">"="</definedName>
    <definedName name="csSzent_Rita_int_rendeleti_tabla_excel_Dim01">"="</definedName>
    <definedName name="csSzent_Rita_int_rendeleti_tabla_excel_Dim02">"="</definedName>
    <definedName name="csSzent_Rita_int_rendeleti_tabla_excel_Dim03">"="</definedName>
    <definedName name="csSzent_Rita_int_rendeleti_tabla_excel_Dim04">"="</definedName>
    <definedName name="csSzent_Rita_int_rendeleti_tabla_excel_Dim05">"="</definedName>
    <definedName name="csSzent_Rita_int_rendeleti_tabla_excel_Dim06">"="</definedName>
    <definedName name="csSzent_Rita_int_rendeleti_tabla_excel_Dim07">"="</definedName>
    <definedName name="csSzent_Rita_int_rendeleti_tabla_excel_Dim08">"="</definedName>
    <definedName name="csSzent_Rita_int_rendeleti_tabla_excel_Dim09">"="</definedName>
    <definedName name="csSzent_Rita_int_rendeleti_tabla_excel_Dim10">"="</definedName>
    <definedName name="csSzent_Rita_int_rendeleti_tabla_excel_Dim11">"="</definedName>
    <definedName name="csSzent_Rita_int_rendeleti_tabla_excel_Dim12">"="</definedName>
    <definedName name="csSzlovak_rendeleti_tabla_Dim01">"="</definedName>
    <definedName name="csSzlovak_rendeleti_tabla_Dim02">"="</definedName>
    <definedName name="csSzlovak_rendeleti_tabla_Dim03">"="</definedName>
    <definedName name="csSzlovak_rendeleti_tabla_Dim04">"="</definedName>
    <definedName name="csSzlovak_rendeleti_tabla_Dim05">"="</definedName>
    <definedName name="csSzlovak_rendeleti_tabla_Dim06">"="</definedName>
    <definedName name="csSzlovak_rendeleti_tabla_Dim07">"="</definedName>
    <definedName name="csSzlovak_rendeleti_tabla_Dim08">"="</definedName>
    <definedName name="csSzlovak_rendeleti_tabla_Dim09">"="</definedName>
    <definedName name="csSzlovak_rendeleti_tabla_Dim10">"="</definedName>
    <definedName name="csSzlovak_rendeleti_tabla_Dim11">"="</definedName>
    <definedName name="csSzlovak_rendeleti_tabla_Dim12">"="</definedName>
    <definedName name="csSzlovak_rendeleti_tablaAnchor">#REF!</definedName>
    <definedName name="csSzt_Borbala_rendeleti_tabla_excel_Dim01">"="</definedName>
    <definedName name="csSzt_Borbala_rendeleti_tabla_excel_Dim02">"="</definedName>
    <definedName name="csSzt_Borbala_rendeleti_tabla_excel_Dim03">"="</definedName>
    <definedName name="csSzt_Borbala_rendeleti_tabla_excel_Dim04">"="</definedName>
    <definedName name="csSzt_Borbala_rendeleti_tabla_excel_Dim05">"="</definedName>
    <definedName name="csSzt_Borbala_rendeleti_tabla_excel_Dim06">"="</definedName>
    <definedName name="csSzt_Borbala_rendeleti_tabla_excel_Dim07">"="</definedName>
    <definedName name="csSzt_Borbala_rendeleti_tabla_excel_Dim08">"="</definedName>
    <definedName name="csSzt_Borbala_rendeleti_tabla_excel_Dim09">"="</definedName>
    <definedName name="csSzt_Borbala_rendeleti_tabla_excel_Dim10">"="</definedName>
    <definedName name="csSzt_Borbala_rendeleti_tabla_excel_Dim11">"="</definedName>
    <definedName name="csSzt_Borbala_rendeleti_tabla_excel_Dim12">"="</definedName>
    <definedName name="csTanulasi_tata_rendeleti_tabla_excel_Dim01">"="</definedName>
    <definedName name="csTanulasi_tata_rendeleti_tabla_excel_Dim02">"="</definedName>
    <definedName name="csTanulasi_tata_rendeleti_tabla_excel_Dim03">"="</definedName>
    <definedName name="csTanulasi_tata_rendeleti_tabla_excel_Dim04">"="</definedName>
    <definedName name="csTanulasi_tata_rendeleti_tabla_excel_Dim05">"="</definedName>
    <definedName name="csTanulasi_tata_rendeleti_tabla_excel_Dim06">"="</definedName>
    <definedName name="csTanulasi_tata_rendeleti_tabla_excel_Dim07">"="</definedName>
    <definedName name="csTanulasi_tata_rendeleti_tabla_excel_Dim08">"="</definedName>
    <definedName name="csTanulasi_tata_rendeleti_tabla_excel_Dim09">"="</definedName>
    <definedName name="csTanulasi_tata_rendeleti_tabla_excel_Dim10">"="</definedName>
    <definedName name="csTanulasi_tata_rendeleti_tabla_excel_Dim11">"="</definedName>
    <definedName name="csTanulasi_tata_rendeleti_tabla_excel_Dim12">"="</definedName>
    <definedName name="csTGSZ_rendeleti_tabla_excel_Dim01">"="</definedName>
    <definedName name="csTGSZ_rendeleti_tabla_excel_Dim02">"="</definedName>
    <definedName name="csTGSZ_rendeleti_tabla_excel_Dim03">"="</definedName>
    <definedName name="csTGSZ_rendeleti_tabla_excel_Dim04">"="</definedName>
    <definedName name="csTGSZ_rendeleti_tabla_excel_Dim05">"="</definedName>
    <definedName name="csTGSZ_rendeleti_tabla_excel_Dim06">"="</definedName>
    <definedName name="csTGSZ_rendeleti_tabla_excel_Dim07">"="</definedName>
    <definedName name="csTGSZ_rendeleti_tabla_excel_Dim08">"="</definedName>
    <definedName name="csTGSZ_rendeleti_tabla_excel_Dim09">"="</definedName>
    <definedName name="csTGSZ_rendeleti_tabla_excel_Dim10">"="</definedName>
    <definedName name="csTGSZ_rendeleti_tabla_excel_Dim11">"="</definedName>
    <definedName name="csTGSZ_rendeleti_tabla_excel_Dim12">"="</definedName>
    <definedName name="cstiszk_mod_Dim01">"="</definedName>
    <definedName name="cstiszk_mod_Dim02">"="</definedName>
    <definedName name="cstiszk_mod_Dim03">"="</definedName>
    <definedName name="cstiszk_mod_Dim04">"="</definedName>
    <definedName name="cstiszk_mod_Dim05">"="</definedName>
    <definedName name="cstiszk_mod_Dim06">"="</definedName>
    <definedName name="cstiszk_mod_Dim07">"="</definedName>
    <definedName name="cstiszk_mod_Dim08">"="</definedName>
    <definedName name="cstiszk_mod_Dim09">"="</definedName>
    <definedName name="cstiszk_mod_Dim10">"="</definedName>
    <definedName name="cstiszk_mod_Dim11">"="</definedName>
    <definedName name="cstiszk_mod_Dim12">"="</definedName>
    <definedName name="cstiszk_modAnchor">#REF!</definedName>
    <definedName name="csTiszk_rendeleti_tabla_Dim01">"="</definedName>
    <definedName name="csTiszk_rendeleti_tabla_Dim02">"="</definedName>
    <definedName name="csTiszk_rendeleti_tabla_Dim03">"="</definedName>
    <definedName name="csTiszk_rendeleti_tabla_Dim04">"="</definedName>
    <definedName name="csTiszk_rendeleti_tabla_Dim05">"="</definedName>
    <definedName name="csTiszk_rendeleti_tabla_Dim06">"="</definedName>
    <definedName name="csTiszk_rendeleti_tabla_Dim07">"="</definedName>
    <definedName name="csTiszk_rendeleti_tabla_Dim08">"="</definedName>
    <definedName name="csTiszk_rendeleti_tabla_Dim09">"="</definedName>
    <definedName name="csTiszk_rendeleti_tabla_Dim10">"="</definedName>
    <definedName name="csTiszk_rendeleti_tabla_Dim11">"="</definedName>
    <definedName name="csTiszk_rendeleti_tabla_Dim12">"="</definedName>
    <definedName name="csTiszk_rendeleti_tablaAnchor">#REF!</definedName>
    <definedName name="csZsigmondi_rendeleti_tabla_excel_Dim01">"="</definedName>
    <definedName name="csZsigmondi_rendeleti_tabla_excel_Dim02">"="</definedName>
    <definedName name="csZsigmondi_rendeleti_tabla_excel_Dim03">"="</definedName>
    <definedName name="csZsigmondi_rendeleti_tabla_excel_Dim04">"="</definedName>
    <definedName name="csZsigmondi_rendeleti_tabla_excel_Dim05">"="</definedName>
    <definedName name="csZsigmondi_rendeleti_tabla_excel_Dim06">"="</definedName>
    <definedName name="csZsigmondi_rendeleti_tabla_excel_Dim07">"="</definedName>
    <definedName name="csZsigmondi_rendeleti_tabla_excel_Dim08">"="</definedName>
    <definedName name="csZsigmondi_rendeleti_tabla_excel_Dim09">"="</definedName>
    <definedName name="csZsigmondi_rendeleti_tabla_excel_Dim10">"="</definedName>
    <definedName name="csZsigmondi_rendeleti_tabla_excel_Dim11">"="</definedName>
    <definedName name="csZsigmondi_rendeleti_tabla_excel_Dim12">"="</definedName>
    <definedName name="felúj" localSheetId="1">#REF!</definedName>
    <definedName name="felúj" localSheetId="11">'[4]10intberuh-felúj'!$A$10</definedName>
    <definedName name="felúj">#REF!</definedName>
    <definedName name="Hiv.felújtás">1</definedName>
    <definedName name="kkkkk">#REF!</definedName>
    <definedName name="kkkkkkk" localSheetId="1">#REF!</definedName>
    <definedName name="kkkkkkk" localSheetId="13">#REF!</definedName>
    <definedName name="kkkkkkk" localSheetId="14">#REF!</definedName>
    <definedName name="kkkkkkk" localSheetId="15">#REF!</definedName>
    <definedName name="kkkkkkk" localSheetId="16">#REF!</definedName>
    <definedName name="kkkkkkk" localSheetId="17">#REF!</definedName>
    <definedName name="kkkkkkk" localSheetId="18">#REF!</definedName>
    <definedName name="kkkkkkk" localSheetId="19">#REF!</definedName>
    <definedName name="kkkkkkk" localSheetId="20">#REF!</definedName>
    <definedName name="kkkkkkk" localSheetId="11">'[3]összes igény'!#REF!</definedName>
    <definedName name="kkkkkkk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18">#REF!</definedName>
    <definedName name="l" localSheetId="19">#REF!</definedName>
    <definedName name="l" localSheetId="20">#REF!</definedName>
    <definedName name="l" localSheetId="11">#REF!</definedName>
    <definedName name="l">#REF!</definedName>
    <definedName name="nem">1</definedName>
    <definedName name="nnn" localSheetId="1">#REF!</definedName>
    <definedName name="nnn" localSheetId="11">'[3]összes igény'!#REF!</definedName>
    <definedName name="nnn">#REF!</definedName>
    <definedName name="_xlnm.Print_Titles" localSheetId="1">'1. mell 2 pont '!$4:$6</definedName>
    <definedName name="_xlnm.Print_Titles" localSheetId="2">'1. mell 3. pont '!$4:$8</definedName>
    <definedName name="_xlnm.Print_Titles" localSheetId="14">'11.mell'!$8:$9</definedName>
    <definedName name="_xlnm.Print_Titles" localSheetId="15">'12.mell'!$5:$6</definedName>
    <definedName name="_xlnm.Print_Titles" localSheetId="3">'2.mell'!$1:$8</definedName>
    <definedName name="_xlnm.Print_Titles" localSheetId="4">'3 mell 1. pont'!$3:$7</definedName>
    <definedName name="_xlnm.Print_Titles" localSheetId="6">'3 mell 3. pont'!$4:$8</definedName>
    <definedName name="_xlnm.Print_Titles" localSheetId="5">'3 mell. 2. pont'!$4:$8</definedName>
    <definedName name="_xlnm.Print_Titles" localSheetId="7">'4.mell.'!$3:$7</definedName>
    <definedName name="_xlnm.Print_Titles" localSheetId="8">'5.mell. '!$4:$8</definedName>
    <definedName name="_xlnm.Print_Titles" localSheetId="9">'6.mell. '!$7:$10</definedName>
    <definedName name="_xlnm.Print_Area" localSheetId="0">'1. mell 1. pont'!$A$1:$H$60</definedName>
    <definedName name="_xlnm.Print_Area" localSheetId="1">'1. mell 2 pont '!$A$1:$F$312</definedName>
    <definedName name="_xlnm.Print_Area" localSheetId="2">'1. mell 3. pont '!$A$1:$F$154</definedName>
    <definedName name="_xlnm.Print_Area" localSheetId="14">'11.mell'!$A$1:$N$181</definedName>
    <definedName name="_xlnm.Print_Area" localSheetId="19">'16.mell'!$A$1:$C$707</definedName>
    <definedName name="_xlnm.Print_Area" localSheetId="3">'2.mell'!$A$1:$F$775</definedName>
    <definedName name="_xlnm.Print_Area" localSheetId="6">'3 mell 3. pont'!$A$1:$G$74</definedName>
    <definedName name="_xlnm.Print_Area" localSheetId="5">'3 mell. 2. pont'!$A$1:$G$952</definedName>
    <definedName name="_xlnm.Print_Area" localSheetId="7">'4.mell.'!$A$1:$G$81</definedName>
    <definedName name="_xlnm.Print_Area" localSheetId="11">'8.mell. '!$A$1:$J$75</definedName>
    <definedName name="_xlnm.Print_Area" localSheetId="12">'9.mell.'!$A$1:$J$62</definedName>
    <definedName name="székház" localSheetId="13">#REF!</definedName>
    <definedName name="székház" localSheetId="14">#REF!</definedName>
    <definedName name="székház" localSheetId="15">#REF!</definedName>
    <definedName name="székház" localSheetId="16">#REF!</definedName>
    <definedName name="székház" localSheetId="17">#REF!</definedName>
    <definedName name="székház" localSheetId="18">#REF!</definedName>
    <definedName name="székház" localSheetId="19">#REF!</definedName>
    <definedName name="székház" localSheetId="20">#REF!</definedName>
    <definedName name="székház" localSheetId="11">#REF!</definedName>
    <definedName name="székház">#REF!</definedName>
    <definedName name="székházbérlők" localSheetId="1">#REF!</definedName>
    <definedName name="székházbérlők" localSheetId="13">#REF!</definedName>
    <definedName name="székházbérlők" localSheetId="14">#REF!</definedName>
    <definedName name="székházbérlők" localSheetId="15">#REF!</definedName>
    <definedName name="székházbérlők" localSheetId="16">#REF!</definedName>
    <definedName name="székházbérlők" localSheetId="17">#REF!</definedName>
    <definedName name="székházbérlők" localSheetId="18">#REF!</definedName>
    <definedName name="székházbérlők" localSheetId="19">#REF!</definedName>
    <definedName name="székházbérlők" localSheetId="20">#REF!</definedName>
    <definedName name="székházbérlők" localSheetId="11">'[5]3-aBevétel'!#REF!</definedName>
    <definedName name="székházbérlők">#REF!</definedName>
    <definedName name="szintrehotzás" localSheetId="13">#REF!</definedName>
    <definedName name="szintrehotzás" localSheetId="14">#REF!</definedName>
    <definedName name="szintrehotzás" localSheetId="15">#REF!</definedName>
    <definedName name="szintrehotzás" localSheetId="16">#REF!</definedName>
    <definedName name="szintrehotzás" localSheetId="17">#REF!</definedName>
    <definedName name="szintrehotzás" localSheetId="18">#REF!</definedName>
    <definedName name="szintrehotzás" localSheetId="19">#REF!</definedName>
    <definedName name="szintrehotzás" localSheetId="20">#REF!</definedName>
    <definedName name="szintrehotzás" localSheetId="11">#REF!</definedName>
    <definedName name="szintrehotzás">#REF!</definedName>
    <definedName name="szintrehozás2" localSheetId="13">#REF!</definedName>
    <definedName name="szintrehozás2" localSheetId="14">#REF!</definedName>
    <definedName name="szintrehozás2" localSheetId="15">#REF!</definedName>
    <definedName name="szintrehozás2" localSheetId="16">#REF!</definedName>
    <definedName name="szintrehozás2" localSheetId="17">#REF!</definedName>
    <definedName name="szintrehozás2" localSheetId="18">#REF!</definedName>
    <definedName name="szintrehozás2" localSheetId="19">#REF!</definedName>
    <definedName name="szintrehozás2" localSheetId="20">#REF!</definedName>
    <definedName name="szintrehozás2" localSheetId="11">#REF!</definedName>
    <definedName name="szintrehozás2">#REF!</definedName>
    <definedName name="szintrhozás2" localSheetId="13">#REF!</definedName>
    <definedName name="szintrhozás2" localSheetId="14">#REF!</definedName>
    <definedName name="szintrhozás2" localSheetId="15">#REF!</definedName>
    <definedName name="szintrhozás2" localSheetId="16">#REF!</definedName>
    <definedName name="szintrhozás2" localSheetId="17">#REF!</definedName>
    <definedName name="szintrhozás2" localSheetId="18">#REF!</definedName>
    <definedName name="szintrhozás2" localSheetId="19">#REF!</definedName>
    <definedName name="szintrhozás2" localSheetId="20">#REF!</definedName>
    <definedName name="szintrhozás2" localSheetId="11">#REF!</definedName>
    <definedName name="szintrhozás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3" i="143" l="1"/>
  <c r="E44" i="47"/>
  <c r="E139" i="126"/>
  <c r="E138" i="126"/>
  <c r="E133" i="126"/>
  <c r="C232" i="143"/>
  <c r="E12" i="49"/>
  <c r="E39" i="47"/>
  <c r="E39" i="48"/>
  <c r="E384" i="44"/>
  <c r="E372" i="44"/>
  <c r="E371" i="44"/>
  <c r="C678" i="143"/>
  <c r="C640" i="143"/>
  <c r="C633" i="143"/>
  <c r="C628" i="143"/>
  <c r="C622" i="143"/>
  <c r="C610" i="143"/>
  <c r="C604" i="143"/>
  <c r="C574" i="143"/>
  <c r="C556" i="143"/>
  <c r="C550" i="143"/>
  <c r="C532" i="143"/>
  <c r="C592" i="143"/>
  <c r="C586" i="143"/>
  <c r="C64" i="143" l="1"/>
  <c r="C6" i="143"/>
  <c r="C410" i="143"/>
  <c r="C58" i="143"/>
  <c r="C490" i="143"/>
  <c r="C585" i="143"/>
  <c r="H40" i="129"/>
  <c r="E146" i="130"/>
  <c r="E100" i="130"/>
  <c r="E93" i="130"/>
  <c r="E83" i="130"/>
  <c r="E84" i="130"/>
  <c r="C369" i="143"/>
  <c r="C508" i="143"/>
  <c r="C351" i="143"/>
  <c r="C352" i="143"/>
  <c r="C297" i="143"/>
  <c r="C249" i="143"/>
  <c r="C285" i="143"/>
  <c r="C261" i="143"/>
  <c r="C243" i="143"/>
  <c r="C237" i="143"/>
  <c r="C363" i="143"/>
  <c r="C489" i="143"/>
  <c r="C76" i="143"/>
  <c r="C375" i="143"/>
  <c r="C393" i="143"/>
  <c r="C627" i="143"/>
  <c r="C591" i="143"/>
  <c r="C573" i="143"/>
  <c r="C701" i="143"/>
  <c r="C472" i="143" l="1"/>
  <c r="C303" i="143"/>
  <c r="C302" i="143" s="1"/>
  <c r="C645" i="143"/>
  <c r="C309" i="143"/>
  <c r="C308" i="143" s="1"/>
  <c r="C441" i="143"/>
  <c r="C440" i="143" s="1"/>
  <c r="C8" i="143"/>
  <c r="C9" i="143"/>
  <c r="C10" i="143"/>
  <c r="C11" i="143"/>
  <c r="C12" i="143"/>
  <c r="C13" i="143"/>
  <c r="C14" i="143"/>
  <c r="C15" i="143"/>
  <c r="C16" i="143"/>
  <c r="C17" i="143"/>
  <c r="C18" i="143"/>
  <c r="C19" i="143"/>
  <c r="C21" i="143"/>
  <c r="C27" i="143"/>
  <c r="C34" i="143"/>
  <c r="C35" i="143"/>
  <c r="C36" i="143"/>
  <c r="C37" i="143"/>
  <c r="C38" i="143"/>
  <c r="C39" i="143"/>
  <c r="C40" i="143"/>
  <c r="C41" i="143"/>
  <c r="C42" i="143"/>
  <c r="C43" i="143"/>
  <c r="C44" i="143"/>
  <c r="C45" i="143"/>
  <c r="C46" i="143"/>
  <c r="C47" i="143"/>
  <c r="C48" i="143"/>
  <c r="C49" i="143"/>
  <c r="C50" i="143"/>
  <c r="C51" i="143"/>
  <c r="C52" i="143"/>
  <c r="C53" i="143"/>
  <c r="C54" i="143"/>
  <c r="C55" i="143"/>
  <c r="C57" i="143"/>
  <c r="C63" i="143"/>
  <c r="C69" i="143"/>
  <c r="C77" i="143"/>
  <c r="C75" i="143" s="1"/>
  <c r="C84" i="143"/>
  <c r="C85" i="143"/>
  <c r="C88" i="143"/>
  <c r="C94" i="143"/>
  <c r="C95" i="143"/>
  <c r="C96" i="143"/>
  <c r="C97" i="143"/>
  <c r="C98" i="143"/>
  <c r="C99" i="143"/>
  <c r="C100" i="143"/>
  <c r="C101" i="143"/>
  <c r="C102" i="143"/>
  <c r="C103" i="143"/>
  <c r="C104" i="143"/>
  <c r="C105" i="143"/>
  <c r="C107" i="143"/>
  <c r="C115" i="143"/>
  <c r="C116" i="143"/>
  <c r="C117" i="143"/>
  <c r="C119" i="143"/>
  <c r="C127" i="143"/>
  <c r="C125" i="143" s="1"/>
  <c r="C132" i="143"/>
  <c r="C131" i="143" s="1"/>
  <c r="C138" i="143"/>
  <c r="C137" i="143" s="1"/>
  <c r="C143" i="143"/>
  <c r="C150" i="143"/>
  <c r="C151" i="143"/>
  <c r="C152" i="143"/>
  <c r="C157" i="143"/>
  <c r="C158" i="143"/>
  <c r="C160" i="143"/>
  <c r="C166" i="143"/>
  <c r="C173" i="143"/>
  <c r="C174" i="143"/>
  <c r="C175" i="143"/>
  <c r="C180" i="143"/>
  <c r="C181" i="143"/>
  <c r="C185" i="143"/>
  <c r="C186" i="143"/>
  <c r="C187" i="143"/>
  <c r="C188" i="143"/>
  <c r="C191" i="143"/>
  <c r="C190" i="143" s="1"/>
  <c r="C197" i="143"/>
  <c r="C198" i="143"/>
  <c r="C199" i="143"/>
  <c r="C200" i="143"/>
  <c r="C201" i="143"/>
  <c r="C202" i="143"/>
  <c r="C203" i="143"/>
  <c r="C206" i="143"/>
  <c r="C207" i="143"/>
  <c r="C208" i="143"/>
  <c r="C209" i="143"/>
  <c r="C210" i="143"/>
  <c r="C211" i="143"/>
  <c r="C212" i="143"/>
  <c r="C213" i="143"/>
  <c r="C214" i="143"/>
  <c r="C215" i="143"/>
  <c r="C216" i="143"/>
  <c r="C217" i="143"/>
  <c r="C218" i="143"/>
  <c r="C219" i="143"/>
  <c r="C220" i="143"/>
  <c r="C221" i="143"/>
  <c r="C222" i="143"/>
  <c r="C223" i="143"/>
  <c r="C224" i="143"/>
  <c r="C225" i="143"/>
  <c r="C226" i="143"/>
  <c r="C227" i="143"/>
  <c r="C228" i="143"/>
  <c r="C229" i="143"/>
  <c r="C230" i="143"/>
  <c r="C231" i="143"/>
  <c r="C233" i="143"/>
  <c r="C234" i="143"/>
  <c r="C238" i="143"/>
  <c r="C239" i="143"/>
  <c r="C248" i="143"/>
  <c r="C254" i="143"/>
  <c r="C260" i="143"/>
  <c r="C266" i="143"/>
  <c r="C272" i="143"/>
  <c r="C278" i="143"/>
  <c r="C284" i="143"/>
  <c r="C290" i="143"/>
  <c r="C296" i="143"/>
  <c r="C314" i="143"/>
  <c r="C320" i="143"/>
  <c r="C328" i="143"/>
  <c r="C333" i="143"/>
  <c r="C339" i="143"/>
  <c r="C340" i="143"/>
  <c r="C345" i="143"/>
  <c r="C346" i="143"/>
  <c r="C350" i="143"/>
  <c r="C356" i="143"/>
  <c r="C362" i="143"/>
  <c r="C370" i="143"/>
  <c r="C368" i="143" s="1"/>
  <c r="C374" i="143"/>
  <c r="C382" i="143"/>
  <c r="C380" i="143" s="1"/>
  <c r="C387" i="143"/>
  <c r="C394" i="143"/>
  <c r="C395" i="143"/>
  <c r="C396" i="143"/>
  <c r="C397" i="143"/>
  <c r="C398" i="143"/>
  <c r="C399" i="143"/>
  <c r="C400" i="143"/>
  <c r="C401" i="143"/>
  <c r="C403" i="143"/>
  <c r="C409" i="143"/>
  <c r="C416" i="143"/>
  <c r="C417" i="143"/>
  <c r="C422" i="143"/>
  <c r="C427" i="143"/>
  <c r="C434" i="143"/>
  <c r="C435" i="143"/>
  <c r="C436" i="143"/>
  <c r="C437" i="143"/>
  <c r="C438" i="143"/>
  <c r="C446" i="143"/>
  <c r="C453" i="143"/>
  <c r="C452" i="143" s="1"/>
  <c r="C458" i="143"/>
  <c r="C464" i="143"/>
  <c r="C471" i="143"/>
  <c r="C476" i="143"/>
  <c r="C482" i="143"/>
  <c r="C494" i="143"/>
  <c r="C501" i="143"/>
  <c r="C500" i="143" s="1"/>
  <c r="C506" i="143"/>
  <c r="C512" i="143"/>
  <c r="C518" i="143"/>
  <c r="C525" i="143"/>
  <c r="C533" i="143"/>
  <c r="C537" i="143"/>
  <c r="C538" i="143"/>
  <c r="C539" i="143"/>
  <c r="C540" i="143"/>
  <c r="C543" i="143"/>
  <c r="C542" i="143" s="1"/>
  <c r="C548" i="143"/>
  <c r="C554" i="143"/>
  <c r="C560" i="143"/>
  <c r="C567" i="143"/>
  <c r="C566" i="143" s="1"/>
  <c r="C575" i="143"/>
  <c r="C576" i="143"/>
  <c r="C578" i="143"/>
  <c r="C584" i="143"/>
  <c r="C590" i="143"/>
  <c r="C596" i="143"/>
  <c r="C602" i="143"/>
  <c r="C608" i="143"/>
  <c r="C614" i="143"/>
  <c r="C620" i="143"/>
  <c r="C629" i="143"/>
  <c r="C626" i="143" s="1"/>
  <c r="C632" i="143"/>
  <c r="C638" i="143"/>
  <c r="C651" i="143"/>
  <c r="C652" i="143"/>
  <c r="C653" i="143"/>
  <c r="C654" i="143"/>
  <c r="C655" i="143"/>
  <c r="C656" i="143"/>
  <c r="C657" i="143"/>
  <c r="C658" i="143"/>
  <c r="C659" i="143"/>
  <c r="C660" i="143"/>
  <c r="C661" i="143"/>
  <c r="C662" i="143"/>
  <c r="C663" i="143"/>
  <c r="C664" i="143"/>
  <c r="C665" i="143"/>
  <c r="C666" i="143"/>
  <c r="C667" i="143"/>
  <c r="C668" i="143"/>
  <c r="C671" i="143"/>
  <c r="C670" i="143" s="1"/>
  <c r="C676" i="143"/>
  <c r="C682" i="143"/>
  <c r="C688" i="143"/>
  <c r="C695" i="143"/>
  <c r="C700" i="143"/>
  <c r="C369" i="144"/>
  <c r="C57" i="144"/>
  <c r="C82" i="144"/>
  <c r="C81" i="144"/>
  <c r="C80" i="144"/>
  <c r="C79" i="144"/>
  <c r="C78" i="144"/>
  <c r="C77" i="144"/>
  <c r="C76" i="144"/>
  <c r="C75" i="144"/>
  <c r="C97" i="144"/>
  <c r="C96" i="144"/>
  <c r="C95" i="144"/>
  <c r="C94" i="144"/>
  <c r="C93" i="144"/>
  <c r="C92" i="144"/>
  <c r="C91" i="144"/>
  <c r="O16" i="137"/>
  <c r="O14" i="137"/>
  <c r="O10" i="137"/>
  <c r="O12" i="137"/>
  <c r="O8" i="137"/>
  <c r="O6" i="137"/>
  <c r="E175" i="134"/>
  <c r="E176" i="134"/>
  <c r="H62" i="134"/>
  <c r="D24" i="135"/>
  <c r="D25" i="135"/>
  <c r="E438" i="44"/>
  <c r="E43" i="44"/>
  <c r="E77" i="44"/>
  <c r="E23" i="125"/>
  <c r="E107" i="44"/>
  <c r="E388" i="44"/>
  <c r="E313" i="44"/>
  <c r="E832" i="44"/>
  <c r="E286" i="44"/>
  <c r="E283" i="44"/>
  <c r="E117" i="44"/>
  <c r="E102" i="44"/>
  <c r="E66" i="43"/>
  <c r="E23" i="43"/>
  <c r="C90" i="144" l="1"/>
  <c r="C242" i="143"/>
  <c r="C149" i="143"/>
  <c r="C392" i="143"/>
  <c r="C178" i="143"/>
  <c r="C536" i="143"/>
  <c r="C386" i="143"/>
  <c r="C332" i="143"/>
  <c r="C421" i="143"/>
  <c r="C530" i="143"/>
  <c r="C572" i="143"/>
  <c r="C694" i="143"/>
  <c r="C524" i="143"/>
  <c r="C326" i="143"/>
  <c r="C196" i="143"/>
  <c r="C33" i="143"/>
  <c r="C172" i="143"/>
  <c r="C236" i="143"/>
  <c r="C433" i="143"/>
  <c r="C113" i="143"/>
  <c r="C650" i="143"/>
  <c r="C415" i="143"/>
  <c r="C344" i="143"/>
  <c r="C338" i="143"/>
  <c r="C205" i="143"/>
  <c r="C184" i="143"/>
  <c r="C93" i="143"/>
  <c r="C470" i="143"/>
  <c r="C644" i="143"/>
  <c r="L135" i="134" l="1"/>
  <c r="L128" i="134"/>
  <c r="L96" i="134"/>
  <c r="L88" i="134"/>
  <c r="L86" i="134"/>
  <c r="L72" i="134"/>
  <c r="L62" i="134"/>
  <c r="L59" i="134"/>
  <c r="L47" i="134"/>
  <c r="L45" i="134"/>
  <c r="L41" i="134"/>
  <c r="L10" i="134"/>
  <c r="L175" i="134"/>
  <c r="D170" i="134"/>
  <c r="D152" i="134"/>
  <c r="C25" i="135" l="1"/>
  <c r="C24" i="135"/>
  <c r="E180" i="134"/>
  <c r="F180" i="134"/>
  <c r="G180" i="134"/>
  <c r="H180" i="134"/>
  <c r="I180" i="134"/>
  <c r="J180" i="134"/>
  <c r="K180" i="134"/>
  <c r="L180" i="134"/>
  <c r="M180" i="134"/>
  <c r="N180" i="134"/>
  <c r="C152" i="134"/>
  <c r="C71" i="134"/>
  <c r="C70" i="134"/>
  <c r="C69" i="134"/>
  <c r="C68" i="134"/>
  <c r="C66" i="134"/>
  <c r="C65" i="134"/>
  <c r="C64" i="134"/>
  <c r="C63" i="134"/>
  <c r="C174" i="134"/>
  <c r="C175" i="134"/>
  <c r="C178" i="134"/>
  <c r="C7" i="135"/>
  <c r="C11" i="135"/>
  <c r="C12" i="135"/>
  <c r="C13" i="135"/>
  <c r="C14" i="135"/>
  <c r="C15" i="135"/>
  <c r="C16" i="135"/>
  <c r="C17" i="135"/>
  <c r="C18" i="135"/>
  <c r="C19" i="135"/>
  <c r="C20" i="135"/>
  <c r="C21" i="135"/>
  <c r="C22" i="135"/>
  <c r="C23" i="135"/>
  <c r="C26" i="135"/>
  <c r="C27" i="135"/>
  <c r="C28" i="135"/>
  <c r="C29" i="135"/>
  <c r="C31" i="135"/>
  <c r="C32" i="135"/>
  <c r="C33" i="135"/>
  <c r="C34" i="135"/>
  <c r="C35" i="135"/>
  <c r="C36" i="135"/>
  <c r="C37" i="135"/>
  <c r="C38" i="135"/>
  <c r="C40" i="135"/>
  <c r="C41" i="135"/>
  <c r="C42" i="135"/>
  <c r="C43" i="135"/>
  <c r="C45" i="135"/>
  <c r="C46" i="135"/>
  <c r="C47" i="135"/>
  <c r="C48" i="135"/>
  <c r="C49" i="135"/>
  <c r="C50" i="135"/>
  <c r="C51" i="135"/>
  <c r="C52" i="135"/>
  <c r="C53" i="135"/>
  <c r="C54" i="135"/>
  <c r="C55" i="135"/>
  <c r="C56" i="135"/>
  <c r="C57" i="135"/>
  <c r="C58" i="135"/>
  <c r="C59" i="135"/>
  <c r="C60" i="135"/>
  <c r="C11" i="134"/>
  <c r="C12" i="134"/>
  <c r="C13" i="134"/>
  <c r="C15" i="134"/>
  <c r="C19" i="134"/>
  <c r="C20" i="134"/>
  <c r="C21" i="134"/>
  <c r="C22" i="134"/>
  <c r="C23" i="134"/>
  <c r="C24" i="134"/>
  <c r="C25" i="134"/>
  <c r="C26" i="134"/>
  <c r="C27" i="134"/>
  <c r="C28" i="134"/>
  <c r="C29" i="134"/>
  <c r="C30" i="134"/>
  <c r="C31" i="134"/>
  <c r="C32" i="134"/>
  <c r="C33" i="134"/>
  <c r="C34" i="134"/>
  <c r="C35" i="134"/>
  <c r="C36" i="134"/>
  <c r="C37" i="134"/>
  <c r="C38" i="134"/>
  <c r="C40" i="134"/>
  <c r="C42" i="134"/>
  <c r="C43" i="134"/>
  <c r="C46" i="134"/>
  <c r="C45" i="134" s="1"/>
  <c r="C48" i="134"/>
  <c r="C49" i="134"/>
  <c r="C50" i="134"/>
  <c r="C51" i="134"/>
  <c r="C52" i="134"/>
  <c r="C53" i="134"/>
  <c r="C54" i="134"/>
  <c r="C55" i="134"/>
  <c r="C60" i="134"/>
  <c r="C61" i="134"/>
  <c r="C73" i="134"/>
  <c r="C74" i="134"/>
  <c r="C75" i="134"/>
  <c r="C76" i="134"/>
  <c r="C77" i="134"/>
  <c r="C78" i="134"/>
  <c r="C79" i="134"/>
  <c r="C80" i="134"/>
  <c r="C81" i="134"/>
  <c r="C82" i="134"/>
  <c r="C83" i="134"/>
  <c r="C84" i="134"/>
  <c r="C85" i="134"/>
  <c r="C87" i="134"/>
  <c r="C86" i="134" s="1"/>
  <c r="C89" i="134"/>
  <c r="C90" i="134"/>
  <c r="C91" i="134"/>
  <c r="C92" i="134"/>
  <c r="C93" i="134"/>
  <c r="C94" i="134"/>
  <c r="C95" i="134"/>
  <c r="C99" i="134"/>
  <c r="C100" i="134"/>
  <c r="C101" i="134"/>
  <c r="C102" i="134"/>
  <c r="C103" i="134"/>
  <c r="C104" i="134"/>
  <c r="C106" i="134"/>
  <c r="C107" i="134"/>
  <c r="C108" i="134"/>
  <c r="C109" i="134"/>
  <c r="C110" i="134"/>
  <c r="C111" i="134"/>
  <c r="C112" i="134"/>
  <c r="C113" i="134"/>
  <c r="C114" i="134"/>
  <c r="C115" i="134"/>
  <c r="C116" i="134"/>
  <c r="C117" i="134"/>
  <c r="C118" i="134"/>
  <c r="C119" i="134"/>
  <c r="C120" i="134"/>
  <c r="C121" i="134"/>
  <c r="C122" i="134"/>
  <c r="C123" i="134"/>
  <c r="C124" i="134"/>
  <c r="C129" i="134"/>
  <c r="C130" i="134"/>
  <c r="C131" i="134"/>
  <c r="C132" i="134"/>
  <c r="C133" i="134"/>
  <c r="C136" i="134"/>
  <c r="C137" i="134"/>
  <c r="C138" i="134"/>
  <c r="C139" i="134"/>
  <c r="C140" i="134"/>
  <c r="C141" i="134"/>
  <c r="C142" i="134"/>
  <c r="C143" i="134"/>
  <c r="C144" i="134"/>
  <c r="C145" i="134"/>
  <c r="C146" i="134"/>
  <c r="C147" i="134"/>
  <c r="C148" i="134"/>
  <c r="C149" i="134"/>
  <c r="C153" i="134"/>
  <c r="C154" i="134"/>
  <c r="C156" i="134"/>
  <c r="C157" i="134"/>
  <c r="C158" i="134"/>
  <c r="C159" i="134"/>
  <c r="C160" i="134"/>
  <c r="C161" i="134"/>
  <c r="C162" i="134"/>
  <c r="C164" i="134"/>
  <c r="C165" i="134"/>
  <c r="C166" i="134"/>
  <c r="C171" i="134"/>
  <c r="C172" i="134"/>
  <c r="C173" i="134"/>
  <c r="C176" i="134"/>
  <c r="C177" i="134"/>
  <c r="D39" i="129"/>
  <c r="D35" i="129"/>
  <c r="E219" i="128"/>
  <c r="E227" i="128"/>
  <c r="E181" i="128"/>
  <c r="C47" i="134" l="1"/>
  <c r="C128" i="134"/>
  <c r="C88" i="134"/>
  <c r="C72" i="134"/>
  <c r="C135" i="134"/>
  <c r="C59" i="134"/>
  <c r="E716" i="126" l="1"/>
  <c r="E606" i="126"/>
  <c r="E527" i="126"/>
  <c r="E494" i="126"/>
  <c r="E495" i="126"/>
  <c r="E308" i="126"/>
  <c r="E273" i="126"/>
  <c r="E238" i="126"/>
  <c r="E203" i="126"/>
  <c r="E168" i="126"/>
  <c r="E98" i="126"/>
  <c r="E722" i="126"/>
  <c r="E721" i="126"/>
  <c r="E534" i="126"/>
  <c r="E533" i="126"/>
  <c r="E498" i="126"/>
  <c r="E249" i="126"/>
  <c r="E18" i="128" l="1"/>
  <c r="E180" i="128"/>
  <c r="E122" i="128"/>
  <c r="E12" i="128" l="1"/>
  <c r="E13" i="128" l="1"/>
  <c r="E42" i="43" l="1"/>
  <c r="E41" i="43"/>
  <c r="E22" i="43" l="1"/>
  <c r="E21" i="43"/>
  <c r="E791" i="44" l="1"/>
  <c r="E759" i="44"/>
  <c r="E729" i="44"/>
  <c r="E610" i="44"/>
  <c r="E560" i="44"/>
  <c r="E615" i="126" l="1"/>
  <c r="E610" i="126"/>
  <c r="E609" i="126"/>
  <c r="E608" i="126"/>
  <c r="E603" i="126"/>
  <c r="E502" i="126"/>
  <c r="E538" i="126"/>
  <c r="E532" i="126"/>
  <c r="E497" i="126"/>
  <c r="E496" i="126"/>
  <c r="E490" i="126"/>
  <c r="E399" i="126"/>
  <c r="E387" i="126"/>
  <c r="E386" i="126"/>
  <c r="E380" i="126"/>
  <c r="E319" i="126"/>
  <c r="E315" i="126"/>
  <c r="E314" i="126"/>
  <c r="E313" i="126"/>
  <c r="E279" i="126"/>
  <c r="E278" i="126"/>
  <c r="E244" i="126"/>
  <c r="E243" i="126"/>
  <c r="E209" i="126"/>
  <c r="E208" i="126"/>
  <c r="E174" i="126"/>
  <c r="E173" i="126"/>
  <c r="E109" i="126"/>
  <c r="E104" i="126"/>
  <c r="E103" i="126"/>
  <c r="E69" i="126"/>
  <c r="E68" i="126"/>
  <c r="E63" i="126"/>
  <c r="E34" i="126"/>
  <c r="E33" i="126"/>
  <c r="E28" i="126"/>
  <c r="E478" i="126"/>
  <c r="E479" i="126"/>
  <c r="E475" i="126"/>
  <c r="E753" i="126"/>
  <c r="E723" i="126" l="1"/>
  <c r="E648" i="126"/>
  <c r="E647" i="126"/>
  <c r="E646" i="126"/>
  <c r="E388" i="126"/>
  <c r="E280" i="126"/>
  <c r="E245" i="126"/>
  <c r="E210" i="126"/>
  <c r="E179" i="126"/>
  <c r="E175" i="126"/>
  <c r="E144" i="126"/>
  <c r="E140" i="126"/>
  <c r="E105" i="126"/>
  <c r="E35" i="126"/>
  <c r="E11" i="128" l="1"/>
  <c r="E10" i="128"/>
  <c r="E78" i="130"/>
  <c r="C83" i="143" l="1"/>
  <c r="C170" i="134"/>
  <c r="E419" i="126"/>
  <c r="E417" i="126"/>
  <c r="E415" i="126"/>
  <c r="E414" i="126"/>
  <c r="E413" i="126"/>
  <c r="E396" i="126" l="1"/>
  <c r="E395" i="126"/>
  <c r="E394" i="126"/>
  <c r="E70" i="126" l="1"/>
  <c r="E641" i="126" l="1"/>
  <c r="E642" i="126" s="1"/>
  <c r="E311" i="126"/>
  <c r="E171" i="126"/>
  <c r="E136" i="126"/>
  <c r="E101" i="126"/>
  <c r="E46" i="125" l="1"/>
  <c r="E45" i="125"/>
  <c r="E42" i="125"/>
  <c r="E40" i="125" s="1"/>
  <c r="E26" i="125"/>
  <c r="E16" i="125"/>
  <c r="E14" i="125"/>
  <c r="E10" i="125"/>
  <c r="E73" i="125" s="1"/>
  <c r="E749" i="44"/>
  <c r="E318" i="44"/>
  <c r="E322" i="44"/>
  <c r="E932" i="44"/>
  <c r="E912" i="44"/>
  <c r="E861" i="44"/>
  <c r="E860" i="44"/>
  <c r="E852" i="44"/>
  <c r="E851" i="44"/>
  <c r="E850" i="44"/>
  <c r="E842" i="44"/>
  <c r="E841" i="44"/>
  <c r="E840" i="44"/>
  <c r="E831" i="44"/>
  <c r="E830" i="44"/>
  <c r="E813" i="44"/>
  <c r="E801" i="44"/>
  <c r="E794" i="44"/>
  <c r="E739" i="44"/>
  <c r="E699" i="44"/>
  <c r="E689" i="44"/>
  <c r="E669" i="44"/>
  <c r="E639" i="44"/>
  <c r="E629" i="44"/>
  <c r="E600" i="44"/>
  <c r="E580" i="44"/>
  <c r="E570" i="44"/>
  <c r="E539" i="44"/>
  <c r="E520" i="44"/>
  <c r="E499" i="44"/>
  <c r="E451" i="44"/>
  <c r="E447" i="44"/>
  <c r="E446" i="44"/>
  <c r="E437" i="44"/>
  <c r="E410" i="44"/>
  <c r="E398" i="44"/>
  <c r="E377" i="44"/>
  <c r="E364" i="44" l="1"/>
  <c r="E343" i="44"/>
  <c r="E333" i="44"/>
  <c r="E326" i="44"/>
  <c r="E323" i="44"/>
  <c r="E321" i="44"/>
  <c r="E312" i="44"/>
  <c r="E311" i="44"/>
  <c r="E303" i="44"/>
  <c r="E291" i="44"/>
  <c r="E293" i="44"/>
  <c r="E292" i="44"/>
  <c r="E281" i="44"/>
  <c r="E282" i="44"/>
  <c r="E268" i="44"/>
  <c r="E269" i="44"/>
  <c r="E259" i="44"/>
  <c r="E231" i="44"/>
  <c r="E227" i="44"/>
  <c r="E168" i="44"/>
  <c r="E148" i="44"/>
  <c r="E137" i="44"/>
  <c r="E127" i="44"/>
  <c r="E86" i="44"/>
  <c r="E74" i="44"/>
  <c r="E64" i="44"/>
  <c r="E59" i="44"/>
  <c r="E53" i="44"/>
  <c r="E33" i="44"/>
  <c r="E23" i="44"/>
  <c r="E62" i="130"/>
  <c r="C7" i="143" l="1"/>
  <c r="C163" i="134"/>
  <c r="E63" i="43"/>
  <c r="E27" i="43"/>
  <c r="E26" i="43"/>
  <c r="E15" i="43"/>
  <c r="E12" i="43"/>
  <c r="C5" i="143" l="1"/>
  <c r="H57" i="129"/>
  <c r="D50" i="129"/>
  <c r="D52" i="129"/>
  <c r="E109" i="130"/>
  <c r="F176" i="128"/>
  <c r="F152" i="128"/>
  <c r="F150" i="128"/>
  <c r="F148" i="128"/>
  <c r="F143" i="128"/>
  <c r="F142" i="128"/>
  <c r="F122" i="128"/>
  <c r="F113" i="128"/>
  <c r="F107" i="128"/>
  <c r="F98" i="128"/>
  <c r="F97" i="128"/>
  <c r="F96" i="128"/>
  <c r="F95" i="128"/>
  <c r="F88" i="128"/>
  <c r="F76" i="128"/>
  <c r="F70" i="128"/>
  <c r="F69" i="128"/>
  <c r="F67" i="128"/>
  <c r="F64" i="128"/>
  <c r="F63" i="128"/>
  <c r="F62" i="128"/>
  <c r="F58" i="128"/>
  <c r="F57" i="128"/>
  <c r="F56" i="128"/>
  <c r="F54" i="128"/>
  <c r="F51" i="128"/>
  <c r="F50" i="128"/>
  <c r="F48" i="128"/>
  <c r="F47" i="128"/>
  <c r="F41" i="128"/>
  <c r="F40" i="128"/>
  <c r="F38" i="128"/>
  <c r="F37" i="128"/>
  <c r="F36" i="128"/>
  <c r="F32" i="128"/>
  <c r="F30" i="128"/>
  <c r="F28" i="128"/>
  <c r="F26" i="128"/>
  <c r="F25" i="128"/>
  <c r="F18" i="128"/>
  <c r="F13" i="128"/>
  <c r="F12" i="128"/>
  <c r="F11" i="128"/>
  <c r="F10" i="128"/>
  <c r="E9" i="128"/>
  <c r="E22" i="128" s="1"/>
  <c r="E24" i="128"/>
  <c r="E27" i="128"/>
  <c r="E31" i="128"/>
  <c r="E49" i="128"/>
  <c r="E55" i="128"/>
  <c r="E61" i="128"/>
  <c r="E66" i="128"/>
  <c r="E84" i="128"/>
  <c r="E91" i="128"/>
  <c r="E102" i="128"/>
  <c r="E104" i="128"/>
  <c r="E109" i="128" s="1"/>
  <c r="E111" i="128"/>
  <c r="E126" i="128"/>
  <c r="E130" i="128"/>
  <c r="E139" i="128"/>
  <c r="E141" i="128"/>
  <c r="E145" i="128" s="1"/>
  <c r="E147" i="128"/>
  <c r="E158" i="128" s="1"/>
  <c r="E162" i="128"/>
  <c r="E169" i="128"/>
  <c r="E173" i="128"/>
  <c r="E178" i="128"/>
  <c r="E183" i="128"/>
  <c r="E187" i="128"/>
  <c r="E221" i="128"/>
  <c r="E246" i="128"/>
  <c r="D9" i="129" s="1"/>
  <c r="E247" i="128"/>
  <c r="E249" i="128"/>
  <c r="E250" i="128"/>
  <c r="E263" i="128"/>
  <c r="D23" i="129" s="1"/>
  <c r="E279" i="128"/>
  <c r="E280" i="128"/>
  <c r="E281" i="128"/>
  <c r="E282" i="128"/>
  <c r="E283" i="128"/>
  <c r="E292" i="128"/>
  <c r="E294" i="128"/>
  <c r="E302" i="128"/>
  <c r="E303" i="128"/>
  <c r="E44" i="130"/>
  <c r="E45" i="130"/>
  <c r="E46" i="130"/>
  <c r="E51" i="130"/>
  <c r="E52" i="130"/>
  <c r="E54" i="130"/>
  <c r="E56" i="130"/>
  <c r="E57" i="130"/>
  <c r="E70" i="130"/>
  <c r="E72" i="130"/>
  <c r="E75" i="130"/>
  <c r="E82" i="130"/>
  <c r="E113" i="130"/>
  <c r="E148" i="130"/>
  <c r="E150" i="130"/>
  <c r="H50" i="129" s="1"/>
  <c r="O38" i="137" s="1"/>
  <c r="E152" i="130"/>
  <c r="E153" i="130"/>
  <c r="F104" i="130"/>
  <c r="F68" i="130"/>
  <c r="F66" i="130"/>
  <c r="F64" i="130"/>
  <c r="F62" i="130"/>
  <c r="C156" i="143" l="1"/>
  <c r="C155" i="143" s="1"/>
  <c r="C169" i="134"/>
  <c r="C89" i="143"/>
  <c r="C87" i="143" s="1"/>
  <c r="C168" i="134"/>
  <c r="C82" i="143"/>
  <c r="C81" i="143" s="1"/>
  <c r="C167" i="134"/>
  <c r="D45" i="129"/>
  <c r="E43" i="128"/>
  <c r="E255" i="128"/>
  <c r="E118" i="128"/>
  <c r="E254" i="128"/>
  <c r="E285" i="128"/>
  <c r="E245" i="128"/>
  <c r="H13" i="129"/>
  <c r="E164" i="128"/>
  <c r="E256" i="128"/>
  <c r="E287" i="128"/>
  <c r="E45" i="128"/>
  <c r="E29" i="126"/>
  <c r="E38" i="126"/>
  <c r="E42" i="126"/>
  <c r="E64" i="126"/>
  <c r="E73" i="126"/>
  <c r="E77" i="126"/>
  <c r="E99" i="126"/>
  <c r="E102" i="126" s="1"/>
  <c r="E108" i="126"/>
  <c r="E112" i="126"/>
  <c r="E134" i="126"/>
  <c r="E143" i="126"/>
  <c r="E147" i="126"/>
  <c r="E169" i="126"/>
  <c r="E178" i="126"/>
  <c r="E182" i="126"/>
  <c r="E204" i="126"/>
  <c r="E213" i="126"/>
  <c r="E217" i="126"/>
  <c r="E239" i="126"/>
  <c r="E241" i="126"/>
  <c r="E248" i="126"/>
  <c r="E252" i="126"/>
  <c r="E274" i="126"/>
  <c r="E283" i="126"/>
  <c r="E287" i="126"/>
  <c r="E309" i="126"/>
  <c r="E318" i="126"/>
  <c r="E322" i="126"/>
  <c r="E325" i="126"/>
  <c r="E733" i="126" s="1"/>
  <c r="E326" i="126"/>
  <c r="E329" i="126"/>
  <c r="E330" i="126"/>
  <c r="E331" i="126"/>
  <c r="E332" i="126"/>
  <c r="E333" i="126"/>
  <c r="E334" i="126"/>
  <c r="E335" i="126"/>
  <c r="E336" i="126"/>
  <c r="E338" i="126"/>
  <c r="E340" i="126"/>
  <c r="E442" i="126" s="1"/>
  <c r="E342" i="126"/>
  <c r="E343" i="126"/>
  <c r="E345" i="126"/>
  <c r="E348" i="126"/>
  <c r="E349" i="126"/>
  <c r="E350" i="126"/>
  <c r="E351" i="126"/>
  <c r="E352" i="126"/>
  <c r="E354" i="126"/>
  <c r="E355" i="126"/>
  <c r="E356" i="126"/>
  <c r="E462" i="126" s="1"/>
  <c r="E363" i="126"/>
  <c r="E366" i="126"/>
  <c r="E438" i="126" s="1"/>
  <c r="E368" i="126"/>
  <c r="E377" i="126"/>
  <c r="E449" i="126" s="1"/>
  <c r="E382" i="126"/>
  <c r="E391" i="126"/>
  <c r="E392" i="126"/>
  <c r="E412" i="126"/>
  <c r="E436" i="126"/>
  <c r="E437" i="126"/>
  <c r="E439" i="126"/>
  <c r="E441" i="126"/>
  <c r="E443" i="126"/>
  <c r="E444" i="126"/>
  <c r="E452" i="126"/>
  <c r="E454" i="126"/>
  <c r="E474" i="126"/>
  <c r="E484" i="126" s="1"/>
  <c r="E492" i="126"/>
  <c r="E501" i="126"/>
  <c r="E505" i="126"/>
  <c r="E521" i="126"/>
  <c r="E523" i="126" s="1"/>
  <c r="E528" i="126"/>
  <c r="E537" i="126"/>
  <c r="E541" i="126"/>
  <c r="E548" i="126"/>
  <c r="E549" i="126"/>
  <c r="E550" i="126"/>
  <c r="E551" i="126"/>
  <c r="E552" i="126"/>
  <c r="E553" i="126"/>
  <c r="E554" i="126"/>
  <c r="E555" i="126"/>
  <c r="E556" i="126"/>
  <c r="E558" i="126"/>
  <c r="E560" i="126"/>
  <c r="E561" i="126" s="1"/>
  <c r="E562" i="126"/>
  <c r="E563" i="126"/>
  <c r="E564" i="126"/>
  <c r="E565" i="126"/>
  <c r="E567" i="126"/>
  <c r="E570" i="126"/>
  <c r="E571" i="126"/>
  <c r="E572" i="126"/>
  <c r="E573" i="126"/>
  <c r="E574" i="126"/>
  <c r="E576" i="126"/>
  <c r="E577" i="126"/>
  <c r="E586" i="126"/>
  <c r="E604" i="126"/>
  <c r="E613" i="126"/>
  <c r="E618" i="126"/>
  <c r="E624" i="126"/>
  <c r="E634" i="126" s="1"/>
  <c r="E651" i="126"/>
  <c r="E655" i="126"/>
  <c r="E661" i="126"/>
  <c r="E671" i="126" s="1"/>
  <c r="E679" i="126"/>
  <c r="E688" i="126"/>
  <c r="E692" i="126"/>
  <c r="E697" i="126"/>
  <c r="E699" i="126"/>
  <c r="E717" i="126"/>
  <c r="E726" i="126"/>
  <c r="E730" i="126"/>
  <c r="E738" i="126"/>
  <c r="E739" i="126"/>
  <c r="E754" i="126"/>
  <c r="E773" i="126"/>
  <c r="F652" i="126"/>
  <c r="F648" i="126"/>
  <c r="F647" i="126"/>
  <c r="F646" i="126"/>
  <c r="F641" i="126"/>
  <c r="F630" i="126"/>
  <c r="F629" i="126"/>
  <c r="F625" i="126"/>
  <c r="F615" i="126"/>
  <c r="F610" i="126"/>
  <c r="F609" i="126"/>
  <c r="F608" i="126"/>
  <c r="F603" i="126"/>
  <c r="F591" i="126"/>
  <c r="F587" i="126"/>
  <c r="F538" i="126"/>
  <c r="F535" i="126"/>
  <c r="F534" i="126"/>
  <c r="F533" i="126"/>
  <c r="F532" i="126"/>
  <c r="F527" i="126"/>
  <c r="F517" i="126"/>
  <c r="F516" i="126"/>
  <c r="F515" i="126"/>
  <c r="F502" i="126"/>
  <c r="F498" i="126"/>
  <c r="F497" i="126"/>
  <c r="F496" i="126"/>
  <c r="F491" i="126"/>
  <c r="F490" i="126"/>
  <c r="F479" i="126"/>
  <c r="F478" i="126"/>
  <c r="F475" i="126"/>
  <c r="F388" i="126"/>
  <c r="F387" i="126"/>
  <c r="F386" i="126"/>
  <c r="F381" i="126"/>
  <c r="F367" i="126"/>
  <c r="F365" i="126"/>
  <c r="F364" i="126"/>
  <c r="F319" i="126"/>
  <c r="F315" i="126"/>
  <c r="F314" i="126"/>
  <c r="F313" i="126"/>
  <c r="F308" i="126"/>
  <c r="F284" i="126"/>
  <c r="F280" i="126"/>
  <c r="F279" i="126"/>
  <c r="F278" i="126"/>
  <c r="F273" i="126"/>
  <c r="F249" i="126"/>
  <c r="F245" i="126"/>
  <c r="F244" i="126"/>
  <c r="F243" i="126"/>
  <c r="F238" i="126"/>
  <c r="F214" i="126"/>
  <c r="F210" i="126"/>
  <c r="F209" i="126"/>
  <c r="F208" i="126"/>
  <c r="F203" i="126"/>
  <c r="F179" i="126"/>
  <c r="F175" i="126"/>
  <c r="F174" i="126"/>
  <c r="F173" i="126"/>
  <c r="F168" i="126"/>
  <c r="F144" i="126"/>
  <c r="F140" i="126"/>
  <c r="F139" i="126"/>
  <c r="F138" i="126"/>
  <c r="F133" i="126"/>
  <c r="F109" i="126"/>
  <c r="F105" i="126"/>
  <c r="F104" i="126"/>
  <c r="F103" i="126"/>
  <c r="F98" i="126"/>
  <c r="F74" i="126"/>
  <c r="F70" i="126"/>
  <c r="F69" i="126"/>
  <c r="F68" i="126"/>
  <c r="F63" i="126"/>
  <c r="F39" i="126"/>
  <c r="F35" i="126"/>
  <c r="F34" i="126"/>
  <c r="F33" i="126"/>
  <c r="F28" i="126"/>
  <c r="E16" i="49"/>
  <c r="E20" i="49"/>
  <c r="D16" i="129" l="1"/>
  <c r="E14" i="49"/>
  <c r="D41" i="129"/>
  <c r="D18" i="129"/>
  <c r="D17" i="129"/>
  <c r="D47" i="129"/>
  <c r="E120" i="128"/>
  <c r="E189" i="128"/>
  <c r="E596" i="126"/>
  <c r="E693" i="126"/>
  <c r="D8" i="129"/>
  <c r="E619" i="126"/>
  <c r="E741" i="126"/>
  <c r="E506" i="126"/>
  <c r="E253" i="126"/>
  <c r="E547" i="126"/>
  <c r="E557" i="126" s="1"/>
  <c r="E559" i="126" s="1"/>
  <c r="E373" i="126"/>
  <c r="E375" i="126" s="1"/>
  <c r="E385" i="126" s="1"/>
  <c r="E673" i="126"/>
  <c r="E747" i="126"/>
  <c r="E755" i="126"/>
  <c r="E450" i="126"/>
  <c r="E731" i="126"/>
  <c r="E746" i="126"/>
  <c r="E198" i="128"/>
  <c r="E260" i="128" s="1"/>
  <c r="D20" i="129" s="1"/>
  <c r="E768" i="126"/>
  <c r="E568" i="126"/>
  <c r="E743" i="126"/>
  <c r="E242" i="126"/>
  <c r="E113" i="126"/>
  <c r="E486" i="126"/>
  <c r="E341" i="126"/>
  <c r="E218" i="126"/>
  <c r="E129" i="130"/>
  <c r="E751" i="126"/>
  <c r="E636" i="126"/>
  <c r="E760" i="126"/>
  <c r="E748" i="126"/>
  <c r="E744" i="126"/>
  <c r="E327" i="126"/>
  <c r="E183" i="126"/>
  <c r="E229" i="128"/>
  <c r="E293" i="128" s="1"/>
  <c r="E758" i="126"/>
  <c r="E463" i="126"/>
  <c r="E742" i="126"/>
  <c r="E709" i="126"/>
  <c r="E579" i="126"/>
  <c r="E440" i="126"/>
  <c r="E745" i="126" s="1"/>
  <c r="E435" i="126"/>
  <c r="E288" i="126"/>
  <c r="E656" i="126"/>
  <c r="E542" i="126"/>
  <c r="E465" i="126"/>
  <c r="E771" i="126" s="1"/>
  <c r="E193" i="128"/>
  <c r="E429" i="126"/>
  <c r="E148" i="126"/>
  <c r="C67" i="134" s="1"/>
  <c r="C62" i="134" s="1"/>
  <c r="E460" i="126"/>
  <c r="E78" i="126"/>
  <c r="E353" i="126"/>
  <c r="E43" i="126"/>
  <c r="E461" i="126"/>
  <c r="E531" i="126"/>
  <c r="E566" i="126"/>
  <c r="E346" i="126"/>
  <c r="E312" i="126"/>
  <c r="E277" i="126"/>
  <c r="E207" i="126"/>
  <c r="E172" i="126"/>
  <c r="E453" i="126"/>
  <c r="E137" i="126"/>
  <c r="E456" i="126"/>
  <c r="E762" i="126" s="1"/>
  <c r="E67" i="126"/>
  <c r="E344" i="126"/>
  <c r="E32" i="126"/>
  <c r="E72" i="128"/>
  <c r="E258" i="128"/>
  <c r="E575" i="126"/>
  <c r="E459" i="126"/>
  <c r="E451" i="126"/>
  <c r="E757" i="126" s="1"/>
  <c r="E357" i="126"/>
  <c r="E466" i="126"/>
  <c r="E328" i="126"/>
  <c r="E323" i="126"/>
  <c r="E26" i="49"/>
  <c r="E296" i="128" l="1"/>
  <c r="E598" i="126"/>
  <c r="H14" i="129"/>
  <c r="D19" i="129"/>
  <c r="D44" i="129"/>
  <c r="D40" i="129"/>
  <c r="D48" i="129" s="1"/>
  <c r="E85" i="130"/>
  <c r="E756" i="126"/>
  <c r="E204" i="128"/>
  <c r="E265" i="128" s="1"/>
  <c r="D25" i="129" s="1"/>
  <c r="E200" i="128"/>
  <c r="E203" i="128"/>
  <c r="E264" i="128" s="1"/>
  <c r="D24" i="129" s="1"/>
  <c r="E202" i="128"/>
  <c r="E262" i="128" s="1"/>
  <c r="D22" i="129" s="1"/>
  <c r="E205" i="128"/>
  <c r="E266" i="128" s="1"/>
  <c r="D26" i="129" s="1"/>
  <c r="E445" i="126"/>
  <c r="E201" i="128"/>
  <c r="E740" i="126"/>
  <c r="E607" i="126"/>
  <c r="E433" i="126"/>
  <c r="E645" i="126"/>
  <c r="E207" i="128"/>
  <c r="E268" i="128" s="1"/>
  <c r="D28" i="129" s="1"/>
  <c r="E231" i="128"/>
  <c r="E304" i="128" s="1"/>
  <c r="D53" i="129" s="1"/>
  <c r="E212" i="128"/>
  <c r="E214" i="128" s="1"/>
  <c r="E273" i="128" s="1"/>
  <c r="E769" i="126"/>
  <c r="E337" i="126"/>
  <c r="E339" i="126" s="1"/>
  <c r="E711" i="126"/>
  <c r="E108" i="130"/>
  <c r="E123" i="130"/>
  <c r="E223" i="128"/>
  <c r="E206" i="128"/>
  <c r="E267" i="128" s="1"/>
  <c r="D27" i="129" s="1"/>
  <c r="E682" i="126"/>
  <c r="E430" i="126"/>
  <c r="E468" i="126"/>
  <c r="E127" i="130"/>
  <c r="E766" i="126"/>
  <c r="E767" i="126"/>
  <c r="E759" i="126"/>
  <c r="E763" i="126"/>
  <c r="E237" i="128"/>
  <c r="E457" i="126"/>
  <c r="E86" i="128"/>
  <c r="E358" i="126"/>
  <c r="E455" i="126"/>
  <c r="E569" i="126"/>
  <c r="E464" i="126"/>
  <c r="E765" i="126"/>
  <c r="E772" i="126"/>
  <c r="E580" i="126"/>
  <c r="E199" i="128" l="1"/>
  <c r="E261" i="128" s="1"/>
  <c r="E107" i="130"/>
  <c r="E106" i="130" s="1"/>
  <c r="E749" i="126"/>
  <c r="E720" i="126"/>
  <c r="E347" i="126"/>
  <c r="E124" i="130"/>
  <c r="E225" i="128"/>
  <c r="E288" i="128"/>
  <c r="E290" i="128" s="1"/>
  <c r="E298" i="128" s="1"/>
  <c r="E275" i="128"/>
  <c r="D32" i="129"/>
  <c r="D33" i="129" s="1"/>
  <c r="E434" i="126"/>
  <c r="E734" i="126"/>
  <c r="E120" i="130"/>
  <c r="E128" i="130"/>
  <c r="E130" i="130" s="1"/>
  <c r="E121" i="130"/>
  <c r="E122" i="130"/>
  <c r="E233" i="128"/>
  <c r="E239" i="128"/>
  <c r="E761" i="126"/>
  <c r="E232" i="128"/>
  <c r="E132" i="128"/>
  <c r="E770" i="126"/>
  <c r="E469" i="126"/>
  <c r="E774" i="126"/>
  <c r="E750" i="126" l="1"/>
  <c r="E208" i="128"/>
  <c r="D21" i="129"/>
  <c r="E447" i="126"/>
  <c r="E458" i="126" s="1"/>
  <c r="E735" i="126"/>
  <c r="E194" i="128"/>
  <c r="E125" i="130"/>
  <c r="E301" i="128"/>
  <c r="D51" i="129" s="1"/>
  <c r="E308" i="128"/>
  <c r="E149" i="130"/>
  <c r="E110" i="130"/>
  <c r="E235" i="128"/>
  <c r="E300" i="128"/>
  <c r="E775" i="126"/>
  <c r="E269" i="128" l="1"/>
  <c r="E210" i="128"/>
  <c r="E752" i="126"/>
  <c r="E196" i="128"/>
  <c r="E248" i="128"/>
  <c r="E132" i="130"/>
  <c r="E310" i="128"/>
  <c r="D56" i="129"/>
  <c r="H51" i="129"/>
  <c r="E151" i="130"/>
  <c r="D49" i="129"/>
  <c r="E306" i="128"/>
  <c r="E216" i="128" l="1"/>
  <c r="E241" i="128" s="1"/>
  <c r="D30" i="129"/>
  <c r="D31" i="129" s="1"/>
  <c r="E271" i="128"/>
  <c r="E764" i="126"/>
  <c r="D10" i="129"/>
  <c r="D15" i="129" s="1"/>
  <c r="E252" i="128"/>
  <c r="D57" i="129"/>
  <c r="H55" i="129"/>
  <c r="D55" i="129"/>
  <c r="O18" i="137" s="1"/>
  <c r="E27" i="48"/>
  <c r="E33" i="48"/>
  <c r="E46" i="48"/>
  <c r="E51" i="48"/>
  <c r="E56" i="48"/>
  <c r="E58" i="48"/>
  <c r="F44" i="48"/>
  <c r="F43" i="48"/>
  <c r="F42" i="48"/>
  <c r="F41" i="48"/>
  <c r="F35" i="48"/>
  <c r="F29" i="48"/>
  <c r="F24" i="48"/>
  <c r="F23" i="48"/>
  <c r="F20" i="48"/>
  <c r="F19" i="48"/>
  <c r="F17" i="48"/>
  <c r="F16" i="48"/>
  <c r="F15" i="48"/>
  <c r="F13" i="48"/>
  <c r="F12" i="48"/>
  <c r="F11" i="48"/>
  <c r="E23" i="47"/>
  <c r="E47" i="47"/>
  <c r="E68" i="47"/>
  <c r="E71" i="47"/>
  <c r="E72" i="47"/>
  <c r="E79" i="47"/>
  <c r="F67" i="47"/>
  <c r="F66" i="47"/>
  <c r="F63" i="47"/>
  <c r="F62" i="47"/>
  <c r="F61" i="47"/>
  <c r="F53" i="47"/>
  <c r="F52" i="47"/>
  <c r="F51" i="47"/>
  <c r="F48" i="47"/>
  <c r="F46" i="47"/>
  <c r="F45" i="47"/>
  <c r="F44" i="47"/>
  <c r="F43" i="47"/>
  <c r="F42" i="47"/>
  <c r="F41" i="47"/>
  <c r="F39" i="47"/>
  <c r="F38" i="47"/>
  <c r="F37" i="47"/>
  <c r="F36" i="47"/>
  <c r="F35" i="47"/>
  <c r="F34" i="47"/>
  <c r="F33" i="47"/>
  <c r="F30" i="47"/>
  <c r="F26" i="47"/>
  <c r="F25" i="47"/>
  <c r="F22" i="47"/>
  <c r="F21" i="47"/>
  <c r="F17" i="47"/>
  <c r="F16" i="47"/>
  <c r="F15" i="47"/>
  <c r="F14" i="47"/>
  <c r="F12" i="47"/>
  <c r="F11" i="47"/>
  <c r="E11" i="125"/>
  <c r="E19" i="125"/>
  <c r="C44" i="134" s="1"/>
  <c r="C41" i="134" s="1"/>
  <c r="E20" i="125"/>
  <c r="E30" i="125"/>
  <c r="E33" i="125"/>
  <c r="E44" i="125"/>
  <c r="E64" i="125"/>
  <c r="E66" i="125"/>
  <c r="E67" i="125"/>
  <c r="E68" i="125"/>
  <c r="E72" i="125"/>
  <c r="F63" i="125"/>
  <c r="F62" i="125"/>
  <c r="F61" i="125"/>
  <c r="F59" i="125"/>
  <c r="F58" i="125"/>
  <c r="F57" i="125"/>
  <c r="F56" i="125"/>
  <c r="F55" i="125"/>
  <c r="F54" i="125"/>
  <c r="F53" i="125"/>
  <c r="F52" i="125"/>
  <c r="F49" i="125"/>
  <c r="F48" i="125"/>
  <c r="F46" i="125"/>
  <c r="F45" i="125"/>
  <c r="F40" i="125"/>
  <c r="F32" i="125"/>
  <c r="F28" i="125"/>
  <c r="F27" i="125"/>
  <c r="F26" i="125"/>
  <c r="F23" i="125"/>
  <c r="F22" i="125"/>
  <c r="F21" i="125"/>
  <c r="F18" i="125"/>
  <c r="F16" i="125"/>
  <c r="F15" i="125"/>
  <c r="F14" i="125"/>
  <c r="F13" i="125"/>
  <c r="F10" i="125"/>
  <c r="E19" i="44"/>
  <c r="E29" i="44"/>
  <c r="E39" i="44"/>
  <c r="E49" i="44"/>
  <c r="C14" i="134" s="1"/>
  <c r="E70" i="44"/>
  <c r="E80" i="44"/>
  <c r="C16" i="134" s="1"/>
  <c r="E91" i="44"/>
  <c r="E103" i="44"/>
  <c r="C97" i="134" s="1"/>
  <c r="E113" i="44"/>
  <c r="C17" i="134" s="1"/>
  <c r="E123" i="44"/>
  <c r="C98" i="134" s="1"/>
  <c r="E133" i="44"/>
  <c r="E143" i="44"/>
  <c r="E154" i="44"/>
  <c r="E164" i="44"/>
  <c r="E174" i="44"/>
  <c r="E184" i="44"/>
  <c r="E194" i="44"/>
  <c r="E205" i="44"/>
  <c r="E215" i="44"/>
  <c r="E225" i="44"/>
  <c r="E235" i="44"/>
  <c r="E245" i="44"/>
  <c r="E255" i="44"/>
  <c r="E265" i="44"/>
  <c r="E276" i="44"/>
  <c r="E289" i="44"/>
  <c r="C150" i="134" s="1"/>
  <c r="E299" i="44"/>
  <c r="E309" i="44"/>
  <c r="E319" i="44"/>
  <c r="C18" i="134" s="1"/>
  <c r="E329" i="44"/>
  <c r="E339" i="44"/>
  <c r="E349" i="44"/>
  <c r="E359" i="44"/>
  <c r="E370" i="44"/>
  <c r="E383" i="44"/>
  <c r="E394" i="44"/>
  <c r="C105" i="134" s="1"/>
  <c r="E401" i="44"/>
  <c r="E416" i="44"/>
  <c r="E434" i="44"/>
  <c r="E444" i="44"/>
  <c r="C155" i="134" s="1"/>
  <c r="E454" i="44"/>
  <c r="E464" i="44"/>
  <c r="E474" i="44"/>
  <c r="E484" i="44"/>
  <c r="E494" i="44"/>
  <c r="E505" i="44"/>
  <c r="E525" i="44"/>
  <c r="E535" i="44"/>
  <c r="E545" i="44"/>
  <c r="E555" i="44"/>
  <c r="E565" i="44"/>
  <c r="E575" i="44"/>
  <c r="E585" i="44"/>
  <c r="E595" i="44"/>
  <c r="E605" i="44"/>
  <c r="E615" i="44"/>
  <c r="E625" i="44"/>
  <c r="E635" i="44"/>
  <c r="E645" i="44"/>
  <c r="E655" i="44"/>
  <c r="E665" i="44"/>
  <c r="E675" i="44"/>
  <c r="E685" i="44"/>
  <c r="E695" i="44"/>
  <c r="E705" i="44"/>
  <c r="E715" i="44"/>
  <c r="E725" i="44"/>
  <c r="E735" i="44"/>
  <c r="E745" i="44"/>
  <c r="E755" i="44"/>
  <c r="E765" i="44"/>
  <c r="E775" i="44"/>
  <c r="E787" i="44"/>
  <c r="E797" i="44"/>
  <c r="E807" i="44"/>
  <c r="E817" i="44"/>
  <c r="E827" i="44"/>
  <c r="E838" i="44"/>
  <c r="C44" i="135" s="1"/>
  <c r="C62" i="135" s="1"/>
  <c r="E848" i="44"/>
  <c r="E858" i="44"/>
  <c r="E868" i="44"/>
  <c r="E878" i="44"/>
  <c r="E888" i="44"/>
  <c r="E898" i="44"/>
  <c r="E908" i="44"/>
  <c r="E918" i="44"/>
  <c r="E928" i="44"/>
  <c r="E938" i="44"/>
  <c r="E941" i="44"/>
  <c r="E944" i="44"/>
  <c r="E945" i="44"/>
  <c r="E949" i="44"/>
  <c r="E950" i="44"/>
  <c r="F932" i="44"/>
  <c r="F902" i="44"/>
  <c r="F882" i="44"/>
  <c r="F872" i="44"/>
  <c r="F862" i="44"/>
  <c r="F861" i="44"/>
  <c r="F860" i="44"/>
  <c r="F854" i="44"/>
  <c r="F852" i="44"/>
  <c r="F851" i="44"/>
  <c r="F850" i="44"/>
  <c r="F842" i="44"/>
  <c r="F841" i="44"/>
  <c r="F840" i="44"/>
  <c r="F835" i="44"/>
  <c r="F832" i="44"/>
  <c r="F831" i="44"/>
  <c r="F830" i="44"/>
  <c r="F823" i="44"/>
  <c r="F814" i="44"/>
  <c r="F813" i="44"/>
  <c r="F811" i="44"/>
  <c r="F801" i="44"/>
  <c r="F800" i="44"/>
  <c r="F799" i="44"/>
  <c r="F790" i="44"/>
  <c r="F789" i="44"/>
  <c r="F759" i="44"/>
  <c r="F758" i="44"/>
  <c r="F757" i="44"/>
  <c r="F749" i="44"/>
  <c r="F739" i="44"/>
  <c r="F729" i="44"/>
  <c r="F719" i="44"/>
  <c r="F709" i="44"/>
  <c r="F699" i="44"/>
  <c r="F689" i="44"/>
  <c r="F679" i="44"/>
  <c r="F669" i="44"/>
  <c r="F659" i="44"/>
  <c r="F649" i="44"/>
  <c r="F639" i="44"/>
  <c r="F629" i="44"/>
  <c r="F620" i="44"/>
  <c r="F610" i="44"/>
  <c r="F600" i="44"/>
  <c r="F590" i="44"/>
  <c r="F580" i="44"/>
  <c r="F570" i="44"/>
  <c r="F560" i="44"/>
  <c r="F550" i="44"/>
  <c r="F539" i="44"/>
  <c r="F530" i="44"/>
  <c r="F520" i="44"/>
  <c r="F501" i="44"/>
  <c r="F499" i="44"/>
  <c r="F498" i="44"/>
  <c r="F497" i="44"/>
  <c r="F438" i="44"/>
  <c r="F410" i="44"/>
  <c r="F406" i="44"/>
  <c r="F398" i="44"/>
  <c r="F388" i="44"/>
  <c r="F377" i="44"/>
  <c r="F372" i="44"/>
  <c r="F371" i="44"/>
  <c r="F353" i="44"/>
  <c r="F343" i="44"/>
  <c r="F333" i="44"/>
  <c r="F328" i="44"/>
  <c r="F326" i="44"/>
  <c r="F325" i="44"/>
  <c r="F318" i="44"/>
  <c r="F315" i="44"/>
  <c r="F313" i="44"/>
  <c r="F312" i="44"/>
  <c r="F311" i="44"/>
  <c r="F303" i="44"/>
  <c r="F295" i="44"/>
  <c r="F293" i="44"/>
  <c r="F292" i="44"/>
  <c r="F291" i="44"/>
  <c r="F283" i="44"/>
  <c r="F282" i="44"/>
  <c r="F281" i="44"/>
  <c r="F270" i="44"/>
  <c r="F259" i="44"/>
  <c r="F241" i="44"/>
  <c r="F239" i="44"/>
  <c r="F238" i="44"/>
  <c r="F237" i="44"/>
  <c r="F231" i="44"/>
  <c r="F229" i="44"/>
  <c r="F228" i="44"/>
  <c r="F227" i="44"/>
  <c r="F221" i="44"/>
  <c r="F211" i="44"/>
  <c r="F209" i="44"/>
  <c r="F208" i="44"/>
  <c r="F207" i="44"/>
  <c r="F200" i="44"/>
  <c r="F199" i="44"/>
  <c r="F187" i="44"/>
  <c r="F186" i="44"/>
  <c r="F178" i="44"/>
  <c r="F168" i="44"/>
  <c r="F158" i="44"/>
  <c r="F148" i="44"/>
  <c r="F137" i="44"/>
  <c r="F117" i="44"/>
  <c r="F107" i="44"/>
  <c r="F102" i="44"/>
  <c r="F86" i="44"/>
  <c r="F74" i="44"/>
  <c r="F64" i="44"/>
  <c r="F53" i="44"/>
  <c r="F43" i="44"/>
  <c r="F33" i="44"/>
  <c r="F23" i="44"/>
  <c r="F13" i="44"/>
  <c r="D484" i="44"/>
  <c r="D494" i="44"/>
  <c r="C494" i="44"/>
  <c r="C484" i="44"/>
  <c r="D944" i="44"/>
  <c r="D945" i="44"/>
  <c r="D949" i="44"/>
  <c r="D950" i="44"/>
  <c r="C949" i="44"/>
  <c r="C950" i="44"/>
  <c r="C944" i="44"/>
  <c r="C945" i="44"/>
  <c r="C491" i="143" l="1"/>
  <c r="C488" i="143" s="1"/>
  <c r="C707" i="143" s="1"/>
  <c r="C125" i="134"/>
  <c r="C10" i="134"/>
  <c r="C96" i="134"/>
  <c r="E404" i="44"/>
  <c r="E266" i="44" s="1"/>
  <c r="E48" i="130"/>
  <c r="E37" i="125"/>
  <c r="E61" i="48"/>
  <c r="E63" i="48" s="1"/>
  <c r="E38" i="130"/>
  <c r="E43" i="130"/>
  <c r="E36" i="130"/>
  <c r="E53" i="130"/>
  <c r="E52" i="48"/>
  <c r="E948" i="44"/>
  <c r="E29" i="130" s="1"/>
  <c r="E58" i="47"/>
  <c r="E144" i="44"/>
  <c r="E75" i="47"/>
  <c r="E42" i="130"/>
  <c r="E30" i="130"/>
  <c r="E70" i="125"/>
  <c r="D34" i="129"/>
  <c r="D59" i="129" s="1"/>
  <c r="E277" i="128"/>
  <c r="E312" i="128" s="1"/>
  <c r="E35" i="130"/>
  <c r="E50" i="125"/>
  <c r="E34" i="130"/>
  <c r="E24" i="125"/>
  <c r="E39" i="130"/>
  <c r="E828" i="44"/>
  <c r="E495" i="44"/>
  <c r="E373" i="44"/>
  <c r="F945" i="44"/>
  <c r="E28" i="130"/>
  <c r="E195" i="44"/>
  <c r="E93" i="44"/>
  <c r="E31" i="130"/>
  <c r="E81" i="44"/>
  <c r="E27" i="130"/>
  <c r="E60" i="44"/>
  <c r="E9" i="44"/>
  <c r="E24" i="130"/>
  <c r="E64" i="48"/>
  <c r="E424" i="44"/>
  <c r="F950" i="44"/>
  <c r="F944" i="44"/>
  <c r="E777" i="44"/>
  <c r="E943" i="44"/>
  <c r="E405" i="44"/>
  <c r="E942" i="44"/>
  <c r="E951" i="44" l="1"/>
  <c r="E360" i="44"/>
  <c r="E55" i="130"/>
  <c r="E50" i="130" s="1"/>
  <c r="E78" i="47"/>
  <c r="E80" i="47" s="1"/>
  <c r="E69" i="47"/>
  <c r="E74" i="125"/>
  <c r="E65" i="125"/>
  <c r="E69" i="125"/>
  <c r="E71" i="125" s="1"/>
  <c r="E92" i="44"/>
  <c r="E25" i="130"/>
  <c r="E26" i="130"/>
  <c r="E776" i="44"/>
  <c r="E946" i="44"/>
  <c r="E47" i="130" l="1"/>
  <c r="E41" i="130" s="1"/>
  <c r="E37" i="130"/>
  <c r="E23" i="130"/>
  <c r="E81" i="47"/>
  <c r="E952" i="44"/>
  <c r="E33" i="130" l="1"/>
  <c r="E18" i="43"/>
  <c r="E29" i="43"/>
  <c r="E39" i="43"/>
  <c r="E49" i="43"/>
  <c r="E59" i="43"/>
  <c r="E69" i="43"/>
  <c r="E72" i="43"/>
  <c r="E73" i="43"/>
  <c r="E74" i="43"/>
  <c r="E75" i="43"/>
  <c r="E76" i="43"/>
  <c r="E79" i="43"/>
  <c r="E80" i="43"/>
  <c r="F80" i="43" s="1"/>
  <c r="E81" i="43"/>
  <c r="F81" i="43"/>
  <c r="F66" i="43"/>
  <c r="F63" i="43"/>
  <c r="F42" i="43"/>
  <c r="F41" i="43"/>
  <c r="F28" i="43"/>
  <c r="F27" i="43"/>
  <c r="F26" i="43"/>
  <c r="F23" i="43"/>
  <c r="F22" i="43"/>
  <c r="F21" i="43"/>
  <c r="F16" i="43"/>
  <c r="F15" i="43"/>
  <c r="F12" i="43"/>
  <c r="F11" i="43"/>
  <c r="F10" i="43"/>
  <c r="D79" i="43"/>
  <c r="D80" i="43"/>
  <c r="D81" i="43"/>
  <c r="C81" i="43"/>
  <c r="C79" i="43"/>
  <c r="D72" i="43"/>
  <c r="D73" i="43"/>
  <c r="D74" i="43"/>
  <c r="D75" i="43"/>
  <c r="D76" i="43"/>
  <c r="C73" i="43"/>
  <c r="C74" i="43"/>
  <c r="C75" i="43"/>
  <c r="C76" i="43"/>
  <c r="C72" i="43"/>
  <c r="C80" i="43"/>
  <c r="D59" i="43"/>
  <c r="C59" i="43"/>
  <c r="D39" i="43"/>
  <c r="C39" i="43"/>
  <c r="C151" i="134" l="1"/>
  <c r="C180" i="134" s="1"/>
  <c r="E19" i="130"/>
  <c r="E99" i="130" s="1"/>
  <c r="E145" i="130" s="1"/>
  <c r="H39" i="129" s="1"/>
  <c r="O36" i="137" s="1"/>
  <c r="E15" i="130"/>
  <c r="E91" i="130" s="1"/>
  <c r="E139" i="130" s="1"/>
  <c r="H10" i="129" s="1"/>
  <c r="O28" i="137" s="1"/>
  <c r="E16" i="130"/>
  <c r="E92" i="130" s="1"/>
  <c r="E18" i="130"/>
  <c r="E82" i="43"/>
  <c r="F82" i="43" s="1"/>
  <c r="F73" i="43"/>
  <c r="E13" i="130"/>
  <c r="E12" i="130"/>
  <c r="F72" i="43"/>
  <c r="E19" i="43"/>
  <c r="E17" i="130"/>
  <c r="E14" i="130"/>
  <c r="E8" i="43"/>
  <c r="F74" i="43"/>
  <c r="E77" i="43"/>
  <c r="D77" i="43"/>
  <c r="D82" i="43"/>
  <c r="E140" i="130" l="1"/>
  <c r="H12" i="129" s="1"/>
  <c r="O30" i="137" s="1"/>
  <c r="E98" i="130"/>
  <c r="E89" i="130"/>
  <c r="E88" i="130"/>
  <c r="E97" i="130"/>
  <c r="E83" i="43"/>
  <c r="E90" i="130"/>
  <c r="E11" i="130"/>
  <c r="F77" i="43"/>
  <c r="E101" i="130" l="1"/>
  <c r="E144" i="130"/>
  <c r="E137" i="130"/>
  <c r="E136" i="130"/>
  <c r="E143" i="130"/>
  <c r="E84" i="43"/>
  <c r="E138" i="130"/>
  <c r="E94" i="130"/>
  <c r="D11" i="135"/>
  <c r="E147" i="130" l="1"/>
  <c r="H38" i="129"/>
  <c r="O34" i="137" s="1"/>
  <c r="H8" i="129"/>
  <c r="O24" i="137" s="1"/>
  <c r="H7" i="129"/>
  <c r="O22" i="137" s="1"/>
  <c r="H37" i="129"/>
  <c r="E115" i="130"/>
  <c r="H9" i="129"/>
  <c r="O26" i="137" s="1"/>
  <c r="E141" i="130"/>
  <c r="D46" i="48"/>
  <c r="C739" i="126"/>
  <c r="C198" i="128" s="1"/>
  <c r="H48" i="129" l="1"/>
  <c r="O32" i="137"/>
  <c r="F46" i="48"/>
  <c r="H34" i="129"/>
  <c r="E154" i="130"/>
  <c r="C354" i="126"/>
  <c r="D354" i="126"/>
  <c r="C355" i="126"/>
  <c r="D355" i="126"/>
  <c r="C356" i="126"/>
  <c r="D356" i="126"/>
  <c r="C349" i="126"/>
  <c r="D349" i="126"/>
  <c r="C350" i="126"/>
  <c r="D350" i="126"/>
  <c r="C351" i="126"/>
  <c r="D351" i="126"/>
  <c r="C352" i="126"/>
  <c r="D352" i="126"/>
  <c r="C345" i="126"/>
  <c r="C346" i="126" s="1"/>
  <c r="D345" i="126"/>
  <c r="C348" i="126"/>
  <c r="D348" i="126"/>
  <c r="C326" i="126"/>
  <c r="D326" i="126"/>
  <c r="C329" i="126"/>
  <c r="D329" i="126"/>
  <c r="C330" i="126"/>
  <c r="D330" i="126"/>
  <c r="C331" i="126"/>
  <c r="D331" i="126"/>
  <c r="C332" i="126"/>
  <c r="D332" i="126"/>
  <c r="C333" i="126"/>
  <c r="D333" i="126"/>
  <c r="C334" i="126"/>
  <c r="D334" i="126"/>
  <c r="C335" i="126"/>
  <c r="D335" i="126"/>
  <c r="C336" i="126"/>
  <c r="D336" i="126"/>
  <c r="C338" i="126"/>
  <c r="D338" i="126"/>
  <c r="C340" i="126"/>
  <c r="C341" i="126" s="1"/>
  <c r="D340" i="126"/>
  <c r="C342" i="126"/>
  <c r="D342" i="126"/>
  <c r="C343" i="126"/>
  <c r="D343" i="126"/>
  <c r="D325" i="126"/>
  <c r="C325" i="126"/>
  <c r="C733" i="126" s="1"/>
  <c r="C193" i="128" s="1"/>
  <c r="J63" i="141"/>
  <c r="J64" i="141"/>
  <c r="J65" i="141"/>
  <c r="J66" i="141"/>
  <c r="J67" i="141"/>
  <c r="J68" i="141"/>
  <c r="J69" i="141"/>
  <c r="J70" i="141"/>
  <c r="J72" i="141"/>
  <c r="J74" i="141"/>
  <c r="C344" i="126" l="1"/>
  <c r="C353" i="126"/>
  <c r="D353" i="126"/>
  <c r="F353" i="126" s="1"/>
  <c r="C327" i="126"/>
  <c r="D328" i="126"/>
  <c r="D341" i="126"/>
  <c r="C328" i="126"/>
  <c r="C337" i="126" s="1"/>
  <c r="C357" i="126"/>
  <c r="C358" i="126" s="1"/>
  <c r="D346" i="126"/>
  <c r="F343" i="126"/>
  <c r="D733" i="126"/>
  <c r="D327" i="126"/>
  <c r="D344" i="126"/>
  <c r="D357" i="126"/>
  <c r="F349" i="126"/>
  <c r="F348" i="126"/>
  <c r="F350" i="126"/>
  <c r="F354" i="126"/>
  <c r="H59" i="129"/>
  <c r="C632" i="144"/>
  <c r="C631" i="144" s="1"/>
  <c r="C637" i="144"/>
  <c r="C614" i="144"/>
  <c r="C608" i="144"/>
  <c r="C602" i="144"/>
  <c r="C596" i="144"/>
  <c r="C590" i="144"/>
  <c r="C584" i="144"/>
  <c r="C578" i="144"/>
  <c r="C572" i="144"/>
  <c r="C566" i="144"/>
  <c r="C560" i="144"/>
  <c r="C554" i="144"/>
  <c r="C548" i="144"/>
  <c r="C542" i="144"/>
  <c r="C536" i="144"/>
  <c r="C530" i="144"/>
  <c r="C524" i="144"/>
  <c r="C518" i="144"/>
  <c r="C512" i="144"/>
  <c r="C506" i="144"/>
  <c r="C500" i="144"/>
  <c r="C494" i="144"/>
  <c r="C488" i="144"/>
  <c r="C482" i="144"/>
  <c r="C476" i="144"/>
  <c r="C470" i="144"/>
  <c r="C464" i="144"/>
  <c r="C458" i="144"/>
  <c r="C452" i="144"/>
  <c r="C440" i="144"/>
  <c r="C434" i="144"/>
  <c r="C428" i="144"/>
  <c r="C422" i="144"/>
  <c r="C416" i="144"/>
  <c r="C410" i="144"/>
  <c r="C404" i="144"/>
  <c r="C398" i="144"/>
  <c r="C392" i="144"/>
  <c r="C386" i="144"/>
  <c r="C380" i="144"/>
  <c r="C368" i="144"/>
  <c r="C362" i="144"/>
  <c r="C356" i="144"/>
  <c r="C350" i="144"/>
  <c r="C344" i="144"/>
  <c r="C338" i="144"/>
  <c r="C332" i="144"/>
  <c r="C326" i="144"/>
  <c r="C320" i="144"/>
  <c r="C314" i="144"/>
  <c r="C308" i="144"/>
  <c r="C302" i="144"/>
  <c r="C296" i="144"/>
  <c r="C290" i="144"/>
  <c r="C284" i="144"/>
  <c r="C278" i="144"/>
  <c r="C272" i="144"/>
  <c r="C266" i="144"/>
  <c r="C260" i="144"/>
  <c r="C254" i="144"/>
  <c r="C248" i="144"/>
  <c r="C242" i="144"/>
  <c r="C236" i="144"/>
  <c r="C230" i="144"/>
  <c r="C224" i="144"/>
  <c r="C218" i="144"/>
  <c r="C212" i="144"/>
  <c r="C206" i="144"/>
  <c r="C200" i="144"/>
  <c r="C194" i="144"/>
  <c r="C188" i="144"/>
  <c r="C170" i="144"/>
  <c r="C164" i="144"/>
  <c r="C158" i="144"/>
  <c r="C143" i="144"/>
  <c r="C137" i="144"/>
  <c r="C131" i="144"/>
  <c r="C125" i="144"/>
  <c r="C119" i="144"/>
  <c r="C113" i="144"/>
  <c r="C107" i="144"/>
  <c r="C84" i="144"/>
  <c r="C68" i="144"/>
  <c r="C62" i="144"/>
  <c r="C56" i="144"/>
  <c r="C50" i="144"/>
  <c r="C26" i="144"/>
  <c r="C20" i="144"/>
  <c r="C629" i="144"/>
  <c r="C628" i="144"/>
  <c r="C627" i="144"/>
  <c r="C626" i="144"/>
  <c r="C625" i="144"/>
  <c r="C624" i="144"/>
  <c r="C623" i="144"/>
  <c r="C622" i="144"/>
  <c r="C621" i="144"/>
  <c r="C446" i="144"/>
  <c r="C186" i="144"/>
  <c r="C185" i="144"/>
  <c r="C184" i="144"/>
  <c r="C183" i="144"/>
  <c r="C179" i="144"/>
  <c r="C178" i="144"/>
  <c r="C177" i="144"/>
  <c r="C156" i="144"/>
  <c r="C155" i="144"/>
  <c r="C154" i="144"/>
  <c r="C153" i="144"/>
  <c r="C152" i="144"/>
  <c r="C151" i="144"/>
  <c r="C150" i="144"/>
  <c r="C105" i="144"/>
  <c r="C104" i="144"/>
  <c r="C103" i="144"/>
  <c r="C102" i="144"/>
  <c r="C101" i="144"/>
  <c r="C100" i="144"/>
  <c r="C176" i="144" l="1"/>
  <c r="C74" i="144"/>
  <c r="C339" i="126"/>
  <c r="C347" i="126" s="1"/>
  <c r="D337" i="126"/>
  <c r="F357" i="126"/>
  <c r="D358" i="126"/>
  <c r="D193" i="128"/>
  <c r="F344" i="126"/>
  <c r="C620" i="144"/>
  <c r="C99" i="144"/>
  <c r="C182" i="144"/>
  <c r="C149" i="144"/>
  <c r="C48" i="144"/>
  <c r="C47" i="144"/>
  <c r="C46" i="144"/>
  <c r="C45" i="144"/>
  <c r="C44" i="144"/>
  <c r="C43" i="144"/>
  <c r="C42" i="144"/>
  <c r="C41" i="144"/>
  <c r="C40" i="144"/>
  <c r="C39" i="144"/>
  <c r="C38" i="144"/>
  <c r="C37" i="144"/>
  <c r="C36" i="144"/>
  <c r="C35" i="144"/>
  <c r="D339" i="126" l="1"/>
  <c r="D347" i="126" s="1"/>
  <c r="F358" i="126"/>
  <c r="C18" i="144"/>
  <c r="C17" i="144"/>
  <c r="C16" i="144"/>
  <c r="C15" i="144"/>
  <c r="C14" i="144"/>
  <c r="C13" i="144"/>
  <c r="C12" i="144"/>
  <c r="C11" i="144"/>
  <c r="C10" i="144"/>
  <c r="C8" i="144"/>
  <c r="C7" i="144"/>
  <c r="C6" i="144"/>
  <c r="F347" i="126" l="1"/>
  <c r="C5" i="144"/>
  <c r="D380" i="126"/>
  <c r="D368" i="126"/>
  <c r="D366" i="126"/>
  <c r="F380" i="126" l="1"/>
  <c r="F366" i="126"/>
  <c r="F368" i="126"/>
  <c r="D109" i="130"/>
  <c r="G57" i="129"/>
  <c r="F109" i="130" l="1"/>
  <c r="D9" i="128"/>
  <c r="D24" i="128"/>
  <c r="D27" i="128"/>
  <c r="D31" i="128"/>
  <c r="D49" i="128"/>
  <c r="D55" i="128"/>
  <c r="D61" i="128"/>
  <c r="D66" i="128"/>
  <c r="D84" i="128"/>
  <c r="D91" i="128"/>
  <c r="D104" i="128"/>
  <c r="D111" i="128"/>
  <c r="D118" i="128"/>
  <c r="D126" i="128"/>
  <c r="D130" i="128"/>
  <c r="D139" i="128"/>
  <c r="D141" i="128"/>
  <c r="D147" i="128"/>
  <c r="D162" i="128"/>
  <c r="D169" i="128"/>
  <c r="D173" i="128"/>
  <c r="D178" i="128"/>
  <c r="D183" i="128"/>
  <c r="D187" i="128"/>
  <c r="D221" i="128"/>
  <c r="D246" i="128"/>
  <c r="D247" i="128"/>
  <c r="D249" i="128"/>
  <c r="D250" i="128"/>
  <c r="D263" i="128"/>
  <c r="D279" i="128"/>
  <c r="D280" i="128"/>
  <c r="D281" i="128"/>
  <c r="D283" i="128"/>
  <c r="D292" i="128"/>
  <c r="D294" i="128"/>
  <c r="D302" i="128"/>
  <c r="D303" i="128"/>
  <c r="D16" i="130"/>
  <c r="D44" i="130"/>
  <c r="D45" i="130"/>
  <c r="D46" i="130"/>
  <c r="D51" i="130"/>
  <c r="D52" i="130"/>
  <c r="D54" i="130"/>
  <c r="D56" i="130"/>
  <c r="D57" i="130"/>
  <c r="D70" i="130"/>
  <c r="D72" i="130"/>
  <c r="D75" i="130"/>
  <c r="D82" i="130"/>
  <c r="D113" i="130"/>
  <c r="D148" i="130"/>
  <c r="D150" i="130"/>
  <c r="D152" i="130"/>
  <c r="F292" i="128" l="1"/>
  <c r="F183" i="128"/>
  <c r="F104" i="128"/>
  <c r="F178" i="128"/>
  <c r="D102" i="128"/>
  <c r="F91" i="128"/>
  <c r="F84" i="128"/>
  <c r="F66" i="128"/>
  <c r="F279" i="128"/>
  <c r="F61" i="128"/>
  <c r="F150" i="130"/>
  <c r="F147" i="128"/>
  <c r="F55" i="128"/>
  <c r="F141" i="128"/>
  <c r="F49" i="128"/>
  <c r="F31" i="128"/>
  <c r="F27" i="128"/>
  <c r="F126" i="128"/>
  <c r="F24" i="128"/>
  <c r="F118" i="128"/>
  <c r="F9" i="128"/>
  <c r="F111" i="128"/>
  <c r="C52" i="129"/>
  <c r="C50" i="129"/>
  <c r="D158" i="128"/>
  <c r="D145" i="128"/>
  <c r="C23" i="129"/>
  <c r="C45" i="129"/>
  <c r="D255" i="128"/>
  <c r="D254" i="128"/>
  <c r="D109" i="128"/>
  <c r="C9" i="129"/>
  <c r="D287" i="128"/>
  <c r="G13" i="129"/>
  <c r="D45" i="128"/>
  <c r="C34" i="144"/>
  <c r="C32" i="144" s="1"/>
  <c r="C41" i="129"/>
  <c r="G50" i="129"/>
  <c r="D153" i="130"/>
  <c r="D282" i="128"/>
  <c r="D245" i="128"/>
  <c r="D43" i="128"/>
  <c r="D22" i="128"/>
  <c r="D29" i="126"/>
  <c r="D38" i="126"/>
  <c r="D42" i="126"/>
  <c r="D64" i="126"/>
  <c r="D73" i="126"/>
  <c r="D77" i="126"/>
  <c r="D99" i="126"/>
  <c r="D108" i="126"/>
  <c r="D112" i="126"/>
  <c r="D134" i="126"/>
  <c r="D143" i="126"/>
  <c r="D147" i="126"/>
  <c r="D169" i="126"/>
  <c r="D178" i="126"/>
  <c r="D182" i="126"/>
  <c r="D204" i="126"/>
  <c r="D213" i="126"/>
  <c r="D217" i="126"/>
  <c r="D239" i="126"/>
  <c r="D241" i="126"/>
  <c r="D248" i="126"/>
  <c r="D252" i="126"/>
  <c r="D274" i="126"/>
  <c r="D283" i="126"/>
  <c r="D287" i="126"/>
  <c r="D309" i="126"/>
  <c r="D318" i="126"/>
  <c r="D322" i="126"/>
  <c r="D451" i="126"/>
  <c r="D453" i="126"/>
  <c r="D459" i="126"/>
  <c r="D363" i="126"/>
  <c r="D377" i="126"/>
  <c r="D382" i="126"/>
  <c r="D391" i="126"/>
  <c r="D392" i="126"/>
  <c r="D412" i="126"/>
  <c r="D436" i="126"/>
  <c r="D437" i="126"/>
  <c r="D439" i="126"/>
  <c r="D440" i="126"/>
  <c r="D441" i="126"/>
  <c r="D443" i="126"/>
  <c r="D444" i="126"/>
  <c r="D452" i="126"/>
  <c r="D454" i="126"/>
  <c r="D462" i="126"/>
  <c r="D474" i="126"/>
  <c r="D492" i="126"/>
  <c r="D501" i="126"/>
  <c r="D505" i="126"/>
  <c r="D521" i="126"/>
  <c r="D528" i="126"/>
  <c r="D537" i="126"/>
  <c r="D541" i="126"/>
  <c r="D548" i="126"/>
  <c r="D549" i="126"/>
  <c r="D550" i="126"/>
  <c r="D551" i="126"/>
  <c r="D552" i="126"/>
  <c r="D553" i="126"/>
  <c r="D554" i="126"/>
  <c r="D555" i="126"/>
  <c r="D556" i="126"/>
  <c r="D558" i="126"/>
  <c r="D560" i="126"/>
  <c r="D562" i="126"/>
  <c r="D563" i="126"/>
  <c r="D564" i="126"/>
  <c r="D565" i="126"/>
  <c r="D567" i="126"/>
  <c r="D570" i="126"/>
  <c r="D571" i="126"/>
  <c r="D572" i="126"/>
  <c r="D573" i="126"/>
  <c r="D574" i="126"/>
  <c r="D576" i="126"/>
  <c r="D577" i="126"/>
  <c r="D586" i="126"/>
  <c r="D604" i="126"/>
  <c r="D613" i="126"/>
  <c r="D618" i="126"/>
  <c r="D624" i="126"/>
  <c r="D642" i="126"/>
  <c r="D651" i="126"/>
  <c r="D655" i="126"/>
  <c r="D661" i="126"/>
  <c r="D679" i="126"/>
  <c r="D688" i="126"/>
  <c r="D692" i="126"/>
  <c r="D697" i="126"/>
  <c r="D699" i="126"/>
  <c r="D717" i="126"/>
  <c r="D726" i="126"/>
  <c r="D730" i="126"/>
  <c r="D738" i="126"/>
  <c r="D739" i="126"/>
  <c r="D753" i="126"/>
  <c r="D754" i="126"/>
  <c r="D773" i="126"/>
  <c r="D18" i="43"/>
  <c r="D29" i="43"/>
  <c r="D49" i="43"/>
  <c r="D69" i="43"/>
  <c r="D12" i="130"/>
  <c r="D13" i="130"/>
  <c r="D14" i="130"/>
  <c r="D15" i="130"/>
  <c r="D18" i="130"/>
  <c r="D17" i="130"/>
  <c r="D19" i="130"/>
  <c r="D19" i="44"/>
  <c r="D29" i="44"/>
  <c r="D39" i="44"/>
  <c r="D49" i="44"/>
  <c r="D59" i="44"/>
  <c r="D70" i="44"/>
  <c r="D80" i="44"/>
  <c r="D91" i="44"/>
  <c r="D103" i="44"/>
  <c r="D113" i="44"/>
  <c r="D123" i="44"/>
  <c r="D127" i="44"/>
  <c r="D143" i="44"/>
  <c r="D154" i="44"/>
  <c r="D164" i="44"/>
  <c r="D174" i="44"/>
  <c r="D184" i="44"/>
  <c r="D194" i="44"/>
  <c r="D205" i="44"/>
  <c r="D215" i="44"/>
  <c r="D225" i="44"/>
  <c r="D235" i="44"/>
  <c r="D245" i="44"/>
  <c r="D255" i="44"/>
  <c r="D265" i="44"/>
  <c r="D268" i="44"/>
  <c r="D269" i="44"/>
  <c r="D289" i="44"/>
  <c r="D299" i="44"/>
  <c r="D309" i="44"/>
  <c r="D319" i="44"/>
  <c r="D329" i="44"/>
  <c r="D339" i="44"/>
  <c r="D349" i="44"/>
  <c r="D359" i="44"/>
  <c r="D364" i="44"/>
  <c r="D383" i="44"/>
  <c r="D384" i="44"/>
  <c r="D394" i="44"/>
  <c r="D401" i="44"/>
  <c r="D416" i="44"/>
  <c r="D434" i="44"/>
  <c r="D444" i="44"/>
  <c r="D454" i="44"/>
  <c r="D464" i="44"/>
  <c r="D474" i="44"/>
  <c r="D505" i="44"/>
  <c r="D525" i="44"/>
  <c r="D535" i="44"/>
  <c r="D545" i="44"/>
  <c r="D555" i="44"/>
  <c r="D565" i="44"/>
  <c r="D575" i="44"/>
  <c r="D585" i="44"/>
  <c r="D595" i="44"/>
  <c r="D605" i="44"/>
  <c r="D615" i="44"/>
  <c r="D625" i="44"/>
  <c r="D635" i="44"/>
  <c r="D645" i="44"/>
  <c r="D655" i="44"/>
  <c r="D665" i="44"/>
  <c r="D675" i="44"/>
  <c r="D685" i="44"/>
  <c r="D695" i="44"/>
  <c r="D705" i="44"/>
  <c r="D715" i="44"/>
  <c r="D725" i="44"/>
  <c r="D735" i="44"/>
  <c r="D745" i="44"/>
  <c r="D755" i="44"/>
  <c r="D765" i="44"/>
  <c r="D775" i="44"/>
  <c r="D787" i="44"/>
  <c r="D791" i="44"/>
  <c r="D807" i="44"/>
  <c r="D817" i="44"/>
  <c r="D827" i="44"/>
  <c r="D838" i="44"/>
  <c r="D848" i="44"/>
  <c r="D858" i="44"/>
  <c r="D868" i="44"/>
  <c r="D878" i="44"/>
  <c r="D888" i="44"/>
  <c r="D898" i="44"/>
  <c r="D908" i="44"/>
  <c r="D918" i="44"/>
  <c r="D928" i="44"/>
  <c r="D938" i="44"/>
  <c r="D11" i="125"/>
  <c r="D19" i="125"/>
  <c r="D20" i="125"/>
  <c r="D24" i="125"/>
  <c r="D30" i="125"/>
  <c r="D33" i="125"/>
  <c r="D44" i="125"/>
  <c r="D64" i="125"/>
  <c r="D66" i="125"/>
  <c r="D67" i="125"/>
  <c r="D68" i="125"/>
  <c r="D70" i="125"/>
  <c r="D72" i="125"/>
  <c r="D73" i="125"/>
  <c r="D23" i="47"/>
  <c r="D47" i="47"/>
  <c r="D68" i="47"/>
  <c r="D71" i="47"/>
  <c r="D72" i="47"/>
  <c r="D79" i="47"/>
  <c r="D27" i="48"/>
  <c r="D33" i="48"/>
  <c r="D39" i="48"/>
  <c r="D56" i="48"/>
  <c r="D38" i="130" l="1"/>
  <c r="F72" i="125"/>
  <c r="F70" i="44"/>
  <c r="F938" i="44"/>
  <c r="F695" i="44"/>
  <c r="F299" i="44"/>
  <c r="F59" i="44"/>
  <c r="F39" i="48"/>
  <c r="F685" i="44"/>
  <c r="F33" i="48"/>
  <c r="F555" i="44"/>
  <c r="F39" i="44"/>
  <c r="F27" i="48"/>
  <c r="F384" i="44"/>
  <c r="F29" i="44"/>
  <c r="D48" i="130"/>
  <c r="F48" i="130" s="1"/>
  <c r="F79" i="47"/>
  <c r="F655" i="44"/>
  <c r="F19" i="44"/>
  <c r="F44" i="125"/>
  <c r="F11" i="125"/>
  <c r="F827" i="44"/>
  <c r="F705" i="44"/>
  <c r="F585" i="44"/>
  <c r="F309" i="44"/>
  <c r="F194" i="44"/>
  <c r="F282" i="128"/>
  <c r="F254" i="128"/>
  <c r="F70" i="125"/>
  <c r="F817" i="44"/>
  <c r="F575" i="44"/>
  <c r="F416" i="44"/>
  <c r="F184" i="44"/>
  <c r="F69" i="43"/>
  <c r="F255" i="128"/>
  <c r="D36" i="130"/>
  <c r="F36" i="130" s="1"/>
  <c r="F68" i="125"/>
  <c r="F807" i="44"/>
  <c r="F565" i="44"/>
  <c r="F289" i="44"/>
  <c r="F174" i="44"/>
  <c r="F49" i="44"/>
  <c r="F49" i="43"/>
  <c r="C47" i="129"/>
  <c r="D35" i="130"/>
  <c r="F67" i="125"/>
  <c r="D797" i="44"/>
  <c r="F791" i="44"/>
  <c r="F675" i="44"/>
  <c r="F394" i="44"/>
  <c r="F269" i="44"/>
  <c r="F164" i="44"/>
  <c r="F29" i="43"/>
  <c r="F102" i="128"/>
  <c r="D34" i="130"/>
  <c r="F66" i="125"/>
  <c r="F908" i="44"/>
  <c r="F665" i="44"/>
  <c r="F545" i="44"/>
  <c r="F268" i="44"/>
  <c r="F154" i="44"/>
  <c r="F18" i="43"/>
  <c r="F145" i="128"/>
  <c r="F64" i="125"/>
  <c r="F535" i="44"/>
  <c r="F383" i="44"/>
  <c r="F265" i="44"/>
  <c r="F143" i="44"/>
  <c r="C44" i="129"/>
  <c r="F158" i="128"/>
  <c r="D43" i="130"/>
  <c r="F888" i="44"/>
  <c r="F765" i="44"/>
  <c r="F645" i="44"/>
  <c r="F525" i="44"/>
  <c r="D370" i="44"/>
  <c r="F364" i="44"/>
  <c r="F127" i="44"/>
  <c r="D42" i="130"/>
  <c r="F33" i="125"/>
  <c r="F878" i="44"/>
  <c r="F755" i="44"/>
  <c r="F635" i="44"/>
  <c r="F505" i="44"/>
  <c r="F359" i="44"/>
  <c r="F245" i="44"/>
  <c r="F123" i="44"/>
  <c r="D72" i="128"/>
  <c r="F45" i="128"/>
  <c r="F68" i="47"/>
  <c r="F30" i="125"/>
  <c r="F868" i="44"/>
  <c r="F745" i="44"/>
  <c r="F625" i="44"/>
  <c r="F349" i="44"/>
  <c r="F235" i="44"/>
  <c r="F113" i="44"/>
  <c r="D58" i="47"/>
  <c r="D78" i="47" s="1"/>
  <c r="F47" i="47"/>
  <c r="F24" i="125"/>
  <c r="F858" i="44"/>
  <c r="F735" i="44"/>
  <c r="F615" i="44"/>
  <c r="F339" i="44"/>
  <c r="F225" i="44"/>
  <c r="F103" i="44"/>
  <c r="F22" i="128"/>
  <c r="F287" i="128"/>
  <c r="F23" i="47"/>
  <c r="F20" i="125"/>
  <c r="F848" i="44"/>
  <c r="F725" i="44"/>
  <c r="F605" i="44"/>
  <c r="F329" i="44"/>
  <c r="F215" i="44"/>
  <c r="F91" i="44"/>
  <c r="F43" i="128"/>
  <c r="D39" i="130"/>
  <c r="F73" i="125"/>
  <c r="F19" i="125"/>
  <c r="F838" i="44"/>
  <c r="F715" i="44"/>
  <c r="F595" i="44"/>
  <c r="F444" i="44"/>
  <c r="F319" i="44"/>
  <c r="F205" i="44"/>
  <c r="F80" i="44"/>
  <c r="F245" i="128"/>
  <c r="F109" i="128"/>
  <c r="F17" i="130"/>
  <c r="F13" i="130"/>
  <c r="F19" i="130"/>
  <c r="F14" i="130"/>
  <c r="F18" i="130"/>
  <c r="F12" i="130"/>
  <c r="F613" i="126"/>
  <c r="F571" i="126"/>
  <c r="F553" i="126"/>
  <c r="F528" i="126"/>
  <c r="F287" i="126"/>
  <c r="F213" i="126"/>
  <c r="F112" i="126"/>
  <c r="D32" i="126"/>
  <c r="F29" i="126"/>
  <c r="F642" i="126"/>
  <c r="F604" i="126"/>
  <c r="F570" i="126"/>
  <c r="F552" i="126"/>
  <c r="F548" i="126"/>
  <c r="F474" i="126"/>
  <c r="F392" i="126"/>
  <c r="F322" i="126"/>
  <c r="F283" i="126"/>
  <c r="F204" i="126"/>
  <c r="F108" i="126"/>
  <c r="F573" i="126"/>
  <c r="F459" i="126"/>
  <c r="F318" i="126"/>
  <c r="F239" i="126"/>
  <c r="F182" i="126"/>
  <c r="F143" i="126"/>
  <c r="D102" i="126"/>
  <c r="F99" i="126"/>
  <c r="F42" i="126"/>
  <c r="F739" i="126"/>
  <c r="D198" i="128"/>
  <c r="F651" i="126"/>
  <c r="F576" i="126"/>
  <c r="F564" i="126"/>
  <c r="F492" i="126"/>
  <c r="D466" i="126"/>
  <c r="D772" i="126" s="1"/>
  <c r="F412" i="126"/>
  <c r="F248" i="126"/>
  <c r="D172" i="126"/>
  <c r="F169" i="126"/>
  <c r="F73" i="126"/>
  <c r="D709" i="126"/>
  <c r="F521" i="126"/>
  <c r="D373" i="126"/>
  <c r="F363" i="126"/>
  <c r="F147" i="126"/>
  <c r="F64" i="126"/>
  <c r="D227" i="128"/>
  <c r="D731" i="126"/>
  <c r="F624" i="126"/>
  <c r="F586" i="126"/>
  <c r="F551" i="126"/>
  <c r="F541" i="126"/>
  <c r="F505" i="126"/>
  <c r="F437" i="126"/>
  <c r="F391" i="126"/>
  <c r="D277" i="126"/>
  <c r="F274" i="126"/>
  <c r="F655" i="126"/>
  <c r="F618" i="126"/>
  <c r="F572" i="126"/>
  <c r="F565" i="126"/>
  <c r="F537" i="126"/>
  <c r="F501" i="126"/>
  <c r="F454" i="126"/>
  <c r="F436" i="126"/>
  <c r="F382" i="126"/>
  <c r="F453" i="126"/>
  <c r="F309" i="126"/>
  <c r="F252" i="126"/>
  <c r="F217" i="126"/>
  <c r="F178" i="126"/>
  <c r="F134" i="126"/>
  <c r="F77" i="126"/>
  <c r="F38" i="126"/>
  <c r="F439" i="126"/>
  <c r="F440" i="126"/>
  <c r="F38" i="130"/>
  <c r="F35" i="130"/>
  <c r="D404" i="44"/>
  <c r="D948" i="44"/>
  <c r="D133" i="44"/>
  <c r="D943" i="44"/>
  <c r="D424" i="44"/>
  <c r="D276" i="44"/>
  <c r="D942" i="44"/>
  <c r="D941" i="44"/>
  <c r="D8" i="43"/>
  <c r="C8" i="129"/>
  <c r="C16" i="129"/>
  <c r="C17" i="129"/>
  <c r="D256" i="128"/>
  <c r="D120" i="128"/>
  <c r="D164" i="128"/>
  <c r="D148" i="126"/>
  <c r="D768" i="126"/>
  <c r="D758" i="126"/>
  <c r="D11" i="130"/>
  <c r="D253" i="126"/>
  <c r="D759" i="126"/>
  <c r="D465" i="126"/>
  <c r="D285" i="128"/>
  <c r="D29" i="130"/>
  <c r="D50" i="125"/>
  <c r="D58" i="48"/>
  <c r="D53" i="130"/>
  <c r="D37" i="125"/>
  <c r="D30" i="130"/>
  <c r="D28" i="130"/>
  <c r="D31" i="130"/>
  <c r="D27" i="130"/>
  <c r="D373" i="44"/>
  <c r="D81" i="44"/>
  <c r="D757" i="126"/>
  <c r="D746" i="126"/>
  <c r="D749" i="126"/>
  <c r="D741" i="126"/>
  <c r="D671" i="126"/>
  <c r="D634" i="126"/>
  <c r="D596" i="126"/>
  <c r="D568" i="126"/>
  <c r="D429" i="126"/>
  <c r="D656" i="126"/>
  <c r="D760" i="126"/>
  <c r="D561" i="126"/>
  <c r="D449" i="126"/>
  <c r="D463" i="126"/>
  <c r="D442" i="126"/>
  <c r="D67" i="126"/>
  <c r="D438" i="126"/>
  <c r="D312" i="126"/>
  <c r="D207" i="126"/>
  <c r="D137" i="126"/>
  <c r="D129" i="130"/>
  <c r="D751" i="126"/>
  <c r="D745" i="126"/>
  <c r="D523" i="126"/>
  <c r="D484" i="126"/>
  <c r="D461" i="126"/>
  <c r="D435" i="126"/>
  <c r="D433" i="126"/>
  <c r="D107" i="130"/>
  <c r="D693" i="126"/>
  <c r="D288" i="126"/>
  <c r="D506" i="126"/>
  <c r="D711" i="126"/>
  <c r="D579" i="126"/>
  <c r="D748" i="126"/>
  <c r="D744" i="126"/>
  <c r="D183" i="126"/>
  <c r="D765" i="126"/>
  <c r="D542" i="126"/>
  <c r="D113" i="126"/>
  <c r="D78" i="126"/>
  <c r="D619" i="126"/>
  <c r="D575" i="126"/>
  <c r="D566" i="126"/>
  <c r="D742" i="126"/>
  <c r="D323" i="126"/>
  <c r="D218" i="126"/>
  <c r="D455" i="126"/>
  <c r="D242" i="126"/>
  <c r="D43" i="126"/>
  <c r="D547" i="126"/>
  <c r="D460" i="126"/>
  <c r="D456" i="126"/>
  <c r="D19" i="43"/>
  <c r="D195" i="44"/>
  <c r="D9" i="44"/>
  <c r="D495" i="44"/>
  <c r="D828" i="44"/>
  <c r="D777" i="44"/>
  <c r="D93" i="44"/>
  <c r="D266" i="44"/>
  <c r="D144" i="44"/>
  <c r="D405" i="44"/>
  <c r="D60" i="44"/>
  <c r="D51" i="48"/>
  <c r="D75" i="47"/>
  <c r="D69" i="47"/>
  <c r="D16" i="49"/>
  <c r="D20" i="49"/>
  <c r="C738" i="126"/>
  <c r="C753" i="126"/>
  <c r="C754" i="126"/>
  <c r="C227" i="128" s="1"/>
  <c r="C773" i="126"/>
  <c r="C661" i="126"/>
  <c r="C671" i="126" s="1"/>
  <c r="C679" i="126"/>
  <c r="C688" i="126"/>
  <c r="C692" i="126"/>
  <c r="F34" i="130" l="1"/>
  <c r="D47" i="130"/>
  <c r="F78" i="47"/>
  <c r="F777" i="44"/>
  <c r="F797" i="44"/>
  <c r="F828" i="44"/>
  <c r="F276" i="44"/>
  <c r="F39" i="130"/>
  <c r="F495" i="44"/>
  <c r="F81" i="44"/>
  <c r="F424" i="44"/>
  <c r="F405" i="44"/>
  <c r="F144" i="44"/>
  <c r="F266" i="44"/>
  <c r="F37" i="125"/>
  <c r="F72" i="128"/>
  <c r="F9" i="44"/>
  <c r="F164" i="128"/>
  <c r="F195" i="44"/>
  <c r="F50" i="125"/>
  <c r="F120" i="128"/>
  <c r="F133" i="44"/>
  <c r="F370" i="44"/>
  <c r="F19" i="43"/>
  <c r="D258" i="128"/>
  <c r="F256" i="128"/>
  <c r="F948" i="44"/>
  <c r="D360" i="44"/>
  <c r="D86" i="128"/>
  <c r="D25" i="130"/>
  <c r="D89" i="130" s="1"/>
  <c r="F89" i="130" s="1"/>
  <c r="F404" i="44"/>
  <c r="F8" i="43"/>
  <c r="F93" i="44"/>
  <c r="F69" i="47"/>
  <c r="F373" i="44"/>
  <c r="F58" i="47"/>
  <c r="D64" i="48"/>
  <c r="F51" i="48"/>
  <c r="F60" i="44"/>
  <c r="C35" i="129"/>
  <c r="F285" i="128"/>
  <c r="D91" i="130"/>
  <c r="F27" i="130"/>
  <c r="F29" i="130"/>
  <c r="D99" i="130"/>
  <c r="D145" i="130" s="1"/>
  <c r="F31" i="130"/>
  <c r="F28" i="130"/>
  <c r="F11" i="130"/>
  <c r="F765" i="126"/>
  <c r="F484" i="126"/>
  <c r="F438" i="126"/>
  <c r="D468" i="126"/>
  <c r="F465" i="126"/>
  <c r="D231" i="128"/>
  <c r="F102" i="126"/>
  <c r="F78" i="126"/>
  <c r="F183" i="126"/>
  <c r="D531" i="126"/>
  <c r="F523" i="126"/>
  <c r="F67" i="126"/>
  <c r="D123" i="130"/>
  <c r="F768" i="126"/>
  <c r="F32" i="126"/>
  <c r="F460" i="126"/>
  <c r="F455" i="126"/>
  <c r="F566" i="126"/>
  <c r="F113" i="126"/>
  <c r="F506" i="126"/>
  <c r="F435" i="126"/>
  <c r="F207" i="126"/>
  <c r="D747" i="126"/>
  <c r="F760" i="126"/>
  <c r="F596" i="126"/>
  <c r="F749" i="126"/>
  <c r="D208" i="128"/>
  <c r="F253" i="126"/>
  <c r="F148" i="126"/>
  <c r="F172" i="126"/>
  <c r="F43" i="126"/>
  <c r="F323" i="126"/>
  <c r="F619" i="126"/>
  <c r="F579" i="126"/>
  <c r="F288" i="126"/>
  <c r="D430" i="126"/>
  <c r="F429" i="126"/>
  <c r="D232" i="128"/>
  <c r="F277" i="126"/>
  <c r="D260" i="128"/>
  <c r="F242" i="126"/>
  <c r="D734" i="126"/>
  <c r="F137" i="126"/>
  <c r="F759" i="126"/>
  <c r="D233" i="128"/>
  <c r="D229" i="128"/>
  <c r="F373" i="126"/>
  <c r="F547" i="126"/>
  <c r="F218" i="126"/>
  <c r="F575" i="126"/>
  <c r="F542" i="126"/>
  <c r="D207" i="128"/>
  <c r="F772" i="126"/>
  <c r="D375" i="126"/>
  <c r="F461" i="126"/>
  <c r="D212" i="128"/>
  <c r="F312" i="126"/>
  <c r="F656" i="126"/>
  <c r="F634" i="126"/>
  <c r="F466" i="126"/>
  <c r="F746" i="126"/>
  <c r="D205" i="128"/>
  <c r="F745" i="126"/>
  <c r="D204" i="128"/>
  <c r="F107" i="130"/>
  <c r="F744" i="126"/>
  <c r="D203" i="128"/>
  <c r="F742" i="126"/>
  <c r="D201" i="128"/>
  <c r="F741" i="126"/>
  <c r="D200" i="128"/>
  <c r="D24" i="130"/>
  <c r="F941" i="44"/>
  <c r="F943" i="44"/>
  <c r="F942" i="44"/>
  <c r="D951" i="44"/>
  <c r="D946" i="44"/>
  <c r="C18" i="129"/>
  <c r="D189" i="128"/>
  <c r="D580" i="126"/>
  <c r="D65" i="125"/>
  <c r="D740" i="126"/>
  <c r="D771" i="126"/>
  <c r="D52" i="48"/>
  <c r="D61" i="48"/>
  <c r="D69" i="125"/>
  <c r="D74" i="125"/>
  <c r="D26" i="130"/>
  <c r="D108" i="130"/>
  <c r="D761" i="126"/>
  <c r="D445" i="126"/>
  <c r="D128" i="130"/>
  <c r="D755" i="126"/>
  <c r="D486" i="126"/>
  <c r="D743" i="126"/>
  <c r="D120" i="130"/>
  <c r="D450" i="126"/>
  <c r="D636" i="126"/>
  <c r="D767" i="126"/>
  <c r="D769" i="126"/>
  <c r="D598" i="126"/>
  <c r="D673" i="126"/>
  <c r="D766" i="126"/>
  <c r="D720" i="126"/>
  <c r="D557" i="126"/>
  <c r="D434" i="126"/>
  <c r="D457" i="126"/>
  <c r="D762" i="126"/>
  <c r="D464" i="126"/>
  <c r="C673" i="126"/>
  <c r="C693" i="126"/>
  <c r="D83" i="43"/>
  <c r="D776" i="44"/>
  <c r="D92" i="44"/>
  <c r="D80" i="47"/>
  <c r="D26" i="49"/>
  <c r="D14" i="49"/>
  <c r="F25" i="130" l="1"/>
  <c r="D98" i="130"/>
  <c r="D41" i="130"/>
  <c r="F41" i="130" s="1"/>
  <c r="F47" i="130"/>
  <c r="F99" i="130"/>
  <c r="D55" i="130"/>
  <c r="D50" i="130" s="1"/>
  <c r="F61" i="48"/>
  <c r="F360" i="44"/>
  <c r="D83" i="130"/>
  <c r="G14" i="129" s="1"/>
  <c r="F258" i="128"/>
  <c r="F64" i="48"/>
  <c r="D37" i="130"/>
  <c r="D33" i="130" s="1"/>
  <c r="F69" i="125"/>
  <c r="F52" i="48"/>
  <c r="F86" i="128"/>
  <c r="D85" i="130"/>
  <c r="C40" i="129"/>
  <c r="F80" i="47"/>
  <c r="F734" i="126"/>
  <c r="F92" i="44"/>
  <c r="C19" i="129"/>
  <c r="F74" i="125"/>
  <c r="F946" i="44"/>
  <c r="F65" i="125"/>
  <c r="D132" i="128"/>
  <c r="F776" i="44"/>
  <c r="F83" i="43"/>
  <c r="F189" i="128"/>
  <c r="D139" i="130"/>
  <c r="G10" i="129" s="1"/>
  <c r="D23" i="130"/>
  <c r="F26" i="130"/>
  <c r="D88" i="130"/>
  <c r="F24" i="130"/>
  <c r="F91" i="130"/>
  <c r="F123" i="130"/>
  <c r="D194" i="128"/>
  <c r="D248" i="128" s="1"/>
  <c r="F767" i="126"/>
  <c r="F233" i="128"/>
  <c r="D301" i="128"/>
  <c r="F557" i="126"/>
  <c r="F636" i="126"/>
  <c r="F486" i="126"/>
  <c r="F761" i="126"/>
  <c r="D268" i="128"/>
  <c r="D300" i="128"/>
  <c r="D235" i="128"/>
  <c r="D304" i="128"/>
  <c r="F468" i="126"/>
  <c r="D237" i="128"/>
  <c r="F598" i="126"/>
  <c r="D214" i="128"/>
  <c r="D385" i="126"/>
  <c r="F375" i="126"/>
  <c r="D293" i="128"/>
  <c r="F531" i="126"/>
  <c r="F464" i="126"/>
  <c r="C375" i="144"/>
  <c r="C374" i="144" s="1"/>
  <c r="C644" i="144" s="1"/>
  <c r="F260" i="128"/>
  <c r="C20" i="129"/>
  <c r="F430" i="126"/>
  <c r="D223" i="128"/>
  <c r="D127" i="130"/>
  <c r="D130" i="130" s="1"/>
  <c r="F771" i="126"/>
  <c r="F766" i="126"/>
  <c r="F580" i="126"/>
  <c r="F208" i="128"/>
  <c r="D269" i="128"/>
  <c r="D206" i="128"/>
  <c r="D144" i="130"/>
  <c r="F128" i="130"/>
  <c r="F445" i="126"/>
  <c r="F200" i="128"/>
  <c r="D199" i="128"/>
  <c r="F205" i="128"/>
  <c r="D266" i="128"/>
  <c r="F743" i="126"/>
  <c r="D202" i="128"/>
  <c r="F740" i="126"/>
  <c r="F203" i="128"/>
  <c r="D264" i="128"/>
  <c r="F204" i="128"/>
  <c r="D265" i="128"/>
  <c r="F120" i="130"/>
  <c r="D106" i="130"/>
  <c r="F108" i="130"/>
  <c r="F201" i="128"/>
  <c r="G39" i="129"/>
  <c r="F145" i="130"/>
  <c r="F951" i="44"/>
  <c r="D952" i="44"/>
  <c r="D90" i="130"/>
  <c r="D63" i="48"/>
  <c r="D774" i="126"/>
  <c r="D71" i="125"/>
  <c r="D124" i="130"/>
  <c r="D122" i="130"/>
  <c r="D645" i="126"/>
  <c r="D763" i="126"/>
  <c r="D607" i="126"/>
  <c r="D495" i="126"/>
  <c r="D447" i="126"/>
  <c r="D750" i="126"/>
  <c r="D682" i="126"/>
  <c r="D756" i="126"/>
  <c r="D770" i="126"/>
  <c r="D121" i="130"/>
  <c r="D559" i="126"/>
  <c r="D469" i="126"/>
  <c r="D735" i="126"/>
  <c r="C682" i="126"/>
  <c r="D84" i="43"/>
  <c r="D81" i="47"/>
  <c r="D32" i="135"/>
  <c r="D33" i="135"/>
  <c r="D49" i="135"/>
  <c r="D50" i="135"/>
  <c r="F55" i="130" l="1"/>
  <c r="F98" i="130"/>
  <c r="D93" i="130"/>
  <c r="F93" i="130" s="1"/>
  <c r="D97" i="130"/>
  <c r="D101" i="130" s="1"/>
  <c r="F139" i="130"/>
  <c r="D92" i="130"/>
  <c r="F71" i="125"/>
  <c r="F132" i="128"/>
  <c r="F37" i="130"/>
  <c r="D136" i="130"/>
  <c r="F136" i="130" s="1"/>
  <c r="F84" i="43"/>
  <c r="C48" i="129"/>
  <c r="F81" i="47"/>
  <c r="F63" i="48"/>
  <c r="F50" i="130"/>
  <c r="F88" i="130"/>
  <c r="F23" i="130"/>
  <c r="D196" i="128"/>
  <c r="F196" i="128" s="1"/>
  <c r="F194" i="128"/>
  <c r="F127" i="130"/>
  <c r="C28" i="129"/>
  <c r="C30" i="129"/>
  <c r="F269" i="128"/>
  <c r="D273" i="128"/>
  <c r="C53" i="129"/>
  <c r="F770" i="126"/>
  <c r="F235" i="128"/>
  <c r="F469" i="126"/>
  <c r="F607" i="126"/>
  <c r="D239" i="128"/>
  <c r="F645" i="126"/>
  <c r="F774" i="126"/>
  <c r="D149" i="130"/>
  <c r="D151" i="130" s="1"/>
  <c r="F151" i="130" s="1"/>
  <c r="D267" i="128"/>
  <c r="D225" i="128"/>
  <c r="D288" i="128"/>
  <c r="F559" i="126"/>
  <c r="F495" i="126"/>
  <c r="D296" i="128"/>
  <c r="F385" i="126"/>
  <c r="D306" i="128"/>
  <c r="F300" i="128"/>
  <c r="C49" i="129"/>
  <c r="F301" i="128"/>
  <c r="C51" i="129"/>
  <c r="D110" i="130"/>
  <c r="F110" i="130" s="1"/>
  <c r="F106" i="130"/>
  <c r="F199" i="128"/>
  <c r="D210" i="128"/>
  <c r="D261" i="128"/>
  <c r="F130" i="130"/>
  <c r="F122" i="130"/>
  <c r="C24" i="129"/>
  <c r="F264" i="128"/>
  <c r="C10" i="129"/>
  <c r="F248" i="128"/>
  <c r="D252" i="128"/>
  <c r="C26" i="129"/>
  <c r="F266" i="128"/>
  <c r="F121" i="130"/>
  <c r="C25" i="129"/>
  <c r="F265" i="128"/>
  <c r="F202" i="128"/>
  <c r="D262" i="128"/>
  <c r="D458" i="126"/>
  <c r="F447" i="126"/>
  <c r="F735" i="126"/>
  <c r="F750" i="126"/>
  <c r="G38" i="129"/>
  <c r="F144" i="130"/>
  <c r="F90" i="130"/>
  <c r="F33" i="130"/>
  <c r="F952" i="44"/>
  <c r="D138" i="130"/>
  <c r="D775" i="126"/>
  <c r="D137" i="130"/>
  <c r="D125" i="130"/>
  <c r="D752" i="126"/>
  <c r="D569" i="126"/>
  <c r="C12" i="138"/>
  <c r="D94" i="130" l="1"/>
  <c r="F92" i="130"/>
  <c r="D140" i="130"/>
  <c r="D141" i="130" s="1"/>
  <c r="D143" i="130"/>
  <c r="F97" i="130"/>
  <c r="G51" i="129"/>
  <c r="G55" i="129" s="1"/>
  <c r="G7" i="129"/>
  <c r="F149" i="130"/>
  <c r="F775" i="126"/>
  <c r="D308" i="128"/>
  <c r="F306" i="128"/>
  <c r="C27" i="129"/>
  <c r="F267" i="128"/>
  <c r="D275" i="128"/>
  <c r="C32" i="129"/>
  <c r="F569" i="126"/>
  <c r="F296" i="128"/>
  <c r="D290" i="128"/>
  <c r="C55" i="129"/>
  <c r="F752" i="126"/>
  <c r="C22" i="129"/>
  <c r="F262" i="128"/>
  <c r="F125" i="130"/>
  <c r="F458" i="126"/>
  <c r="C15" i="129"/>
  <c r="C21" i="129"/>
  <c r="F261" i="128"/>
  <c r="D271" i="128"/>
  <c r="F252" i="128"/>
  <c r="F210" i="128"/>
  <c r="D216" i="128"/>
  <c r="F137" i="130"/>
  <c r="G9" i="129"/>
  <c r="F138" i="130"/>
  <c r="F101" i="130"/>
  <c r="D132" i="130"/>
  <c r="G8" i="129"/>
  <c r="D764" i="126"/>
  <c r="D8" i="135"/>
  <c r="D9" i="135"/>
  <c r="D10" i="135"/>
  <c r="D12" i="135"/>
  <c r="D13" i="135"/>
  <c r="D14" i="135"/>
  <c r="D15" i="135"/>
  <c r="D16" i="135"/>
  <c r="D17" i="135"/>
  <c r="D18" i="135"/>
  <c r="D19" i="135"/>
  <c r="D20" i="135"/>
  <c r="D21" i="135"/>
  <c r="D22" i="135"/>
  <c r="D23" i="135"/>
  <c r="D26" i="135"/>
  <c r="D27" i="135"/>
  <c r="D28" i="135"/>
  <c r="D29" i="135"/>
  <c r="D30" i="135"/>
  <c r="D31" i="135"/>
  <c r="D34" i="135"/>
  <c r="D35" i="135"/>
  <c r="D36" i="135"/>
  <c r="D37" i="135"/>
  <c r="D38" i="135"/>
  <c r="D39" i="135"/>
  <c r="D40" i="135"/>
  <c r="D41" i="135"/>
  <c r="D42" i="135"/>
  <c r="D43" i="135"/>
  <c r="D44" i="135"/>
  <c r="D45" i="135"/>
  <c r="D46" i="135"/>
  <c r="D47" i="135"/>
  <c r="D48" i="135"/>
  <c r="D51" i="135"/>
  <c r="D52" i="135"/>
  <c r="D53" i="135"/>
  <c r="D54" i="135"/>
  <c r="D55" i="135"/>
  <c r="D56" i="135"/>
  <c r="D57" i="135"/>
  <c r="D58" i="135"/>
  <c r="D59" i="135"/>
  <c r="D60" i="135"/>
  <c r="D178" i="134"/>
  <c r="D177" i="134"/>
  <c r="D176" i="134"/>
  <c r="D175" i="134"/>
  <c r="D174" i="134"/>
  <c r="D173" i="134"/>
  <c r="D172" i="134"/>
  <c r="D171" i="134"/>
  <c r="D169" i="134"/>
  <c r="D168" i="134"/>
  <c r="D167" i="134"/>
  <c r="D166" i="134"/>
  <c r="D165" i="134"/>
  <c r="D164" i="134"/>
  <c r="D163" i="134"/>
  <c r="D162" i="134"/>
  <c r="D161" i="134"/>
  <c r="D160" i="134"/>
  <c r="D159" i="134"/>
  <c r="D158" i="134"/>
  <c r="D157" i="134"/>
  <c r="D156" i="134"/>
  <c r="D155" i="134"/>
  <c r="D154" i="134"/>
  <c r="D153" i="134"/>
  <c r="D151" i="134"/>
  <c r="D150" i="134"/>
  <c r="D149" i="134"/>
  <c r="D135" i="134"/>
  <c r="D128" i="134"/>
  <c r="D96" i="134"/>
  <c r="D88" i="134"/>
  <c r="D86" i="134"/>
  <c r="D72" i="134"/>
  <c r="D62" i="134"/>
  <c r="D59" i="134"/>
  <c r="D47" i="134"/>
  <c r="D45" i="134"/>
  <c r="D41" i="134"/>
  <c r="D10" i="134"/>
  <c r="G37" i="129" l="1"/>
  <c r="D147" i="130"/>
  <c r="F147" i="130" s="1"/>
  <c r="F143" i="130"/>
  <c r="F140" i="130"/>
  <c r="G12" i="129"/>
  <c r="G34" i="129" s="1"/>
  <c r="D115" i="130"/>
  <c r="F115" i="130" s="1"/>
  <c r="F94" i="130"/>
  <c r="G48" i="129"/>
  <c r="D180" i="134"/>
  <c r="C33" i="129"/>
  <c r="C56" i="129"/>
  <c r="D310" i="128"/>
  <c r="F290" i="128"/>
  <c r="D298" i="128"/>
  <c r="D241" i="128"/>
  <c r="F216" i="128"/>
  <c r="C31" i="129"/>
  <c r="F764" i="126"/>
  <c r="F132" i="130"/>
  <c r="D277" i="128"/>
  <c r="F271" i="128"/>
  <c r="F141" i="130"/>
  <c r="D154" i="130" l="1"/>
  <c r="F298" i="128"/>
  <c r="C57" i="129"/>
  <c r="F277" i="128"/>
  <c r="D312" i="128"/>
  <c r="C34" i="129"/>
  <c r="F241" i="128"/>
  <c r="F154" i="130"/>
  <c r="G59" i="129"/>
  <c r="I74" i="141"/>
  <c r="I72" i="141"/>
  <c r="I70" i="141"/>
  <c r="I69" i="141"/>
  <c r="I68" i="141"/>
  <c r="I67" i="141"/>
  <c r="I66" i="141"/>
  <c r="I65" i="141"/>
  <c r="I64" i="141"/>
  <c r="I63" i="141"/>
  <c r="F312" i="128" l="1"/>
  <c r="C59" i="129"/>
  <c r="C319" i="44"/>
  <c r="D7" i="135" l="1"/>
  <c r="E62" i="135" l="1"/>
  <c r="C255" i="44" l="1"/>
  <c r="F27" i="138" l="1"/>
  <c r="E27" i="138"/>
  <c r="D27" i="138"/>
  <c r="G12" i="136"/>
  <c r="E12" i="136"/>
  <c r="D12" i="136"/>
  <c r="C12" i="136"/>
  <c r="M62" i="135"/>
  <c r="L62" i="135"/>
  <c r="K62" i="135"/>
  <c r="J62" i="135"/>
  <c r="I62" i="135"/>
  <c r="H62" i="135"/>
  <c r="G62" i="135"/>
  <c r="F62" i="135"/>
  <c r="D62" i="135" l="1"/>
  <c r="C412" i="126" l="1"/>
  <c r="C392" i="126"/>
  <c r="C429" i="126" l="1"/>
  <c r="C269" i="44"/>
  <c r="C942" i="44" s="1"/>
  <c r="C268" i="44"/>
  <c r="C941" i="44" l="1"/>
  <c r="C276" i="44"/>
  <c r="C384" i="44"/>
  <c r="C364" i="44" l="1"/>
  <c r="C791" i="44" l="1"/>
  <c r="C401" i="44"/>
  <c r="C948" i="44" s="1"/>
  <c r="C951" i="44" l="1"/>
  <c r="J61" i="131"/>
  <c r="E53" i="131"/>
  <c r="E51" i="131"/>
  <c r="E49" i="131"/>
  <c r="E47" i="131"/>
  <c r="E45" i="131"/>
  <c r="E43" i="131"/>
  <c r="E41" i="131"/>
  <c r="E39" i="131"/>
  <c r="E37" i="131"/>
  <c r="E35" i="131"/>
  <c r="E33" i="131"/>
  <c r="E31" i="131"/>
  <c r="E29" i="131"/>
  <c r="E27" i="131"/>
  <c r="C20" i="125" l="1"/>
  <c r="C775" i="44"/>
  <c r="C405" i="44" l="1"/>
  <c r="C56" i="48" l="1"/>
  <c r="I59" i="131" l="1"/>
  <c r="H59" i="131"/>
  <c r="G59" i="131"/>
  <c r="F59" i="131"/>
  <c r="I24" i="131"/>
  <c r="H24" i="131"/>
  <c r="G24" i="131"/>
  <c r="F24" i="131"/>
  <c r="E23" i="131"/>
  <c r="E22" i="131"/>
  <c r="E21" i="131"/>
  <c r="E20" i="131"/>
  <c r="E19" i="131"/>
  <c r="E18" i="131"/>
  <c r="E17" i="131"/>
  <c r="E16" i="131"/>
  <c r="E15" i="131"/>
  <c r="E14" i="131"/>
  <c r="E13" i="131"/>
  <c r="G61" i="131" l="1"/>
  <c r="E24" i="131"/>
  <c r="F61" i="131"/>
  <c r="H61" i="131"/>
  <c r="I61" i="131"/>
  <c r="E59" i="131"/>
  <c r="E61" i="131" l="1"/>
  <c r="C19" i="125"/>
  <c r="C49" i="128" l="1"/>
  <c r="C148" i="130" l="1"/>
  <c r="C150" i="130"/>
  <c r="C129" i="130"/>
  <c r="C109" i="130"/>
  <c r="C82" i="130"/>
  <c r="C56" i="130"/>
  <c r="C52" i="130"/>
  <c r="C54" i="130"/>
  <c r="C51" i="130"/>
  <c r="C45" i="130"/>
  <c r="C31" i="130"/>
  <c r="C29" i="130"/>
  <c r="C28" i="130"/>
  <c r="C27" i="130"/>
  <c r="C25" i="130"/>
  <c r="C24" i="130"/>
  <c r="C16" i="130"/>
  <c r="F50" i="129" l="1"/>
  <c r="F13" i="129"/>
  <c r="C49" i="43"/>
  <c r="C152" i="130"/>
  <c r="C113" i="130"/>
  <c r="C75" i="130"/>
  <c r="C72" i="130"/>
  <c r="C70" i="130"/>
  <c r="F57" i="129"/>
  <c r="C153" i="130" l="1"/>
  <c r="F38" i="137" l="1"/>
  <c r="D38" i="137"/>
  <c r="J38" i="137"/>
  <c r="I38" i="137"/>
  <c r="E38" i="137"/>
  <c r="M38" i="137"/>
  <c r="C38" i="137"/>
  <c r="G38" i="137"/>
  <c r="H38" i="137"/>
  <c r="N38" i="137"/>
  <c r="K38" i="137"/>
  <c r="L38" i="137"/>
  <c r="C9" i="128"/>
  <c r="C22" i="128" l="1"/>
  <c r="C24" i="128"/>
  <c r="C27" i="128"/>
  <c r="C31" i="128"/>
  <c r="C45" i="128"/>
  <c r="C55" i="128"/>
  <c r="C61" i="128"/>
  <c r="C66" i="128"/>
  <c r="C84" i="128"/>
  <c r="C91" i="128"/>
  <c r="C104" i="128"/>
  <c r="C111" i="128"/>
  <c r="C126" i="128"/>
  <c r="C130" i="128"/>
  <c r="C139" i="128"/>
  <c r="C141" i="128"/>
  <c r="C147" i="128"/>
  <c r="C162" i="128"/>
  <c r="C169" i="128"/>
  <c r="C173" i="128"/>
  <c r="C178" i="128"/>
  <c r="C183" i="128"/>
  <c r="C187" i="128"/>
  <c r="C221" i="128"/>
  <c r="F221" i="128"/>
  <c r="F225" i="128"/>
  <c r="C229" i="128"/>
  <c r="F229" i="128"/>
  <c r="F293" i="128" s="1"/>
  <c r="F239" i="128"/>
  <c r="C246" i="128"/>
  <c r="F246" i="128"/>
  <c r="C247" i="128"/>
  <c r="F247" i="128"/>
  <c r="C249" i="128"/>
  <c r="C250" i="128"/>
  <c r="C260" i="128"/>
  <c r="C263" i="128"/>
  <c r="F263" i="128"/>
  <c r="F268" i="128"/>
  <c r="C279" i="128"/>
  <c r="C280" i="128"/>
  <c r="C281" i="128"/>
  <c r="C283" i="128"/>
  <c r="F288" i="128"/>
  <c r="C294" i="128"/>
  <c r="F294" i="128"/>
  <c r="C302" i="128"/>
  <c r="F302" i="128"/>
  <c r="C303" i="128"/>
  <c r="F303" i="128"/>
  <c r="F304" i="128"/>
  <c r="C293" i="128" l="1"/>
  <c r="B52" i="129"/>
  <c r="B9" i="129"/>
  <c r="B23" i="129"/>
  <c r="B50" i="129"/>
  <c r="C102" i="128"/>
  <c r="C18" i="138"/>
  <c r="C9" i="138"/>
  <c r="C145" i="128"/>
  <c r="C256" i="128" s="1"/>
  <c r="C255" i="128"/>
  <c r="C118" i="128"/>
  <c r="C158" i="128"/>
  <c r="B20" i="129"/>
  <c r="C287" i="128"/>
  <c r="C43" i="128"/>
  <c r="C282" i="128"/>
  <c r="C254" i="128"/>
  <c r="C72" i="128"/>
  <c r="C292" i="128"/>
  <c r="C245" i="128"/>
  <c r="C109" i="128"/>
  <c r="C29" i="126"/>
  <c r="C38" i="126"/>
  <c r="C42" i="126"/>
  <c r="C64" i="126"/>
  <c r="C73" i="126"/>
  <c r="C77" i="126"/>
  <c r="C99" i="126"/>
  <c r="C108" i="126"/>
  <c r="C112" i="126"/>
  <c r="C134" i="126"/>
  <c r="C143" i="126"/>
  <c r="C147" i="126"/>
  <c r="C169" i="126"/>
  <c r="C178" i="126"/>
  <c r="C182" i="126"/>
  <c r="C204" i="126"/>
  <c r="C213" i="126"/>
  <c r="C217" i="126"/>
  <c r="C239" i="126"/>
  <c r="C241" i="126"/>
  <c r="C248" i="126"/>
  <c r="C252" i="126"/>
  <c r="C274" i="126"/>
  <c r="C283" i="126"/>
  <c r="C287" i="126"/>
  <c r="C309" i="126"/>
  <c r="C318" i="126"/>
  <c r="C322" i="126"/>
  <c r="C363" i="126"/>
  <c r="C377" i="126"/>
  <c r="C382" i="126"/>
  <c r="C391" i="126"/>
  <c r="C436" i="126"/>
  <c r="C437" i="126"/>
  <c r="C439" i="126"/>
  <c r="C440" i="126"/>
  <c r="C441" i="126"/>
  <c r="C443" i="126"/>
  <c r="C444" i="126"/>
  <c r="C452" i="126"/>
  <c r="C454" i="126"/>
  <c r="C462" i="126"/>
  <c r="C466" i="126"/>
  <c r="C474" i="126"/>
  <c r="C492" i="126"/>
  <c r="C501" i="126"/>
  <c r="C505" i="126"/>
  <c r="C521" i="126"/>
  <c r="C528" i="126"/>
  <c r="C537" i="126"/>
  <c r="C541" i="126"/>
  <c r="C548" i="126"/>
  <c r="C549" i="126"/>
  <c r="C550" i="126"/>
  <c r="C551" i="126"/>
  <c r="C552" i="126"/>
  <c r="C553" i="126"/>
  <c r="C554" i="126"/>
  <c r="C555" i="126"/>
  <c r="C556" i="126"/>
  <c r="C558" i="126"/>
  <c r="C560" i="126"/>
  <c r="C562" i="126"/>
  <c r="C563" i="126"/>
  <c r="C564" i="126"/>
  <c r="C565" i="126"/>
  <c r="C567" i="126"/>
  <c r="C570" i="126"/>
  <c r="C571" i="126"/>
  <c r="C572" i="126"/>
  <c r="C573" i="126"/>
  <c r="C574" i="126"/>
  <c r="C576" i="126"/>
  <c r="C577" i="126"/>
  <c r="C586" i="126"/>
  <c r="C604" i="126"/>
  <c r="C613" i="126"/>
  <c r="C618" i="126"/>
  <c r="C624" i="126"/>
  <c r="C642" i="126"/>
  <c r="C651" i="126"/>
  <c r="C655" i="126"/>
  <c r="C697" i="126"/>
  <c r="C699" i="126"/>
  <c r="C717" i="126"/>
  <c r="C726" i="126"/>
  <c r="C730" i="126"/>
  <c r="C568" i="126" l="1"/>
  <c r="C442" i="126"/>
  <c r="C747" i="126" s="1"/>
  <c r="C206" i="128" s="1"/>
  <c r="C267" i="128" s="1"/>
  <c r="B27" i="129" s="1"/>
  <c r="C561" i="126"/>
  <c r="C449" i="126"/>
  <c r="C450" i="126" s="1"/>
  <c r="C438" i="126"/>
  <c r="C743" i="126" s="1"/>
  <c r="C202" i="128" s="1"/>
  <c r="C262" i="128" s="1"/>
  <c r="B22" i="129" s="1"/>
  <c r="C463" i="126"/>
  <c r="C456" i="126"/>
  <c r="C742" i="126"/>
  <c r="C201" i="128" s="1"/>
  <c r="C451" i="126"/>
  <c r="C769" i="126"/>
  <c r="C749" i="126"/>
  <c r="C208" i="128" s="1"/>
  <c r="C269" i="128" s="1"/>
  <c r="B30" i="129" s="1"/>
  <c r="C120" i="128"/>
  <c r="B8" i="129"/>
  <c r="C21" i="138"/>
  <c r="C27" i="138" s="1"/>
  <c r="C709" i="126"/>
  <c r="C760" i="126"/>
  <c r="C745" i="126"/>
  <c r="C204" i="128" s="1"/>
  <c r="C265" i="128" s="1"/>
  <c r="B25" i="129" s="1"/>
  <c r="C741" i="126"/>
  <c r="C200" i="128" s="1"/>
  <c r="C430" i="126"/>
  <c r="C461" i="126"/>
  <c r="C453" i="126"/>
  <c r="C759" i="126" s="1"/>
  <c r="C207" i="126"/>
  <c r="C67" i="126"/>
  <c r="C172" i="126"/>
  <c r="C102" i="126"/>
  <c r="C32" i="126"/>
  <c r="C634" i="126"/>
  <c r="C596" i="126"/>
  <c r="C460" i="126"/>
  <c r="C277" i="126"/>
  <c r="C758" i="126"/>
  <c r="C231" i="128" s="1"/>
  <c r="C768" i="126"/>
  <c r="C123" i="130" s="1"/>
  <c r="C751" i="126"/>
  <c r="C212" i="128" s="1"/>
  <c r="C214" i="128" s="1"/>
  <c r="C273" i="128" s="1"/>
  <c r="C275" i="128" s="1"/>
  <c r="C748" i="126"/>
  <c r="C207" i="128" s="1"/>
  <c r="C268" i="128" s="1"/>
  <c r="B28" i="129" s="1"/>
  <c r="C746" i="126"/>
  <c r="C205" i="128" s="1"/>
  <c r="C266" i="128" s="1"/>
  <c r="B26" i="129" s="1"/>
  <c r="C744" i="126"/>
  <c r="C203" i="128" s="1"/>
  <c r="C264" i="128" s="1"/>
  <c r="B24" i="129" s="1"/>
  <c r="C772" i="126"/>
  <c r="C164" i="128"/>
  <c r="C542" i="126"/>
  <c r="C619" i="126"/>
  <c r="C288" i="126"/>
  <c r="C656" i="126"/>
  <c r="C148" i="126"/>
  <c r="C579" i="126"/>
  <c r="C459" i="126"/>
  <c r="B17" i="129"/>
  <c r="C296" i="128"/>
  <c r="B45" i="129"/>
  <c r="C435" i="126"/>
  <c r="C506" i="126"/>
  <c r="C285" i="128"/>
  <c r="C242" i="126"/>
  <c r="C253" i="126"/>
  <c r="C258" i="128"/>
  <c r="B16" i="129"/>
  <c r="B41" i="129"/>
  <c r="B18" i="129"/>
  <c r="C86" i="128"/>
  <c r="C465" i="126"/>
  <c r="C43" i="126"/>
  <c r="C323" i="126"/>
  <c r="C137" i="126"/>
  <c r="C731" i="126"/>
  <c r="C373" i="126"/>
  <c r="C575" i="126"/>
  <c r="C566" i="126"/>
  <c r="C113" i="126"/>
  <c r="C78" i="126"/>
  <c r="C547" i="126"/>
  <c r="C484" i="126"/>
  <c r="C218" i="126"/>
  <c r="C523" i="126"/>
  <c r="C183" i="126"/>
  <c r="C312" i="126"/>
  <c r="B32" i="129" l="1"/>
  <c r="C304" i="128"/>
  <c r="B53" i="129" s="1"/>
  <c r="C199" i="128"/>
  <c r="C210" i="128" s="1"/>
  <c r="C233" i="128"/>
  <c r="C301" i="128" s="1"/>
  <c r="B51" i="129" s="1"/>
  <c r="C755" i="126"/>
  <c r="C223" i="128" s="1"/>
  <c r="C457" i="126"/>
  <c r="C757" i="126"/>
  <c r="C232" i="128" s="1"/>
  <c r="C300" i="128" s="1"/>
  <c r="C762" i="126"/>
  <c r="C237" i="128" s="1"/>
  <c r="C239" i="128" s="1"/>
  <c r="C308" i="128" s="1"/>
  <c r="C455" i="126"/>
  <c r="C433" i="126"/>
  <c r="C734" i="126" s="1"/>
  <c r="C194" i="128" s="1"/>
  <c r="B44" i="129"/>
  <c r="B33" i="129"/>
  <c r="C189" i="128"/>
  <c r="C636" i="126"/>
  <c r="C645" i="126" s="1"/>
  <c r="C766" i="126"/>
  <c r="C121" i="130" s="1"/>
  <c r="C771" i="126"/>
  <c r="C774" i="126" s="1"/>
  <c r="C598" i="126"/>
  <c r="C711" i="126"/>
  <c r="C445" i="126"/>
  <c r="C765" i="126"/>
  <c r="C740" i="126"/>
  <c r="C767" i="126"/>
  <c r="C122" i="130" s="1"/>
  <c r="C128" i="130"/>
  <c r="C124" i="130"/>
  <c r="B35" i="129"/>
  <c r="C108" i="130"/>
  <c r="C464" i="126"/>
  <c r="B47" i="129"/>
  <c r="C107" i="130"/>
  <c r="B19" i="129"/>
  <c r="C132" i="128"/>
  <c r="C375" i="126"/>
  <c r="C468" i="126"/>
  <c r="C531" i="126"/>
  <c r="C580" i="126"/>
  <c r="C486" i="126"/>
  <c r="C557" i="126"/>
  <c r="C288" i="128" l="1"/>
  <c r="C290" i="128" s="1"/>
  <c r="C298" i="128" s="1"/>
  <c r="C225" i="128"/>
  <c r="B56" i="129"/>
  <c r="B57" i="129" s="1"/>
  <c r="C310" i="128"/>
  <c r="B49" i="129"/>
  <c r="B55" i="129" s="1"/>
  <c r="C306" i="128"/>
  <c r="C261" i="128"/>
  <c r="B21" i="129" s="1"/>
  <c r="B31" i="129" s="1"/>
  <c r="C235" i="128"/>
  <c r="C756" i="126"/>
  <c r="C196" i="128"/>
  <c r="C216" i="128" s="1"/>
  <c r="C248" i="128"/>
  <c r="C271" i="128"/>
  <c r="C763" i="126"/>
  <c r="C761" i="126"/>
  <c r="C434" i="126"/>
  <c r="B40" i="129"/>
  <c r="B48" i="129" s="1"/>
  <c r="C770" i="126"/>
  <c r="C607" i="126"/>
  <c r="C750" i="126"/>
  <c r="C720" i="126"/>
  <c r="C127" i="130"/>
  <c r="I18" i="137"/>
  <c r="J18" i="137"/>
  <c r="K18" i="137"/>
  <c r="L18" i="137"/>
  <c r="M18" i="137"/>
  <c r="C18" i="137"/>
  <c r="D18" i="137"/>
  <c r="E18" i="137"/>
  <c r="F18" i="137"/>
  <c r="G18" i="137"/>
  <c r="H18" i="137"/>
  <c r="N18" i="137"/>
  <c r="D8" i="137"/>
  <c r="E8" i="137"/>
  <c r="F8" i="137"/>
  <c r="C8" i="137"/>
  <c r="G8" i="137"/>
  <c r="I8" i="137"/>
  <c r="K8" i="137"/>
  <c r="L8" i="137"/>
  <c r="M8" i="137"/>
  <c r="H8" i="137"/>
  <c r="J8" i="137"/>
  <c r="N8" i="137"/>
  <c r="C120" i="130"/>
  <c r="C469" i="126"/>
  <c r="C106" i="130"/>
  <c r="C385" i="126"/>
  <c r="C559" i="126"/>
  <c r="C495" i="126"/>
  <c r="C241" i="128" l="1"/>
  <c r="B10" i="129"/>
  <c r="B15" i="129" s="1"/>
  <c r="B34" i="129" s="1"/>
  <c r="C252" i="128"/>
  <c r="C277" i="128" s="1"/>
  <c r="C312" i="128" s="1"/>
  <c r="C447" i="126"/>
  <c r="C458" i="126" s="1"/>
  <c r="C735" i="126"/>
  <c r="C752" i="126" s="1"/>
  <c r="C775" i="126"/>
  <c r="G12" i="137"/>
  <c r="H14" i="137"/>
  <c r="M14" i="137"/>
  <c r="K14" i="137"/>
  <c r="I14" i="137"/>
  <c r="N14" i="137"/>
  <c r="C14" i="137"/>
  <c r="L14" i="137"/>
  <c r="J14" i="137"/>
  <c r="D14" i="137"/>
  <c r="E14" i="137"/>
  <c r="G14" i="137"/>
  <c r="F14" i="137"/>
  <c r="E6" i="137"/>
  <c r="H6" i="137"/>
  <c r="G6" i="137"/>
  <c r="J6" i="137"/>
  <c r="C6" i="137"/>
  <c r="I6" i="137"/>
  <c r="D6" i="137"/>
  <c r="N6" i="137"/>
  <c r="K6" i="137"/>
  <c r="M6" i="137"/>
  <c r="L6" i="137"/>
  <c r="F6" i="137"/>
  <c r="C130" i="130"/>
  <c r="O20" i="137"/>
  <c r="B59" i="129"/>
  <c r="H16" i="137"/>
  <c r="I16" i="137"/>
  <c r="J16" i="137"/>
  <c r="K16" i="137"/>
  <c r="M16" i="137"/>
  <c r="C16" i="137"/>
  <c r="D16" i="137"/>
  <c r="E16" i="137"/>
  <c r="F16" i="137"/>
  <c r="G16" i="137"/>
  <c r="L16" i="137"/>
  <c r="N16" i="137"/>
  <c r="F12" i="137"/>
  <c r="H12" i="137"/>
  <c r="D12" i="137"/>
  <c r="I12" i="137"/>
  <c r="M12" i="137"/>
  <c r="N12" i="137"/>
  <c r="C12" i="137"/>
  <c r="J12" i="137"/>
  <c r="L12" i="137"/>
  <c r="E10" i="137"/>
  <c r="F10" i="137"/>
  <c r="G10" i="137"/>
  <c r="C10" i="137"/>
  <c r="D10" i="137"/>
  <c r="H10" i="137"/>
  <c r="J10" i="137"/>
  <c r="K10" i="137"/>
  <c r="N10" i="137"/>
  <c r="I10" i="137"/>
  <c r="L10" i="137"/>
  <c r="M10" i="137"/>
  <c r="C125" i="130"/>
  <c r="C149" i="130"/>
  <c r="C110" i="130"/>
  <c r="C569" i="126"/>
  <c r="C39" i="48"/>
  <c r="E12" i="137" l="1"/>
  <c r="E20" i="137" s="1"/>
  <c r="K12" i="137"/>
  <c r="K20" i="137" s="1"/>
  <c r="C764" i="126"/>
  <c r="I20" i="137"/>
  <c r="F20" i="137"/>
  <c r="J20" i="137"/>
  <c r="D20" i="137"/>
  <c r="C20" i="137"/>
  <c r="N20" i="137"/>
  <c r="H20" i="137"/>
  <c r="G20" i="137"/>
  <c r="M20" i="137"/>
  <c r="L20" i="137"/>
  <c r="C132" i="130"/>
  <c r="F51" i="129"/>
  <c r="C151" i="130"/>
  <c r="C33" i="48"/>
  <c r="C51" i="48"/>
  <c r="F55" i="129" l="1"/>
  <c r="C27" i="48" l="1"/>
  <c r="C68" i="47" l="1"/>
  <c r="C79" i="47" l="1"/>
  <c r="C47" i="47" l="1"/>
  <c r="C58" i="47" l="1"/>
  <c r="C44" i="125"/>
  <c r="C50" i="125" l="1"/>
  <c r="C23" i="47"/>
  <c r="C127" i="44"/>
  <c r="C943" i="44" s="1"/>
  <c r="C53" i="130"/>
  <c r="C61" i="48"/>
  <c r="C63" i="48" l="1"/>
  <c r="C946" i="44" l="1"/>
  <c r="C952" i="44" s="1"/>
  <c r="C44" i="130" l="1"/>
  <c r="C72" i="125" l="1"/>
  <c r="C33" i="125"/>
  <c r="C38" i="130" l="1"/>
  <c r="C37" i="125"/>
  <c r="C928" i="44" l="1"/>
  <c r="C898" i="44"/>
  <c r="C474" i="44" l="1"/>
  <c r="C464" i="44"/>
  <c r="C26" i="130" l="1"/>
  <c r="C434" i="44"/>
  <c r="C454" i="44"/>
  <c r="C918" i="44" l="1"/>
  <c r="C71" i="47" l="1"/>
  <c r="C72" i="47"/>
  <c r="C46" i="130"/>
  <c r="C48" i="130"/>
  <c r="C69" i="47"/>
  <c r="C938" i="44"/>
  <c r="C868" i="44"/>
  <c r="C858" i="44"/>
  <c r="C848" i="44"/>
  <c r="C838" i="44"/>
  <c r="C505" i="44"/>
  <c r="C394" i="44"/>
  <c r="C359" i="44"/>
  <c r="C349" i="44"/>
  <c r="C329" i="44"/>
  <c r="C309" i="44"/>
  <c r="C299" i="44"/>
  <c r="C78" i="47" l="1"/>
  <c r="C43" i="130"/>
  <c r="C42" i="130"/>
  <c r="C75" i="47"/>
  <c r="C80" i="47" l="1"/>
  <c r="C69" i="43"/>
  <c r="C81" i="47" l="1"/>
  <c r="C19" i="130"/>
  <c r="C13" i="130"/>
  <c r="C18" i="130"/>
  <c r="C17" i="130"/>
  <c r="C15" i="130"/>
  <c r="C91" i="130" s="1"/>
  <c r="C12" i="130"/>
  <c r="C14" i="130"/>
  <c r="C82" i="43"/>
  <c r="C77" i="43"/>
  <c r="C139" i="130" l="1"/>
  <c r="F10" i="129" s="1"/>
  <c r="C11" i="130"/>
  <c r="C83" i="43"/>
  <c r="C29" i="43"/>
  <c r="C18" i="43"/>
  <c r="J28" i="137" l="1"/>
  <c r="C8" i="43"/>
  <c r="C84" i="43"/>
  <c r="C19" i="43"/>
  <c r="D28" i="137" l="1"/>
  <c r="K28" i="137"/>
  <c r="F28" i="137"/>
  <c r="I28" i="137"/>
  <c r="G28" i="137"/>
  <c r="L28" i="137"/>
  <c r="E28" i="137"/>
  <c r="N28" i="137"/>
  <c r="M28" i="137"/>
  <c r="H28" i="137"/>
  <c r="C28" i="137"/>
  <c r="C11" i="125"/>
  <c r="C66" i="125" l="1"/>
  <c r="C67" i="125"/>
  <c r="C68" i="125"/>
  <c r="C73" i="125"/>
  <c r="C64" i="125"/>
  <c r="C30" i="125"/>
  <c r="C24" i="125"/>
  <c r="C908" i="44"/>
  <c r="C888" i="44"/>
  <c r="C878" i="44"/>
  <c r="C817" i="44"/>
  <c r="C827" i="44"/>
  <c r="C807" i="44"/>
  <c r="C797" i="44"/>
  <c r="C787" i="44"/>
  <c r="C765" i="44"/>
  <c r="C755" i="44"/>
  <c r="C745" i="44"/>
  <c r="C735" i="44"/>
  <c r="C725" i="44"/>
  <c r="C715" i="44"/>
  <c r="C705" i="44"/>
  <c r="C695" i="44"/>
  <c r="C685" i="44"/>
  <c r="C675" i="44"/>
  <c r="C665" i="44"/>
  <c r="C655" i="44"/>
  <c r="C645" i="44"/>
  <c r="C635" i="44"/>
  <c r="C625" i="44"/>
  <c r="C615" i="44"/>
  <c r="C605" i="44"/>
  <c r="C595" i="44"/>
  <c r="C585" i="44"/>
  <c r="C575" i="44"/>
  <c r="C565" i="44"/>
  <c r="C555" i="44"/>
  <c r="C545" i="44"/>
  <c r="C535" i="44"/>
  <c r="C525" i="44"/>
  <c r="C265" i="44"/>
  <c r="C245" i="44"/>
  <c r="C194" i="44"/>
  <c r="C184" i="44"/>
  <c r="C235" i="44"/>
  <c r="C225" i="44"/>
  <c r="C205" i="44"/>
  <c r="C215" i="44"/>
  <c r="C36" i="130" l="1"/>
  <c r="C35" i="130"/>
  <c r="C34" i="130"/>
  <c r="C39" i="130"/>
  <c r="C828" i="44"/>
  <c r="C195" i="44"/>
  <c r="C495" i="44"/>
  <c r="C30" i="130"/>
  <c r="C777" i="44"/>
  <c r="C70" i="125"/>
  <c r="C404" i="44"/>
  <c r="C88" i="130" l="1"/>
  <c r="C90" i="130"/>
  <c r="C89" i="130"/>
  <c r="C137" i="130" s="1"/>
  <c r="C23" i="130"/>
  <c r="C776" i="44"/>
  <c r="C416" i="44"/>
  <c r="C136" i="130" l="1"/>
  <c r="C138" i="130"/>
  <c r="F8" i="129"/>
  <c r="C69" i="125"/>
  <c r="C74" i="125"/>
  <c r="C65" i="125"/>
  <c r="C370" i="44"/>
  <c r="F7" i="129" l="1"/>
  <c r="F24" i="137"/>
  <c r="F9" i="129"/>
  <c r="C37" i="130"/>
  <c r="D22" i="137"/>
  <c r="H22" i="137"/>
  <c r="L22" i="137"/>
  <c r="E22" i="137"/>
  <c r="I22" i="137"/>
  <c r="M22" i="137"/>
  <c r="K22" i="137"/>
  <c r="C22" i="137"/>
  <c r="F22" i="137"/>
  <c r="J22" i="137"/>
  <c r="N22" i="137"/>
  <c r="G22" i="137"/>
  <c r="E24" i="137"/>
  <c r="I24" i="137"/>
  <c r="M24" i="137"/>
  <c r="N24" i="137"/>
  <c r="H24" i="137"/>
  <c r="K24" i="137"/>
  <c r="D24" i="137"/>
  <c r="C71" i="125"/>
  <c r="C373" i="44"/>
  <c r="C383" i="44"/>
  <c r="C24" i="137" l="1"/>
  <c r="J24" i="137"/>
  <c r="L24" i="137"/>
  <c r="G24" i="137"/>
  <c r="N26" i="137"/>
  <c r="C33" i="130"/>
  <c r="D26" i="137"/>
  <c r="I26" i="137"/>
  <c r="L26" i="137"/>
  <c r="G26" i="137"/>
  <c r="F26" i="137"/>
  <c r="C26" i="137"/>
  <c r="C360" i="44"/>
  <c r="C444" i="44"/>
  <c r="C424" i="44" s="1"/>
  <c r="C58" i="48"/>
  <c r="C57" i="130"/>
  <c r="C52" i="48"/>
  <c r="C339" i="44"/>
  <c r="C289" i="44"/>
  <c r="C113" i="44"/>
  <c r="C91" i="44"/>
  <c r="C80" i="44"/>
  <c r="C70" i="44"/>
  <c r="C59" i="44"/>
  <c r="C49" i="44"/>
  <c r="C39" i="44"/>
  <c r="C29" i="44"/>
  <c r="C19" i="44"/>
  <c r="C143" i="44"/>
  <c r="C174" i="44"/>
  <c r="C164" i="44"/>
  <c r="C154" i="44"/>
  <c r="C133" i="44"/>
  <c r="C123" i="44"/>
  <c r="C103" i="44"/>
  <c r="C99" i="130" l="1"/>
  <c r="C145" i="130" s="1"/>
  <c r="J26" i="137"/>
  <c r="K26" i="137"/>
  <c r="M26" i="137"/>
  <c r="E26" i="137"/>
  <c r="H26" i="137"/>
  <c r="C266" i="44"/>
  <c r="C144" i="44"/>
  <c r="C9" i="44"/>
  <c r="C64" i="48"/>
  <c r="C81" i="44"/>
  <c r="C55" i="130"/>
  <c r="C93" i="44"/>
  <c r="C60" i="44"/>
  <c r="F39" i="129" l="1"/>
  <c r="C97" i="130"/>
  <c r="C50" i="130"/>
  <c r="C47" i="130"/>
  <c r="C92" i="44"/>
  <c r="N36" i="137" l="1"/>
  <c r="I36" i="137"/>
  <c r="E36" i="137"/>
  <c r="G36" i="137"/>
  <c r="D36" i="137"/>
  <c r="M36" i="137"/>
  <c r="F36" i="137"/>
  <c r="K36" i="137"/>
  <c r="H36" i="137"/>
  <c r="J36" i="137"/>
  <c r="C36" i="137"/>
  <c r="L36" i="137"/>
  <c r="C41" i="130"/>
  <c r="C98" i="130"/>
  <c r="C101" i="130" s="1"/>
  <c r="C143" i="130"/>
  <c r="C144" i="130" l="1"/>
  <c r="C147" i="130" s="1"/>
  <c r="F37" i="129"/>
  <c r="C20" i="49"/>
  <c r="C16" i="49"/>
  <c r="D32" i="137" l="1"/>
  <c r="H32" i="137"/>
  <c r="L32" i="137"/>
  <c r="E32" i="137"/>
  <c r="I32" i="137"/>
  <c r="M32" i="137"/>
  <c r="G32" i="137"/>
  <c r="F32" i="137"/>
  <c r="J32" i="137"/>
  <c r="N32" i="137"/>
  <c r="K32" i="137"/>
  <c r="C32" i="137"/>
  <c r="F38" i="129"/>
  <c r="F48" i="129" s="1"/>
  <c r="C14" i="49"/>
  <c r="C83" i="130" s="1"/>
  <c r="C26" i="49"/>
  <c r="C85" i="130" s="1"/>
  <c r="C92" i="130" l="1"/>
  <c r="F14" i="129"/>
  <c r="E34" i="137"/>
  <c r="I34" i="137"/>
  <c r="M34" i="137"/>
  <c r="F34" i="137"/>
  <c r="J34" i="137"/>
  <c r="N34" i="137"/>
  <c r="D34" i="137"/>
  <c r="L34" i="137"/>
  <c r="G34" i="137"/>
  <c r="K34" i="137"/>
  <c r="C34" i="137"/>
  <c r="H34" i="137"/>
  <c r="C93" i="130"/>
  <c r="C140" i="130" l="1"/>
  <c r="C141" i="130" s="1"/>
  <c r="C94" i="130"/>
  <c r="F12" i="129" l="1"/>
  <c r="F34" i="129" s="1"/>
  <c r="C154" i="130"/>
  <c r="C115" i="130"/>
  <c r="F59" i="129" l="1"/>
  <c r="G30" i="137"/>
  <c r="G40" i="137" s="1"/>
  <c r="K30" i="137"/>
  <c r="K40" i="137" s="1"/>
  <c r="C30" i="137"/>
  <c r="C40" i="137" s="1"/>
  <c r="D30" i="137"/>
  <c r="D40" i="137" s="1"/>
  <c r="H30" i="137"/>
  <c r="H40" i="137" s="1"/>
  <c r="L30" i="137"/>
  <c r="L40" i="137" s="1"/>
  <c r="J30" i="137"/>
  <c r="J40" i="137" s="1"/>
  <c r="E30" i="137"/>
  <c r="E40" i="137" s="1"/>
  <c r="I30" i="137"/>
  <c r="I40" i="137" s="1"/>
  <c r="M30" i="137"/>
  <c r="M40" i="137" s="1"/>
  <c r="F30" i="137"/>
  <c r="F40" i="137" s="1"/>
  <c r="N30" i="137"/>
  <c r="N40" i="137" s="1"/>
  <c r="O40" i="137"/>
</calcChain>
</file>

<file path=xl/sharedStrings.xml><?xml version="1.0" encoding="utf-8"?>
<sst xmlns="http://schemas.openxmlformats.org/spreadsheetml/2006/main" count="4053" uniqueCount="1485">
  <si>
    <t>Akadálymentesítési támogatás</t>
  </si>
  <si>
    <t>Ferencvárosi Helytörténeti Egyesület</t>
  </si>
  <si>
    <t xml:space="preserve">   Beruházási kiadások</t>
  </si>
  <si>
    <t>Közfoglalkoztatottak pályázat tám.önrésze, kapcs.egyéb kiad.tám.</t>
  </si>
  <si>
    <t>FEV IX. Zrt. támogatása</t>
  </si>
  <si>
    <t>Térfigyelő rendszer fejlesztése</t>
  </si>
  <si>
    <t>Humánszolgáltatási feladatok</t>
  </si>
  <si>
    <t>Karaván Művészeti Alapítvány</t>
  </si>
  <si>
    <t xml:space="preserve">   Munkaadókat terhelő járulékok</t>
  </si>
  <si>
    <t>FESZOFE Nonprofit Kft</t>
  </si>
  <si>
    <t>Üdülőhelyi szálláshely szolgáltatás</t>
  </si>
  <si>
    <t>Általános közszolgáltatások, közrend, közbiztonság</t>
  </si>
  <si>
    <t>Egészségügy, szociális védelem</t>
  </si>
  <si>
    <t>Kiadások összesen</t>
  </si>
  <si>
    <t>Szabadidő, sport, kultúra, vallás</t>
  </si>
  <si>
    <t>Egészszégügy, szociális védelem</t>
  </si>
  <si>
    <r>
      <t xml:space="preserve">Általános tartalék  - </t>
    </r>
    <r>
      <rPr>
        <sz val="10"/>
        <rFont val="Arial CE"/>
        <charset val="238"/>
      </rPr>
      <t>egyéb működési célú kiadás</t>
    </r>
  </si>
  <si>
    <r>
      <t xml:space="preserve">Céltartalék - </t>
    </r>
    <r>
      <rPr>
        <sz val="10"/>
        <rFont val="Arial CE"/>
        <charset val="238"/>
      </rPr>
      <t>egyéb működés célú kiadás</t>
    </r>
  </si>
  <si>
    <t>Működési költségvetési kiadások mindösszesen</t>
  </si>
  <si>
    <t>Felhalmozási költségvetési kiadások mindösszesen</t>
  </si>
  <si>
    <t>Működési költségvetési kiadások</t>
  </si>
  <si>
    <t>Felhalmozási költségvetési kiadások</t>
  </si>
  <si>
    <t>Felhalmozási költségvetés kiadások mindösszesen</t>
  </si>
  <si>
    <t>Polgármester tiszt. összefüggő egyéb feladatok</t>
  </si>
  <si>
    <t>ebből:társasházak lépcsőházi kamerák támogatása</t>
  </si>
  <si>
    <t>Pályázat előkészítés, lebonyolítás</t>
  </si>
  <si>
    <t xml:space="preserve">Kiadások összesen </t>
  </si>
  <si>
    <t>Közúti közlekedés</t>
  </si>
  <si>
    <t>Egyéb kiegészítő szolgáltatás</t>
  </si>
  <si>
    <t>Általános közszolgáltatások</t>
  </si>
  <si>
    <t>Általános közszolgáltatások, közrend - Gazdasági társaságok</t>
  </si>
  <si>
    <t>Szabadidő, sport, kultúra, és vallás</t>
  </si>
  <si>
    <t>Szabadidő, sport</t>
  </si>
  <si>
    <t>Egyéb működési célú kiadások</t>
  </si>
  <si>
    <t>Örmény Nemzetiségi Önkormányzat</t>
  </si>
  <si>
    <t>Román Nemzetiségi Önkormányzat</t>
  </si>
  <si>
    <t>Szerb Nemzetiségi Önkormányzat</t>
  </si>
  <si>
    <t>Szlovák Nemzetiségi Önkormányzat</t>
  </si>
  <si>
    <t>Ukrán Nemzetiségi Önkormányzat</t>
  </si>
  <si>
    <t xml:space="preserve">     Munkaadókat terhelő járulékok és szociális hozzájárulási adó</t>
  </si>
  <si>
    <t xml:space="preserve">     Dologi kiadások</t>
  </si>
  <si>
    <t xml:space="preserve">   Munkaadókat terhelő járulékok és szociális hozzájárulási adó</t>
  </si>
  <si>
    <t>Kiadások mindösszesen</t>
  </si>
  <si>
    <t xml:space="preserve">     Személyi juttatások </t>
  </si>
  <si>
    <t>Balatonszéplaki Üdülő</t>
  </si>
  <si>
    <t xml:space="preserve">   Személyi juttatások </t>
  </si>
  <si>
    <t>Polgármesteri Hivatal összesen:</t>
  </si>
  <si>
    <t>Férőhely fenntartási díj Magyar Vöröskereszt</t>
  </si>
  <si>
    <t>Fogyatékos személyek nappali ellátása Gond-viselés Kht.</t>
  </si>
  <si>
    <t xml:space="preserve">   Ellátottak pénzbeli juttatásai</t>
  </si>
  <si>
    <t>Közutak üzemeltetése</t>
  </si>
  <si>
    <t>Bérlakás és egyéb ingatlan elidegenítés</t>
  </si>
  <si>
    <t>Ingatlanokkal kapcsolatos egyéb feladatok</t>
  </si>
  <si>
    <t>Nem önkormányzati tulajdonú lakóépületek veszélyelhárítása</t>
  </si>
  <si>
    <t xml:space="preserve">Helyiség megszerzési díj </t>
  </si>
  <si>
    <t>Oktatás</t>
  </si>
  <si>
    <t>Nemzetiségi Önkormányzat működési kiadásai</t>
  </si>
  <si>
    <t>Költségvetési kiadások</t>
  </si>
  <si>
    <t>Lakbértámogatás</t>
  </si>
  <si>
    <t>Adósságkezelési támogatás</t>
  </si>
  <si>
    <t>Köztisztasági feladatok</t>
  </si>
  <si>
    <t>Diáksport</t>
  </si>
  <si>
    <t>Testvérvárosi kapcsolatok</t>
  </si>
  <si>
    <t>Köztemetés</t>
  </si>
  <si>
    <t>Feladat megnevezése</t>
  </si>
  <si>
    <t>bizottság</t>
  </si>
  <si>
    <t>Támogatások összesen:</t>
  </si>
  <si>
    <t>R e h a b i l i t á c i ó   ö s s z e s e n :</t>
  </si>
  <si>
    <t>Egészségügyi prevenció</t>
  </si>
  <si>
    <t>Mindösszesen</t>
  </si>
  <si>
    <t xml:space="preserve">Összesen </t>
  </si>
  <si>
    <t>Társasház felújítási pályázat</t>
  </si>
  <si>
    <t>Kulturális feladatok összesen</t>
  </si>
  <si>
    <t>Támogató Szolgálat (Motiváció Alapítvány)</t>
  </si>
  <si>
    <t>Bursa Hungarica</t>
  </si>
  <si>
    <t>Lakáslemondás térítés, lakásbiztosíték visszafizetés</t>
  </si>
  <si>
    <t>Megnevezés</t>
  </si>
  <si>
    <t>1.</t>
  </si>
  <si>
    <t>2.</t>
  </si>
  <si>
    <t>3.</t>
  </si>
  <si>
    <t>Concerto Akadémia Nonprofit Kft.</t>
  </si>
  <si>
    <t xml:space="preserve">   Személyi juttatás</t>
  </si>
  <si>
    <t>Sport Alap</t>
  </si>
  <si>
    <t>KÉK Pont</t>
  </si>
  <si>
    <t>Összesen:</t>
  </si>
  <si>
    <t>Összesen</t>
  </si>
  <si>
    <t>Kényszer kiköltöztetés</t>
  </si>
  <si>
    <t>(eFt-ban)</t>
  </si>
  <si>
    <t>KF - rehabilitáció járulékos költségek</t>
  </si>
  <si>
    <t>Társasházak támogatása</t>
  </si>
  <si>
    <t>Ügyvédi díjak</t>
  </si>
  <si>
    <t>Védőoltás támogatása</t>
  </si>
  <si>
    <t>Közterületi növényvédelem</t>
  </si>
  <si>
    <t>Beruházások</t>
  </si>
  <si>
    <t xml:space="preserve">     Beruházások</t>
  </si>
  <si>
    <t xml:space="preserve">     Felújítások</t>
  </si>
  <si>
    <t xml:space="preserve">  Beruházások</t>
  </si>
  <si>
    <t xml:space="preserve">   Beruházások</t>
  </si>
  <si>
    <t xml:space="preserve">   Felújítások</t>
  </si>
  <si>
    <t xml:space="preserve">    Felújítások</t>
  </si>
  <si>
    <t>Költségvetési kiadások mindösszesen</t>
  </si>
  <si>
    <t>Egyéb kommunális feladatok</t>
  </si>
  <si>
    <t>Egyéb kommunális feladatok összesen</t>
  </si>
  <si>
    <t>Nemzetiségi közfeladatok ellátása és támogatása</t>
  </si>
  <si>
    <t>Közrend és közbiztonság, közösségi szolgáltatások</t>
  </si>
  <si>
    <t>Egyéb általános szolgáltatások</t>
  </si>
  <si>
    <t>Önkormányzati vagyonnal való gazdálkodás - Ingatlanügyek</t>
  </si>
  <si>
    <t>Egészségügy, szociális védelem, szabadidő</t>
  </si>
  <si>
    <t>Egészségügy, szociális védelem, szabadidő összesen</t>
  </si>
  <si>
    <t>I. Önkormányzati felújítások</t>
  </si>
  <si>
    <t>I. Önkormányzati felújítások összesen:</t>
  </si>
  <si>
    <t>I. Önkormányzati beruházások összesen</t>
  </si>
  <si>
    <t xml:space="preserve">   Egyéb felhalmozási célú kiadások</t>
  </si>
  <si>
    <t>Utcai szociális munka (Menhely Alapítvány)</t>
  </si>
  <si>
    <t>Sorsz.</t>
  </si>
  <si>
    <t xml:space="preserve"> </t>
  </si>
  <si>
    <t xml:space="preserve">   Személyi juttatások</t>
  </si>
  <si>
    <t xml:space="preserve">   Dologi kiadások és egyéb folyó kiadások</t>
  </si>
  <si>
    <t>Veszélyelhárítás</t>
  </si>
  <si>
    <t>Ferenc busz működtetése</t>
  </si>
  <si>
    <t>Kiadás megnevezése</t>
  </si>
  <si>
    <t xml:space="preserve">     Egyéb működési célú kiadások</t>
  </si>
  <si>
    <t xml:space="preserve">   Egyéb működési célú kiadások</t>
  </si>
  <si>
    <t>Informatikai működés és fejlesztés</t>
  </si>
  <si>
    <t xml:space="preserve">   Dologi kiadások</t>
  </si>
  <si>
    <t xml:space="preserve">   Munkaadókat terhelő jár. és szociális hozzájár.adó</t>
  </si>
  <si>
    <t>Dologi kiadások</t>
  </si>
  <si>
    <t>Bolgár Nemzetiségi Önkormányzat</t>
  </si>
  <si>
    <t>Görög Nemzetiségi Önkormányzat</t>
  </si>
  <si>
    <t>Német Nemzetiségi Önkormányzat</t>
  </si>
  <si>
    <t xml:space="preserve">     Egyéb felhalmozási célú kiadások</t>
  </si>
  <si>
    <t>Roma Nemzetiségi Önkormányzat</t>
  </si>
  <si>
    <t>Önkormányzati szakmai feladatokkal kapcsolatos kiadások</t>
  </si>
  <si>
    <t>Környezetvédelem</t>
  </si>
  <si>
    <t>Nemzetiségi önkormányzatok pályázati támogatása</t>
  </si>
  <si>
    <t>Születési és életkezdési támogatás</t>
  </si>
  <si>
    <t>Önkormányzati vagyon gazd. kapcs. feladatok - általános</t>
  </si>
  <si>
    <t>Polgármesteri Hivatal igazgatási kiadásai</t>
  </si>
  <si>
    <t>Önkormányzati vagyon gazdálkodásával kapcs. feladatok</t>
  </si>
  <si>
    <t>Önkormányzati vagyon gazd. kapcs. feladatok - eseti</t>
  </si>
  <si>
    <t>Pályázatok</t>
  </si>
  <si>
    <t>Pszichiátriai betegek nappali ellátása Moravcsik Alapítvány</t>
  </si>
  <si>
    <t xml:space="preserve">    Beruházások</t>
  </si>
  <si>
    <t>MÁV Szimfónikus Zenakari Alapítvány</t>
  </si>
  <si>
    <t>Rendkívüli támogatás</t>
  </si>
  <si>
    <t>Ifjusági koncepció végrehajtásával összefüggő feladat</t>
  </si>
  <si>
    <t>VIII. kerület Józsefváros Önkormányzata ellátási szerződés</t>
  </si>
  <si>
    <t>Sport és szabadidős feladatok</t>
  </si>
  <si>
    <t>Térfigyelő rendszer karbantartásának, üzemeltetésének költs.</t>
  </si>
  <si>
    <t>Egyéb felhalmozási célú kiadások</t>
  </si>
  <si>
    <t>Személyi juttatás</t>
  </si>
  <si>
    <t>Munkaadókat terhelő járulékok</t>
  </si>
  <si>
    <t>Zeneművészeti szervezetek támogatása</t>
  </si>
  <si>
    <t>Kulturális koncepció</t>
  </si>
  <si>
    <t xml:space="preserve">     Beruházások (2.mell.,3.A mell.,3.B., 3/C, 3/D, 4. mell.nélkül)</t>
  </si>
  <si>
    <t>Játszóterek karbantartása</t>
  </si>
  <si>
    <t>Képviselők és választott tisztségviselők juttatásai</t>
  </si>
  <si>
    <t>Parkolási feladatok (FEV IX. Zrt. által ellátott feladatokkal együtt)</t>
  </si>
  <si>
    <t xml:space="preserve">   Egyéb felhalmozási célú kiadások - Munkáltatói kölcsön</t>
  </si>
  <si>
    <t xml:space="preserve">    Egyéb felhalmozási célú kiadások</t>
  </si>
  <si>
    <t>Küldetés Egyesület ellátási szerződés</t>
  </si>
  <si>
    <t>FESZOFE kiemelkedően közhasznú Non-profit Kft működési tám.</t>
  </si>
  <si>
    <t>Jelzőrendszeres házi segítségnyújtás</t>
  </si>
  <si>
    <t>Működési és felhalmozási költségvetési kiadások mindösszesen</t>
  </si>
  <si>
    <t>Óvodák, oktatási, szociális és kulturális intézmények  összesen</t>
  </si>
  <si>
    <t xml:space="preserve">Játszóterek, műfüves és sportpályák, fitness eszközök, zöldf. felúj., </t>
  </si>
  <si>
    <t>Haller park felújítás</t>
  </si>
  <si>
    <t>Beruházási kiadások</t>
  </si>
  <si>
    <t>Felújítási kiadások</t>
  </si>
  <si>
    <t>Magyar Máltai Szeretetszolgálat Egyesület-Közösségi hasznosítás</t>
  </si>
  <si>
    <t>Közterületüzemeltetési egyéb feladatok</t>
  </si>
  <si>
    <t>Közrend, közbiztonság</t>
  </si>
  <si>
    <t>Zöldfelületi kataszter, fakataszter elkészítése</t>
  </si>
  <si>
    <t>Faültetés</t>
  </si>
  <si>
    <t>Bölcsőde konyha felújítása</t>
  </si>
  <si>
    <t>Kifli, túró rudi, tej beszerzés iskolák részére</t>
  </si>
  <si>
    <t>Lakás és helyiség karbantartás</t>
  </si>
  <si>
    <t>Deák Alapítvány</t>
  </si>
  <si>
    <t>Fogyatékos személyek nappali ellátása (gyermekek) Újbuda Önkrom.</t>
  </si>
  <si>
    <t>IX. kerületi Rendőrkapitányság támogatása</t>
  </si>
  <si>
    <t>Faültetés támogatása</t>
  </si>
  <si>
    <t>Felhasználást és beszámolást koordináló</t>
  </si>
  <si>
    <t>Felhasználást és beszámolást  koordináló</t>
  </si>
  <si>
    <t>ebből: Működési célú céltartalék</t>
  </si>
  <si>
    <t>ebből: Felhalmozási célú céltartalék</t>
  </si>
  <si>
    <t xml:space="preserve">   Felújítási kiadások</t>
  </si>
  <si>
    <t>Járdák felújítása</t>
  </si>
  <si>
    <t xml:space="preserve">   Egyéb felhalmozási célú kiadások (Államháztartáson kívülre)</t>
  </si>
  <si>
    <t xml:space="preserve">       ebből államháztartáson belüli</t>
  </si>
  <si>
    <t xml:space="preserve">                 államháztartáson kívüli</t>
  </si>
  <si>
    <t>FEV IX. Zrt. (Bérlemény közszolg. + Megbízási)</t>
  </si>
  <si>
    <t>4.</t>
  </si>
  <si>
    <t>5.</t>
  </si>
  <si>
    <t xml:space="preserve">Önkormányzati vagyonnal való gazdálkodás </t>
  </si>
  <si>
    <t xml:space="preserve">Közterületi takarítógépek beszerzése </t>
  </si>
  <si>
    <t>Egészségügy, szoc.,szabadidő, sport, kultúra, oktatás, vallás</t>
  </si>
  <si>
    <t>Felhasználást beszámolást koordináló</t>
  </si>
  <si>
    <t>6.</t>
  </si>
  <si>
    <t>Önkormányzati bérlemények üzemeltetési költségei</t>
  </si>
  <si>
    <t>Utak felújítása, javítása</t>
  </si>
  <si>
    <t>Fasorfenntartás</t>
  </si>
  <si>
    <t>Erdőgazdálkodás</t>
  </si>
  <si>
    <t>Oktatási támogatás</t>
  </si>
  <si>
    <t>Gyermeknevelési támogatás</t>
  </si>
  <si>
    <t>Gyógyszertámogatás</t>
  </si>
  <si>
    <t>65+ támogatás</t>
  </si>
  <si>
    <t>Bérlemény üzemeltetéssel kapcs. Kiadások mind. + Megb.sz.</t>
  </si>
  <si>
    <t>Kulturális tevékenység, egyházi és civil szerv.támog támogatása</t>
  </si>
  <si>
    <t>Önkormányzati lakások komfortosítása, lakások és helyiségek felújítása</t>
  </si>
  <si>
    <t xml:space="preserve">          Parkoló Alap</t>
  </si>
  <si>
    <t>SOS Krízis Alapítvány</t>
  </si>
  <si>
    <t>Pöttyös utcai metró felszíni rendezés</t>
  </si>
  <si>
    <t>Irodalmi  pályázat</t>
  </si>
  <si>
    <t>Kerékpáros infr. tervezés, kiépítés, fejlesztés, okosbicikli tárolók</t>
  </si>
  <si>
    <t>Kulturális, oktatási, egyházügyi és Nemzetiségi feladatok</t>
  </si>
  <si>
    <t>Helyi esélyegyenlőségi program végrehajtásával összefüggő feladatok</t>
  </si>
  <si>
    <t xml:space="preserve">Egyéb közterületek felújítása, fejlesztése </t>
  </si>
  <si>
    <t>Lakásfenntartási támogatás és lakhatáshoz kapcs.rendkívüli t.</t>
  </si>
  <si>
    <t>Jövedelemkiegészítő támogatás</t>
  </si>
  <si>
    <t>Egészségügyi, Szociális, Sport, Ifj. és Civil feladatok</t>
  </si>
  <si>
    <t>Részvételi költségvetés</t>
  </si>
  <si>
    <t>Tűzoltóság támogtása</t>
  </si>
  <si>
    <t>Konkáv Közösségi tér - Köztes átmenetek Nonprofit Kft.</t>
  </si>
  <si>
    <t>Ferencvárosi Klímastratégia végrehajtása</t>
  </si>
  <si>
    <t>ÉFOÉSZ ellátási szerződés</t>
  </si>
  <si>
    <t>Kitüntetések adományozásával kapcs. Költségek</t>
  </si>
  <si>
    <t>Nemzeti, önkormányzati ünnepek, rendezvények</t>
  </si>
  <si>
    <t xml:space="preserve"> Ebből bérleményüzemeltetési közszolg.szerz. Bruttó</t>
  </si>
  <si>
    <t xml:space="preserve">             Megbízási szerződési díj bruttó</t>
  </si>
  <si>
    <t>Ebből Parkolási közszolgáltatási szerződési díj</t>
  </si>
  <si>
    <t>Ebből: Polgármester, alpolgármesterek</t>
  </si>
  <si>
    <t xml:space="preserve">             Képviselő-testület tagok</t>
  </si>
  <si>
    <t xml:space="preserve">             Külsős bizottsági tagok</t>
  </si>
  <si>
    <t>Ebből: 9 magazin</t>
  </si>
  <si>
    <t xml:space="preserve">            9TV</t>
  </si>
  <si>
    <t xml:space="preserve">            Bérköltség</t>
  </si>
  <si>
    <t xml:space="preserve">           Közüzemi költségek, egyéb kiadások</t>
  </si>
  <si>
    <t xml:space="preserve">           Naptár</t>
  </si>
  <si>
    <t>Ebből: Közszolgáltató díj</t>
  </si>
  <si>
    <t xml:space="preserve">            Eseti megrendelés</t>
  </si>
  <si>
    <t>Lónyay u. 19. orvosi rendelő nyílászáró</t>
  </si>
  <si>
    <t>Önkormányzati lakóházak tetőfelújítás</t>
  </si>
  <si>
    <t>Díszkivilágítás</t>
  </si>
  <si>
    <t>Csengettyű utcai rendelő</t>
  </si>
  <si>
    <t>Hátrányos helyzetű diákok sport támogatása</t>
  </si>
  <si>
    <t>Orvosi rendelők fűtéskorszerűsítése</t>
  </si>
  <si>
    <t>EUCF pályázat</t>
  </si>
  <si>
    <t>Életjáradéki szolgáltatás</t>
  </si>
  <si>
    <t xml:space="preserve">          Beruházás (eszközbeszerzések, monitor, laptop, kamera, stb. )</t>
  </si>
  <si>
    <t>Ferencvárosi Média Nonprofit Kft. (Ferencvárosi naptár is 2022-től)</t>
  </si>
  <si>
    <t>Tartószerkezeti statikai vizsgálatok</t>
  </si>
  <si>
    <t>Tartószerkezeti statikai felújítások</t>
  </si>
  <si>
    <t>Balázs Béla utca 27/B lakóépület felújítása</t>
  </si>
  <si>
    <t>Kutyafuttatók felújítása</t>
  </si>
  <si>
    <t>Tanoda támogatás</t>
  </si>
  <si>
    <t>CT vizsgálat</t>
  </si>
  <si>
    <t>Diákok látogatása Holocaust emlékközpontban</t>
  </si>
  <si>
    <t>Polgárőr Egyesület támogatása</t>
  </si>
  <si>
    <t>Településrendezési eszközök</t>
  </si>
  <si>
    <t xml:space="preserve">          Fejlesztési céltartalék</t>
  </si>
  <si>
    <t>Közlekedésbiztonsági fejlesztés</t>
  </si>
  <si>
    <t>Belső-Ferencváros akadálymentesítés</t>
  </si>
  <si>
    <t>Gát u. 23-25. tervezés</t>
  </si>
  <si>
    <t>Thaly passzázs közvilágítás</t>
  </si>
  <si>
    <t>NEXT LEVEL Parking pályázat</t>
  </si>
  <si>
    <t>Krízis Alap-ból kifizetés</t>
  </si>
  <si>
    <t xml:space="preserve">Marhagödör és Vágó utcai felújítás </t>
  </si>
  <si>
    <t>Márton utca 8. Lakóház felújítás</t>
  </si>
  <si>
    <t>Ifjúmunkás utca 28-30 Sportpályák felújítása</t>
  </si>
  <si>
    <t xml:space="preserve">Ifjúmunkás utca 32. Fitnesz park </t>
  </si>
  <si>
    <t>MÁV csatornázás</t>
  </si>
  <si>
    <t xml:space="preserve">Egyéb felhalmozási célú kiadások </t>
  </si>
  <si>
    <t>Ruszin Nemzetiségi Önkormányzat</t>
  </si>
  <si>
    <t>Horvát Nemzetiségi Önkormányzat</t>
  </si>
  <si>
    <t xml:space="preserve"> Fedett, zárható kerékpártárolók társasházak, lakótelepek környékén</t>
  </si>
  <si>
    <t xml:space="preserve">Személyi juttatások </t>
  </si>
  <si>
    <t>Munkaadókat terhelő jár. és szociális hozzájár.adó</t>
  </si>
  <si>
    <t>Ecseri úti metró megálló felszíni rendezése</t>
  </si>
  <si>
    <t xml:space="preserve">           Kilenconline</t>
  </si>
  <si>
    <t>Idősügyi feladatok</t>
  </si>
  <si>
    <t xml:space="preserve">Az önkormányzat  költségvetésében szereplő 2026. évi kiadások </t>
  </si>
  <si>
    <t>2026. évi előirányzat ../2026.</t>
  </si>
  <si>
    <t>CLAP Gyermekek helyi ügyekben való részvétele</t>
  </si>
  <si>
    <t>Budapesti Zöld Panel program</t>
  </si>
  <si>
    <t>Egészséges utcák - Viola utca</t>
  </si>
  <si>
    <t>Egészséges utcák - Sobieski utca</t>
  </si>
  <si>
    <t>Egészséges utcák - Ipar utca</t>
  </si>
  <si>
    <t>Egészséges utcák - Angyal utca</t>
  </si>
  <si>
    <t xml:space="preserve">Bartók Táncegyüttes </t>
  </si>
  <si>
    <t xml:space="preserve">Az önkormányzat  költségvetésében szereplő támogatások 2026. évi kiadásai </t>
  </si>
  <si>
    <t>2026. évi felújítások (felújítási kiadások, egyéb felhalmozási célú kiadások és egyéb felújítási munkákhoz kapcsolódó kiadások)</t>
  </si>
  <si>
    <t>Haller u. 54. felújítás tervezés</t>
  </si>
  <si>
    <t>Lenhossék u. 5. Felújítás tervezés</t>
  </si>
  <si>
    <t>Gát u. 23-25 építés</t>
  </si>
  <si>
    <t>2026. évi beruházási, fejlesztési kiadások</t>
  </si>
  <si>
    <t>Az önkormányzat költségvetésében szereplő 2026. évi tartalékok</t>
  </si>
  <si>
    <t>Óvodafejlesztés</t>
  </si>
  <si>
    <t>Munkaadókat terhelő járulékok és szociális hozzájárulási adó</t>
  </si>
  <si>
    <t>Új önkormányzati bérház építés-tervezés</t>
  </si>
  <si>
    <t xml:space="preserve">Haller u. 54. építés </t>
  </si>
  <si>
    <t xml:space="preserve">          Lónyay Property célbefizetés</t>
  </si>
  <si>
    <t xml:space="preserve">          AVICO Riverbay telekátalkítási megállapodás</t>
  </si>
  <si>
    <t xml:space="preserve">  Egyéb felhalmozási célú kiadások</t>
  </si>
  <si>
    <t xml:space="preserve">  Felújítások</t>
  </si>
  <si>
    <t xml:space="preserve">  Egyéb működési célú kiadások</t>
  </si>
  <si>
    <t xml:space="preserve">  Ellátottak pénzbeli juttatásai</t>
  </si>
  <si>
    <t xml:space="preserve">  Dologi kiadások</t>
  </si>
  <si>
    <t xml:space="preserve">  Munkaadókat terhelő járulékok és szociális hozzájárulási adó</t>
  </si>
  <si>
    <t xml:space="preserve">  Személyi juttatások</t>
  </si>
  <si>
    <t>Bevételek mindösszesen</t>
  </si>
  <si>
    <t>Felhalmozási finanszírozási bevételek</t>
  </si>
  <si>
    <t>Előző év költségvetési maradványának igénybevétele</t>
  </si>
  <si>
    <t>Működési finanszírozási bevételek</t>
  </si>
  <si>
    <t>Irányító szervi támogatás - étkezés</t>
  </si>
  <si>
    <t>Irányító szervi támogatás</t>
  </si>
  <si>
    <t>Előző évi vállalkozási maradvány igénybevétele</t>
  </si>
  <si>
    <t>Felhalmozási költségvetési bevételek mindösszesen</t>
  </si>
  <si>
    <t>Egyéb tárgyi eszköz értékesítése</t>
  </si>
  <si>
    <t>Egyéb felhalmozási célú átvett pénzeszközök</t>
  </si>
  <si>
    <t>Egyéb felhalmozási célú támogatások bevételei államháztartáson belülről</t>
  </si>
  <si>
    <t>Működési költségvetési bevételek mindösszesen</t>
  </si>
  <si>
    <t>Egyéb működési célú átvett pénzeszköz</t>
  </si>
  <si>
    <t>Működési bevételek összesen</t>
  </si>
  <si>
    <t xml:space="preserve"> Egyéb működési bevételek</t>
  </si>
  <si>
    <t xml:space="preserve"> Biztosító által fizetett kártérítés</t>
  </si>
  <si>
    <t xml:space="preserve"> Kamatbevételek és más nyereségjelegű bevételek</t>
  </si>
  <si>
    <t xml:space="preserve"> Általános forgalmi adó visszatérítése</t>
  </si>
  <si>
    <t xml:space="preserve"> Kiszámlázott általános forgalmi adó</t>
  </si>
  <si>
    <t xml:space="preserve"> Ellátási díjak</t>
  </si>
  <si>
    <t xml:space="preserve"> Közvetített szolgáltatások ellenértéke</t>
  </si>
  <si>
    <t xml:space="preserve">    Bérleti díjak</t>
  </si>
  <si>
    <t xml:space="preserve">    Egyéb szolgáltatás</t>
  </si>
  <si>
    <t xml:space="preserve"> Szolgáltatások ellenértéke</t>
  </si>
  <si>
    <t xml:space="preserve"> Készlet értékesítés</t>
  </si>
  <si>
    <t>Közhatalmi bevételek összesen</t>
  </si>
  <si>
    <t>Működési célú támogatások Áh-n belülről</t>
  </si>
  <si>
    <t xml:space="preserve"> Egyéb működési célú támogatások bevételei Áh-n belülről</t>
  </si>
  <si>
    <t xml:space="preserve"> Elvonások és befizetések bevételei</t>
  </si>
  <si>
    <t>Intézmények mindösszesen</t>
  </si>
  <si>
    <t xml:space="preserve">  Beruházások (bútorok, berendezési tárgyak)</t>
  </si>
  <si>
    <t>Egyéb felhasználási célú támogatások bevételei Áh-n belülről</t>
  </si>
  <si>
    <t>Általános forgalmi adó visszatérítés</t>
  </si>
  <si>
    <t>Készletértékesítés</t>
  </si>
  <si>
    <t>Ferencvárosi Egészségügyi Szolgálat</t>
  </si>
  <si>
    <t>Ferencvárosi Pinceszínház</t>
  </si>
  <si>
    <t xml:space="preserve">                        ebből: kiemelt rendezvények</t>
  </si>
  <si>
    <t xml:space="preserve"> Készletértékesítés</t>
  </si>
  <si>
    <t>Ferencvárosi Művelődési Központ</t>
  </si>
  <si>
    <t>Előző évi vállalkozási maradvány</t>
  </si>
  <si>
    <t>Szociális ágazat összesen</t>
  </si>
  <si>
    <t>FESZGYI</t>
  </si>
  <si>
    <t>Előző év vállalkozási maradványának igénybevétele</t>
  </si>
  <si>
    <t>Ferencvárosi Egyesített Bölcsöde</t>
  </si>
  <si>
    <t>Egyéb tárgyi eszköz értékesítés</t>
  </si>
  <si>
    <t>Ágazat összesen:</t>
  </si>
  <si>
    <t xml:space="preserve">Méhecske folyosó PVC csere festés,2 csoport szoba, álmennyezet, aula padló, homlokzati ablakok, ajtók csere </t>
  </si>
  <si>
    <t>FMK főelosztó felújítás</t>
  </si>
  <si>
    <t>Balatonlelle B épület és étterem faház tetőfelújítás</t>
  </si>
  <si>
    <t>Tárgyi eszközök</t>
  </si>
  <si>
    <t xml:space="preserve"> Egyéb tárgyi eszköz értékesítés</t>
  </si>
  <si>
    <t xml:space="preserve">Ferencvárosi Intézmény Üzemeltetési Központ </t>
  </si>
  <si>
    <t>Óvodák összesen</t>
  </si>
  <si>
    <t>Ugrifüles Óvoda  /Hurok u. 9./</t>
  </si>
  <si>
    <t>Napfény Óvoda /Napfény u. 4./</t>
  </si>
  <si>
    <t>Méhecske Óvoda /Ifjúmunkás u. 30./</t>
  </si>
  <si>
    <t>Liliom Óvoda  /Liliom u. 15./</t>
  </si>
  <si>
    <t>Működési célú támogatások Áh-n belülről összesen</t>
  </si>
  <si>
    <t>Kicsi Bocs Óvoda /Erkel u. 10./</t>
  </si>
  <si>
    <t>Kerekerdő Óvoda /Vágóhíd u. 35.-37./</t>
  </si>
  <si>
    <t>Epres Óvoda /Epreserdő u. 10./</t>
  </si>
  <si>
    <t>Csudafa Óvoda /Óbester u. 9./</t>
  </si>
  <si>
    <t>Csicsergő Óvoda /Thaly K. u. 38./</t>
  </si>
  <si>
    <t xml:space="preserve"> 2.</t>
  </si>
  <si>
    <t xml:space="preserve"> 1.</t>
  </si>
  <si>
    <t xml:space="preserve">IV. Bevételek mindösszesen  (I+II+III.) Irányítószervi támogatása nélkül) </t>
  </si>
  <si>
    <t>Felhalmozási finanszírozási bevételek összesen</t>
  </si>
  <si>
    <t>Előző év vállalkozkozási maradványának igénybevétele</t>
  </si>
  <si>
    <t>Belföldi értékpapírok bevételei</t>
  </si>
  <si>
    <t>Tárgyévi finanszírozási megelőlegezések</t>
  </si>
  <si>
    <t>Felhalmozási célú átvett pénzeszközök összesen</t>
  </si>
  <si>
    <t>Parkolóhely megváltás</t>
  </si>
  <si>
    <t>Felhalmozási célú visszatérítendő tám. kölcsönök visszatérülései államháztartáson kívülről</t>
  </si>
  <si>
    <t>Felhalmozási bevételek összesen</t>
  </si>
  <si>
    <t>Ingatlanok értékesítése</t>
  </si>
  <si>
    <t>Felhalmozási célú támogatások államháztartáson belülről összesen</t>
  </si>
  <si>
    <t>Egyéb felhalmozási célú támogatás bevételei államháztartáson belülről</t>
  </si>
  <si>
    <t>Egyéb felhalmozási célú támog.bevételei államháztartáson belülről - EU-s pályázatok kapcsán</t>
  </si>
  <si>
    <t>"Egészséges Budapest Program" Integrélt Alapell. Járóbeteg szakell. Központ megv.</t>
  </si>
  <si>
    <t>Felhalmozási célú önkormányzati támogatások</t>
  </si>
  <si>
    <t>Működési célú átvett pénzeszközök összesen</t>
  </si>
  <si>
    <t>Egyéb működési bevételek</t>
  </si>
  <si>
    <t>Biztosító által fizetett kártérítés</t>
  </si>
  <si>
    <t>Kamatbevételek és más nyereségjellegű bevételek</t>
  </si>
  <si>
    <t>Általános forgalmi adó visszatérítése</t>
  </si>
  <si>
    <t>Kiszámlázott általános forgalmi adó</t>
  </si>
  <si>
    <t>Ellátási díjak</t>
  </si>
  <si>
    <t>Tulajdonosi bevételek</t>
  </si>
  <si>
    <t>Közvetített szolgáltatások ellenértéke</t>
  </si>
  <si>
    <t>Szolgáltatások ellenértéke</t>
  </si>
  <si>
    <t>Egyéb közhatalmi bevételek</t>
  </si>
  <si>
    <t>Termékek és szolgáltatások adói</t>
  </si>
  <si>
    <t>Vagyoni típusú adók (Helyi adó)</t>
  </si>
  <si>
    <t>Működési célú támogatások államháztartáson belülről összesen</t>
  </si>
  <si>
    <t>Egyéb műk. célú támog.bevételei Áh-n belülről - VEKOP-7 3 4-17-2017-00012</t>
  </si>
  <si>
    <t>Egyéb műk. célú támog.bevételei Áh-n belülről - EU-s pályázat KEHOP-1.2.1-18-2018-00006</t>
  </si>
  <si>
    <t>Egyéb működési célú támogatások bevételei államháztartáson belülről</t>
  </si>
  <si>
    <t>Elvonások és befizetések bevételei</t>
  </si>
  <si>
    <t>Önkormányzatok működési támogatásai</t>
  </si>
  <si>
    <t>IV. Kerületi bevételek</t>
  </si>
  <si>
    <t>III. Költségvetési szervek bevételei mindösszesen:</t>
  </si>
  <si>
    <t>Előző év költségvetési maradványának igánybevétele</t>
  </si>
  <si>
    <t>Működési finanszírozási bevételek összesen</t>
  </si>
  <si>
    <t xml:space="preserve">       - Bérleti díjak</t>
  </si>
  <si>
    <t xml:space="preserve">       - Egyéb szolgáltatás</t>
  </si>
  <si>
    <t>Működési célú támogatások államháztartáson belülről</t>
  </si>
  <si>
    <t>III. Költségvetési szervek bevételei</t>
  </si>
  <si>
    <t>II. Polgármesteri Hivatal bevételei mindösszesen:</t>
  </si>
  <si>
    <t>Felhalmozási célú visszat. tám., kölcsönök visszatérülései államháztartáson kívülről</t>
  </si>
  <si>
    <t>Egyéb felhalmozási célú támogatás bevételei</t>
  </si>
  <si>
    <t>Kerékbilincs bevétele</t>
  </si>
  <si>
    <t>Gépkocsi elszállítás</t>
  </si>
  <si>
    <t>II. Polgármesteri Hivatal költségvetési bevételei</t>
  </si>
  <si>
    <t>I. Helyi Önkormányzat bevételei mindösszesen:</t>
  </si>
  <si>
    <t xml:space="preserve">     Társasházak befizetései</t>
  </si>
  <si>
    <t xml:space="preserve">     Helyi támogatás, házmesterek visszafizetése</t>
  </si>
  <si>
    <t>Felhalmozási célú visszatérítendő tám., kölcsönök visszatérülései államháztartáson kívülről</t>
  </si>
  <si>
    <t xml:space="preserve">    Önkormányzati lakások értékesítése</t>
  </si>
  <si>
    <t xml:space="preserve">    Helyiség értékesítés</t>
  </si>
  <si>
    <t xml:space="preserve">    Földterület, telek, ingatlan értékesítése</t>
  </si>
  <si>
    <t>FESZ részesedés</t>
  </si>
  <si>
    <t>Egészséges utcák - Angyal u.</t>
  </si>
  <si>
    <t xml:space="preserve">    Fedett, zárható kerékpártárolók társasházak, lakótelepek környékén</t>
  </si>
  <si>
    <t xml:space="preserve">   TÉR-KÖZ 2018</t>
  </si>
  <si>
    <t xml:space="preserve">   Bakáts projekt</t>
  </si>
  <si>
    <t>Egyéb felhalmozási célú támog.bevételei Áh-n belülről - Fővárosi Önkormányzattól</t>
  </si>
  <si>
    <t>Egyéb felhalmozási célú támog.bevételei Áh-n belülről - EU-s pályázatok kapcsán</t>
  </si>
  <si>
    <t>Felhalmozási célú önkormányzati támogatások Óvodafejlesztés</t>
  </si>
  <si>
    <t>BGA Zrt. Testvérvárosi találkozók</t>
  </si>
  <si>
    <t>FSZKA drogprevenciós pályázat</t>
  </si>
  <si>
    <t>HERO pályázat  /Felhalm célű önk. Tám Óvoda felj</t>
  </si>
  <si>
    <t>Ferencvárosi Humanitárius Alap</t>
  </si>
  <si>
    <t>"Krízis Alap" bevétel</t>
  </si>
  <si>
    <t>Egyéb működési bevételek - Parkolási feladatokkal kapcsolatban</t>
  </si>
  <si>
    <t xml:space="preserve">        - Önkormányzat kamat</t>
  </si>
  <si>
    <t xml:space="preserve">       - Parkolási feladatokkal kapcsolatos ÁFA</t>
  </si>
  <si>
    <t xml:space="preserve">       - Vagyonkezelési és városfejlesztési feladatokkal kapcsolatos ÁFA</t>
  </si>
  <si>
    <t xml:space="preserve">       - Önkormányzat ÁFA</t>
  </si>
  <si>
    <t xml:space="preserve">       - Parkolással kapcsolatos közvetített szolgáltatások ellenértéke</t>
  </si>
  <si>
    <t xml:space="preserve">       - Vagyonkezeléssel kapcsolatos közvetített szolgáltatások ellenértéke </t>
  </si>
  <si>
    <t xml:space="preserve">       - Önkormányzat közvetített szolgáltatások ellenértéke  </t>
  </si>
  <si>
    <t xml:space="preserve">       - Munkásszálló bérleti díj</t>
  </si>
  <si>
    <t xml:space="preserve">       - Nyomvonal létesítés kártalanítás</t>
  </si>
  <si>
    <t xml:space="preserve">       - Helyiség megszerzési díj  </t>
  </si>
  <si>
    <t xml:space="preserve">       - Helyiség bérleti díj</t>
  </si>
  <si>
    <t xml:space="preserve">       - Lakbér bevételek</t>
  </si>
  <si>
    <t xml:space="preserve">       - Bérleti díjak  </t>
  </si>
  <si>
    <t xml:space="preserve">       - Egyéb szolgáltatás </t>
  </si>
  <si>
    <t xml:space="preserve">       - Parkolási díj, ügyviteli költség</t>
  </si>
  <si>
    <t xml:space="preserve">        - Közterületfoglalási díj</t>
  </si>
  <si>
    <t xml:space="preserve">   Közterületfoglalási díj</t>
  </si>
  <si>
    <t xml:space="preserve">   Közigazgatási bírság</t>
  </si>
  <si>
    <t xml:space="preserve">   Egyéb bírságból származó bevétel</t>
  </si>
  <si>
    <t xml:space="preserve">   Parkolási bírság, pótdíj</t>
  </si>
  <si>
    <t xml:space="preserve">   Iparűzési adó pótlék, bírság</t>
  </si>
  <si>
    <t xml:space="preserve">   Helyi adó pótlék, bírság </t>
  </si>
  <si>
    <t xml:space="preserve">   Szabálysértési bírság</t>
  </si>
  <si>
    <t xml:space="preserve">   Környezetvédelmi bírság</t>
  </si>
  <si>
    <t xml:space="preserve">   Talajterhelési díj </t>
  </si>
  <si>
    <t xml:space="preserve">   Igazgatásszolgáltatási díj</t>
  </si>
  <si>
    <t xml:space="preserve">    Idegenforgalmi adó</t>
  </si>
  <si>
    <t xml:space="preserve">    Belföldi gépjárművek adójának a helyi önkormányzatot megillető része</t>
  </si>
  <si>
    <t xml:space="preserve">    Iparűzési adó</t>
  </si>
  <si>
    <t xml:space="preserve">    Telekadó                   </t>
  </si>
  <si>
    <t xml:space="preserve">    Építményadó                        </t>
  </si>
  <si>
    <t>VEKOP-7 3 4-17-2017-00011 József Attila</t>
  </si>
  <si>
    <t xml:space="preserve">     - Elszámolásból származó bevételek</t>
  </si>
  <si>
    <t xml:space="preserve">     - Működési célú költségvetési támogatások és kiegészítő támogatások</t>
  </si>
  <si>
    <t xml:space="preserve">     - Települési önkormányzatok kulturális feladatainak támogatása</t>
  </si>
  <si>
    <t xml:space="preserve">     - Települési önkormányzatok szociális, gyermekjóléti és gyermekétkeztési feladatainak támogatása</t>
  </si>
  <si>
    <t xml:space="preserve">     - Települési önkormányzatok egyes köznevelési feladatainak támogatása</t>
  </si>
  <si>
    <t xml:space="preserve">     - Helyi önkormányzatok működésének általános támogatása</t>
  </si>
  <si>
    <t>Működési-felhalmozási bevételek-kiadások mérlegszerű bemutatása</t>
  </si>
  <si>
    <t>Bevétel</t>
  </si>
  <si>
    <t>Kiadások</t>
  </si>
  <si>
    <t>Személyi juttatások</t>
  </si>
  <si>
    <t>Munkaadókat terh. járulékok és szociális hozzájárulási adó</t>
  </si>
  <si>
    <t>Egyéb működési célú tám.bev. Áh-n belülről</t>
  </si>
  <si>
    <t>Ellátottak pénzbeli juttatásai</t>
  </si>
  <si>
    <t>"Egészséges Budapest Program" Integr. Alapell. Járób. szakell. Központ megv.</t>
  </si>
  <si>
    <t>Egyéb műk. célú támog.bevételei Áh-n belülről - EU-s pály. KEHOP-1.2.1-18-2018-00006</t>
  </si>
  <si>
    <t>Egyéb műk. célú támog.bevételei Áh-n belülről - VEKOP-7 3 4-17-2017-00011</t>
  </si>
  <si>
    <t xml:space="preserve">   ebből: Általános tartalék</t>
  </si>
  <si>
    <t>Működési célú támogatások Államháztartáson belülről összesen</t>
  </si>
  <si>
    <t xml:space="preserve">Egyéb közhatalmi bevételek </t>
  </si>
  <si>
    <t>Készletértékesítés ellenértéke</t>
  </si>
  <si>
    <t>Tulajdonosi bevétel</t>
  </si>
  <si>
    <t>Részesedések értékesítéséhez kapcsolódó realizált nyereség</t>
  </si>
  <si>
    <t>"Egészséges Budapest Program" Integrélt Alapell. Járób. szakell. Közp. megv.</t>
  </si>
  <si>
    <t>Ferencvárosi lakótömb rehabilitációjának I. üteme</t>
  </si>
  <si>
    <t>Egyéb felhalmozási célú támog.bevételei ÁH-n belülről - Fővárosi Önkormányzattól</t>
  </si>
  <si>
    <t>Felújítások</t>
  </si>
  <si>
    <t xml:space="preserve">Egyéb felhalmozási célú támog.bevételei ÁH-n belülről </t>
  </si>
  <si>
    <t>Felhalmozási célú támogatások Államháztartáson belülről összesen</t>
  </si>
  <si>
    <t>Részesedések értékesítése, részesedések megszűnéséhez kapcsolódó bevételek</t>
  </si>
  <si>
    <t>Államháztartáson belüli megelőlegezések tárgyéven belül</t>
  </si>
  <si>
    <t>Államháztartáson belüli megelőlegezések visszafizetése</t>
  </si>
  <si>
    <t>Irányító szervi támogatások folyósítása</t>
  </si>
  <si>
    <t>Lekötött betétek</t>
  </si>
  <si>
    <t>Vállalkozási maradvány</t>
  </si>
  <si>
    <t>Működési finanszírozási kiadások</t>
  </si>
  <si>
    <t>Hitel-, kölcsöntörlesztés államháztartáson kívülre</t>
  </si>
  <si>
    <t>Felhalmozási finanszírozási kiadások mindösszesen</t>
  </si>
  <si>
    <t>BEVÉTELEK MINDÖSSZ.:(Irányítószervi támogatás, lekötött betét nélkül)</t>
  </si>
  <si>
    <t>KIADÁSOK MINDÖSSZ.:(Irányítószervi tám., lekötött bet. nélkül)</t>
  </si>
  <si>
    <t>I. Polgármesteri Hivatal kiadásai</t>
  </si>
  <si>
    <t xml:space="preserve">   Polgármesteri Hivatal kiadása (3. melléklet 1.pont. melléklet szerint)</t>
  </si>
  <si>
    <t xml:space="preserve">     Személyi juttatások</t>
  </si>
  <si>
    <t xml:space="preserve">     Ellátottak pénzbeli juttatásai</t>
  </si>
  <si>
    <t xml:space="preserve">     Egyéb felhalmozási célú kiadások - Munkáltatói kölcsön</t>
  </si>
  <si>
    <t>II. Önkormányzat kiadásai</t>
  </si>
  <si>
    <t xml:space="preserve">   Önkormányzat költségvetésben szereplő  kiadások (3. melléklet 2.pont. melléklet szerint)</t>
  </si>
  <si>
    <t xml:space="preserve">     Egyéb felhalmozási célú  kiadások</t>
  </si>
  <si>
    <t xml:space="preserve">   Önkormányzat ktsv. szereplő Támogatások (3. melléklet 3.pont. melléklet szerint)</t>
  </si>
  <si>
    <t xml:space="preserve">     Beruházási kiadások</t>
  </si>
  <si>
    <t xml:space="preserve">   Önkormányzati Felújítási kiadások (4. sz. melléklet szerint)</t>
  </si>
  <si>
    <t xml:space="preserve">     Egyéb működési célú kiadás</t>
  </si>
  <si>
    <t xml:space="preserve">   Önkormányzati Fejlesztési, beruházási kiadások (5. sz. melléklet szerint)</t>
  </si>
  <si>
    <t xml:space="preserve">Felhalmozási célú visszatérítendő tám., kölcsönönök törlesztése államháztartáson belülre </t>
  </si>
  <si>
    <t xml:space="preserve">          Márton 5./a</t>
  </si>
  <si>
    <r>
      <t xml:space="preserve">    Kamat kiadás, banki költségek, tranzakciós díjak </t>
    </r>
    <r>
      <rPr>
        <sz val="9"/>
        <rFont val="Arial CE"/>
        <charset val="238"/>
      </rPr>
      <t>- Dologi kiadások</t>
    </r>
  </si>
  <si>
    <r>
      <t xml:space="preserve">    Fővárosi IPA visszafizetése </t>
    </r>
    <r>
      <rPr>
        <sz val="9"/>
        <rFont val="Arial CE"/>
        <charset val="238"/>
      </rPr>
      <t>- Dologi kiadások</t>
    </r>
  </si>
  <si>
    <r>
      <t xml:space="preserve">    Szolidaritási hozzájárulási adó  -</t>
    </r>
    <r>
      <rPr>
        <sz val="9"/>
        <rFont val="Arial CE"/>
        <charset val="238"/>
      </rPr>
      <t xml:space="preserve"> Egyéb működési célú kiadások</t>
    </r>
  </si>
  <si>
    <r>
      <t xml:space="preserve">    Fizetendő általános forgalmi adó  </t>
    </r>
    <r>
      <rPr>
        <sz val="9"/>
        <rFont val="Arial CE"/>
        <charset val="238"/>
      </rPr>
      <t>- Dologi kiadások</t>
    </r>
  </si>
  <si>
    <t xml:space="preserve">    Elvonások és befizetések</t>
  </si>
  <si>
    <t xml:space="preserve">    - Egyéb működési célú kiadások</t>
  </si>
  <si>
    <t xml:space="preserve">    - Egyéb felhalmozási célú kiadások</t>
  </si>
  <si>
    <t xml:space="preserve">     Parkolóhely megváltása </t>
  </si>
  <si>
    <t xml:space="preserve">     - Egyéb felhalmozási célú kiadások</t>
  </si>
  <si>
    <r>
      <t xml:space="preserve">Általános tartalék - </t>
    </r>
    <r>
      <rPr>
        <i/>
        <sz val="9"/>
        <rFont val="Arial CE"/>
        <charset val="238"/>
      </rPr>
      <t>Egyéb működési célú kiadás</t>
    </r>
  </si>
  <si>
    <r>
      <t xml:space="preserve">Céltartalék - </t>
    </r>
    <r>
      <rPr>
        <i/>
        <sz val="9"/>
        <rFont val="Arial CE"/>
        <charset val="238"/>
      </rPr>
      <t>Egyéb működési célú kiadás</t>
    </r>
  </si>
  <si>
    <t>Tartalék összesen</t>
  </si>
  <si>
    <t xml:space="preserve">      ebből tartalék:</t>
  </si>
  <si>
    <t>Belföldi értékpapírok kiadásai</t>
  </si>
  <si>
    <t>Irányító szervi támogatás folyosítása</t>
  </si>
  <si>
    <t xml:space="preserve">       Költségvetési szervek támogatása</t>
  </si>
  <si>
    <t xml:space="preserve">       Költségvetési szervek étkezés támogatása</t>
  </si>
  <si>
    <t xml:space="preserve">       Polgármesteri Hivatal támogatása</t>
  </si>
  <si>
    <t>Hitel-, kölcsön törlesztése államháztartáson kívülre</t>
  </si>
  <si>
    <t>Felhalmozási finanszírozási kiadások</t>
  </si>
  <si>
    <t>PH és Önkormányzat költségvetési kiadásai mindössz:</t>
  </si>
  <si>
    <t>III. Költségvetési szervek kiadásai (2.sz.mell.sz.)</t>
  </si>
  <si>
    <t xml:space="preserve">     Ellátottak pénzbeli juttatási</t>
  </si>
  <si>
    <t>III. Költségvetési szervek kiadásai mindösszesen</t>
  </si>
  <si>
    <t>IV. Kerületi kiadások</t>
  </si>
  <si>
    <t xml:space="preserve">    Személyi juttatások</t>
  </si>
  <si>
    <t xml:space="preserve">    Munkaadókat terhelő járulékok és szociális hozzájárulási adó</t>
  </si>
  <si>
    <t xml:space="preserve">    Dologi kiadások</t>
  </si>
  <si>
    <t xml:space="preserve">    Ellátottak pénzbeli juttatásai</t>
  </si>
  <si>
    <r>
      <t xml:space="preserve">    </t>
    </r>
    <r>
      <rPr>
        <sz val="9"/>
        <rFont val="Arial CE"/>
        <charset val="238"/>
      </rPr>
      <t>Beruházások</t>
    </r>
  </si>
  <si>
    <t xml:space="preserve">Működési finanszírozási kiadások </t>
  </si>
  <si>
    <t xml:space="preserve">Felhalmozási finanszírozási kiadások </t>
  </si>
  <si>
    <t xml:space="preserve">IV. Kiadások mindösszesen  (I+II+III.) Irányítószervi támogatás folyósítása nélkül) </t>
  </si>
  <si>
    <t xml:space="preserve">Egyéb felhalmozási célú támog.bevételei államháztartáson belülről </t>
  </si>
  <si>
    <t xml:space="preserve">Államháztartáson belüli megelőlegezések </t>
  </si>
  <si>
    <t>Belföldi értékpapírok bevételei (államkötvény névértéke)</t>
  </si>
  <si>
    <t>A Polgármesteri Hivatal kiadásai 2026.</t>
  </si>
  <si>
    <t>Költségvetési szervek 2026. évi költségvetése</t>
  </si>
  <si>
    <t>Az önkormányzat 2026. évi kiadásai</t>
  </si>
  <si>
    <t>Az önkormányzat 2026. évi bevételei</t>
  </si>
  <si>
    <t>Sobieski u. 3-9 épületek bontása</t>
  </si>
  <si>
    <t>Csengettyű utca 23. orvosi rendelő felújítása</t>
  </si>
  <si>
    <t xml:space="preserve">Üllői út 65-67. orvosi rendelő felújtása </t>
  </si>
  <si>
    <t>Felújításokkal kapcsolatos tervezések</t>
  </si>
  <si>
    <t>Állagmegőrző felújítások</t>
  </si>
  <si>
    <t>József Attila Skanzen tervpályázat</t>
  </si>
  <si>
    <t>Neon Park</t>
  </si>
  <si>
    <t>Jégpálya - BP együttműködés</t>
  </si>
  <si>
    <t>Lónyay u. 26 buszmegálló felújítása</t>
  </si>
  <si>
    <t>2026. évi Polgármesteri Hivatal és Intézményi engedélyezett létszámadatok</t>
  </si>
  <si>
    <t>Ssz.</t>
  </si>
  <si>
    <t>Intézmény megnevezése (Polgármesteri Hivatalnál Irodánként)</t>
  </si>
  <si>
    <t xml:space="preserve">Engedélye-zett létszám összesen 2026. év </t>
  </si>
  <si>
    <t>Engedélyezett létszám</t>
  </si>
  <si>
    <t>Szakmai létszám</t>
  </si>
  <si>
    <t>Egyéb létszám</t>
  </si>
  <si>
    <t xml:space="preserve">Közfoglalkoz-tatottak létszáma </t>
  </si>
  <si>
    <t xml:space="preserve">Teljes munkaidős </t>
  </si>
  <si>
    <t>Részmun-kaidős</t>
  </si>
  <si>
    <t>Teljes munkaidős</t>
  </si>
  <si>
    <t xml:space="preserve">Részmun-kaidős </t>
  </si>
  <si>
    <t>Polgármesteri Hivatal összesen</t>
  </si>
  <si>
    <t>POLGÁRMESTERI KABINET</t>
  </si>
  <si>
    <t>JEGYZŐ</t>
  </si>
  <si>
    <t>ALJEGYZŐK</t>
  </si>
  <si>
    <t>JEGYZŐI KABINET</t>
  </si>
  <si>
    <t>FŐÉPÍTÉSZI CSOPORT</t>
  </si>
  <si>
    <t>GAZDASÁGI IRODA</t>
  </si>
  <si>
    <t>7.</t>
  </si>
  <si>
    <t>HATÓSÁGI IRODA</t>
  </si>
  <si>
    <t>8.</t>
  </si>
  <si>
    <t>HUMÁNSZOLGÁLTATÁSI IRODA</t>
  </si>
  <si>
    <t>9.</t>
  </si>
  <si>
    <t>VAGYONGAZDÁLKODÁSI IRODA</t>
  </si>
  <si>
    <t>10.</t>
  </si>
  <si>
    <t>VÁROSÜZEMELTETÉSI IRODA</t>
  </si>
  <si>
    <t>11.</t>
  </si>
  <si>
    <t>KÖZTERÜLET-FELÜGYELET</t>
  </si>
  <si>
    <t>15.</t>
  </si>
  <si>
    <t>Csicsergő Óvoda</t>
  </si>
  <si>
    <t>16.</t>
  </si>
  <si>
    <t>Csudafa Óvoda</t>
  </si>
  <si>
    <t>17.</t>
  </si>
  <si>
    <t>Epres Óvoda</t>
  </si>
  <si>
    <t>18.</t>
  </si>
  <si>
    <t>Kerekerdő Óvoda</t>
  </si>
  <si>
    <t>19.</t>
  </si>
  <si>
    <t>Kicsi Bocs Óvoda</t>
  </si>
  <si>
    <t xml:space="preserve">20. </t>
  </si>
  <si>
    <t xml:space="preserve">Liliom Óvoda </t>
  </si>
  <si>
    <t>21.</t>
  </si>
  <si>
    <t xml:space="preserve">Méhecske Óvoda </t>
  </si>
  <si>
    <t>22.</t>
  </si>
  <si>
    <t>Napfény Óvoda</t>
  </si>
  <si>
    <t>23.</t>
  </si>
  <si>
    <t>Ugrifüles Óvoda</t>
  </si>
  <si>
    <t>24.</t>
  </si>
  <si>
    <t>Ferencvárosi Intézmény Üzemeltetés Központ</t>
  </si>
  <si>
    <t>25.</t>
  </si>
  <si>
    <t>26.</t>
  </si>
  <si>
    <t>27.</t>
  </si>
  <si>
    <t>FMK</t>
  </si>
  <si>
    <t>28.</t>
  </si>
  <si>
    <t>Pinceszínház</t>
  </si>
  <si>
    <t>29.</t>
  </si>
  <si>
    <t>Köznevelési, szociális, kulturális, egészségügyi intézmények összesen</t>
  </si>
  <si>
    <t>Mindösszesen:</t>
  </si>
  <si>
    <t>Ferencvárosi Egyesített Bölcsödék</t>
  </si>
  <si>
    <t xml:space="preserve"> Zenei pályázat</t>
  </si>
  <si>
    <t>Lenhossék 12 - Gát 14 felújítás tervezés</t>
  </si>
  <si>
    <t>Weöres Sándor Ált.Isk. Lobogó 1., Szabadszedéses étkezési rendszer berendezési tárgyak beszerzése és a konyhai beltér előírásszerű kialakítása az összes kapcsolódó munkával</t>
  </si>
  <si>
    <t>Kőrösi Csoma Ált.Isk. Ifjúmunkás 13., Szabadszedéses étkezési rendszer berendezési tárgyak beszerzése és a konyhai beltér előírásszerű kialakítása az összes kapcsolódó munkával</t>
  </si>
  <si>
    <t>SZ.GY. Albert Ált.Isk. Lónyai 4-8., Szabadszedéses étkezési rendszer berendezési tárgyak beszerzése és a konyhai beltér előírásszerű kialakítása az összes kapcsolódó munkával</t>
  </si>
  <si>
    <t>Leővey Klára Gimn. Vendel 1., Szabadszedéses étkezési rendszer berendezési tárgyak beszerzése és a konyhai beltér előírásszerű kialakítása az összes kapcsolódó munkával</t>
  </si>
  <si>
    <t>József Attila Ált.Isk. Mester 67., Szabadszedéses étkezési rendszer berendezési tárgyak beszerzése és a konyhai beltér előírásszerű kialakítása az összes kapcsolódó munkával</t>
  </si>
  <si>
    <t>Ferencvárosi Sport Ált.Isk. Telepy 17, Szabadszedéses étkezési rendszer berendezési tárgyak beszerzése és a konyhai beltér előírásszerű kialakítása az összes kapcsolódó munkával</t>
  </si>
  <si>
    <t>Kosztolányi Ált.Isk, Szabadszedéses étkezési rendszer berendezési tárgyak beszerzése és a konyhai beltér előírásszerű kialakítása az összes kapcsolódó munkával</t>
  </si>
  <si>
    <t>Aprók Háza Bölcsőde Földszinti 2 db csoportszoba teljes felújítása vizesblokkokkal és öltözőkkel, bútorokkal együtt, (teljes burkolat, festés, elektromos vezetékek cseréje, lámpák cseréje, belső ajtó nyílászárók cseréje)</t>
  </si>
  <si>
    <t>Aprók Háza Bölcsőde, tűzriadó-csengő kiépítése a felújítandó részeken</t>
  </si>
  <si>
    <t>Csicsegő Óvoda Th 17,  Folyosó PVC burkolat cseréje, alatta lévő metlachi bontásával, ajzatbetonozással, aljzat kiegyenlítéssel, járulékos javítási munkákkal ~60 m2</t>
  </si>
  <si>
    <t>Csicsergő Óvoda Th 38., 13 db/Utcafronti ablakok komplett felújítása 7 db mázolása terv szerint</t>
  </si>
  <si>
    <t>Liliom Óvoda Aula kupolaszerkezet csere</t>
  </si>
  <si>
    <t>Méhecske Óvoda Két udvari játéktároló faház cseréje (bontással)</t>
  </si>
  <si>
    <t>Több helyszínen Klímaberendezés telepítése, elektromos betáplálás kiépítésével</t>
  </si>
  <si>
    <t xml:space="preserve">Pöttyös Bölcsőde Udvari terméskő burkolatú tároló teljes felújítása (tető csere, nyílászárók, homlokzat felújítása, elektromos, gépészet, burkolat) </t>
  </si>
  <si>
    <t xml:space="preserve">Epres Óvoda 4 db fszt.-emeleti csoportszoba felújítása vizesblokkokkal és öltözőkkel, bútorokkal együtt, (teljes burkolat, festés, elektromos vezetékek cseréje, lámpák cseréje, radiátorok cseréje, köztes ajtó ill. belső nyílászárók </t>
  </si>
  <si>
    <t xml:space="preserve">Pinceszínház Tűzjelzőrendszer cseréje </t>
  </si>
  <si>
    <t>FMK Tornaterem feletti és kapcsolódó lapostető felújítása villámvédelemmel a tervek szerint, valamint napelem rendszer telepítése</t>
  </si>
  <si>
    <t>Kerekerdő Óvoda uszoda gépház Elektromos elosztószekrény cseréje</t>
  </si>
  <si>
    <t>Kicsi Bocs Óvoda Műkő körteraszok felújítása I. és II. emelet  46m2 járófelület</t>
  </si>
  <si>
    <t>Varázskert Bölcsőde Varázskert Bölcsőde konyhájának főzőkonyhává alakítása, berendezési tárgyak beszerzése és a konyhai beltér előírásszerű kialakításakialakítása az összes kapcsolódó munkával</t>
  </si>
  <si>
    <t>Tervezett költségvetési adatok</t>
  </si>
  <si>
    <t>Támogatás államháztartáson belülről -működési</t>
  </si>
  <si>
    <t>Támogatás államháztartáson belülről -felhalmozási</t>
  </si>
  <si>
    <t>Munkaadókat terhelő járulékok és szocho.</t>
  </si>
  <si>
    <t xml:space="preserve">   ebből önkormányzati hozzájárulás</t>
  </si>
  <si>
    <t>Támogatás államháztartáson kívülről -működési</t>
  </si>
  <si>
    <t>Támogatás államháztartáson kívülről -felhalmozási</t>
  </si>
  <si>
    <t xml:space="preserve">NEXT LEVEL Parking </t>
  </si>
  <si>
    <t>Az Európai Unió-s forrásokkal támogatott fejlesztések tervezett 2026. évi adatairól</t>
  </si>
  <si>
    <t>A támogatás jellege</t>
  </si>
  <si>
    <t>Adókedvezmény</t>
  </si>
  <si>
    <t>Egyéb kedvezmény</t>
  </si>
  <si>
    <t>jogcím</t>
  </si>
  <si>
    <t>összeg</t>
  </si>
  <si>
    <t>Építményadó</t>
  </si>
  <si>
    <t>elengedés</t>
  </si>
  <si>
    <t>részletfizetés</t>
  </si>
  <si>
    <t>Telekadó</t>
  </si>
  <si>
    <t>Ellátottak térítési díja gyermekétkeztetés</t>
  </si>
  <si>
    <t>méltányosság</t>
  </si>
  <si>
    <t>Ellátottak térítési díja személyes gondoskodás</t>
  </si>
  <si>
    <t>Helyiség bérleti díj (nettó)</t>
  </si>
  <si>
    <t>közérdekű bérbeadás</t>
  </si>
  <si>
    <t>2026. évi közvetett támogatások</t>
  </si>
  <si>
    <t xml:space="preserve">A helyi önkormányzat kötelező feladatai ellátásának költségvetési forrásai és kiadásai </t>
  </si>
  <si>
    <t>Kötelező feladatok
(Mötv. 23. § (5) bekezdés alapján)</t>
  </si>
  <si>
    <t>Költségvetési bevételi előirányzat</t>
  </si>
  <si>
    <t>Önkormányzatok működési támogatása, elvonások és befizetések</t>
  </si>
  <si>
    <t>Közhatalmi bevételek</t>
  </si>
  <si>
    <t>Saját bevétel</t>
  </si>
  <si>
    <t>Támogatás Áht-n belülről</t>
  </si>
  <si>
    <t>Átvett pénzeszköz</t>
  </si>
  <si>
    <t>Előző évi mar. igénybev.</t>
  </si>
  <si>
    <t>Felhalm. Bev.</t>
  </si>
  <si>
    <t>Hitelfel-  vétel, kölcsön visszat. , tévi megel. Visszaf.</t>
  </si>
  <si>
    <t>Működési bevételek</t>
  </si>
  <si>
    <t>Műk. Célú</t>
  </si>
  <si>
    <t>Felhal. Célú</t>
  </si>
  <si>
    <t>Felhalm. Célú</t>
  </si>
  <si>
    <t>Helyi közutak, közterek és parkok kezelése, fejlesztése és üzemeltetése</t>
  </si>
  <si>
    <t xml:space="preserve">             3054 Kerületi növényvédelem</t>
  </si>
  <si>
    <t xml:space="preserve">             3056 Közterületüzemeltetési egyéb feladatok</t>
  </si>
  <si>
    <t xml:space="preserve">              3057 Fasorfenntartás</t>
  </si>
  <si>
    <t xml:space="preserve">              3058 Erdőgazdálkodás</t>
  </si>
  <si>
    <t xml:space="preserve">             3071 Köztisztasági feladatok</t>
  </si>
  <si>
    <t xml:space="preserve">             3112 Játszóterek karbantartása</t>
  </si>
  <si>
    <t xml:space="preserve">             3205 Környezetvédelem</t>
  </si>
  <si>
    <t xml:space="preserve">             3216 FESZOFE Nonprofit Kft </t>
  </si>
  <si>
    <t xml:space="preserve">             4010 Ifjúmunkás utca 28-30 Sportpályák felújítása</t>
  </si>
  <si>
    <t xml:space="preserve">             4012 Haller park</t>
  </si>
  <si>
    <t xml:space="preserve">             4014 Játszóterek, műfüves és sportpályák, fitness eszközök, zöldf.felúj., </t>
  </si>
  <si>
    <t xml:space="preserve">             4016 Thaly passzázs közvilágítás</t>
  </si>
  <si>
    <t xml:space="preserve">             4018 Utak javítása, felújítása</t>
  </si>
  <si>
    <t xml:space="preserve">             4019 Járdák felújítása</t>
  </si>
  <si>
    <t xml:space="preserve">              4021 Egyéb közterületek felújítása, fejlesztése</t>
  </si>
  <si>
    <t>Közterületek használatára vonatkozó szabályok és díjak megáll.</t>
  </si>
  <si>
    <t xml:space="preserve">             3911 Társasházak támogatása</t>
  </si>
  <si>
    <t>Parkolás üzemeltetése</t>
  </si>
  <si>
    <t xml:space="preserve">             3212 Parkolási feladatok (FEV IX. Zrt. Parkolási feladatokkal együttt)</t>
  </si>
  <si>
    <t>Helyi településrendezés, településfejlesztés</t>
  </si>
  <si>
    <t xml:space="preserve">             3211 FEV IX. Zrt.</t>
  </si>
  <si>
    <t xml:space="preserve">             3116 Magyar Máltai Szeretetszolgálat Egyesület Közz.Haszn.</t>
  </si>
  <si>
    <t xml:space="preserve">             4121 Felújításokkal kapcsolatos tervezések</t>
  </si>
  <si>
    <t>Helyi településrendezési szabályok megalkotása</t>
  </si>
  <si>
    <t>Turizmussal kapcsolatos szabályok</t>
  </si>
  <si>
    <t>Ipari és keresk. tev. kapcs. szabályozási jogkörök</t>
  </si>
  <si>
    <t>Egészségügyi alapell., az egészséges életmód segítését célzó szolg.</t>
  </si>
  <si>
    <t xml:space="preserve">       3301 Egészségügyi prevenció</t>
  </si>
  <si>
    <t xml:space="preserve">       3348 KÉK Pont</t>
  </si>
  <si>
    <t>Óvodai ellátás</t>
  </si>
  <si>
    <t>2305 Csicsergő Óvoda</t>
  </si>
  <si>
    <t>2309 Csudafa Óvoda</t>
  </si>
  <si>
    <t>2310 Epres Óvoda</t>
  </si>
  <si>
    <t>2325 Kicsi Bocs Óvoda</t>
  </si>
  <si>
    <t>2315 Kerekerdő Óvoda</t>
  </si>
  <si>
    <t>2330 Liliom Óvoda</t>
  </si>
  <si>
    <t>2335 Méhecske Óvoda</t>
  </si>
  <si>
    <t>2345 Napfény Óvoda</t>
  </si>
  <si>
    <t>2360 Ugrifüles Óvoda</t>
  </si>
  <si>
    <t>Gyermekjóléti szolgáltatások, szociális szolgált.ell.</t>
  </si>
  <si>
    <t xml:space="preserve">      3081 Köztemetés</t>
  </si>
  <si>
    <t xml:space="preserve">      3311 Lakbértámogatás</t>
  </si>
  <si>
    <t xml:space="preserve">      3341 VIII. kerület Józsefváros Önkormányzata ellátási szerződés</t>
  </si>
  <si>
    <t xml:space="preserve">      3342 Küldetés Egyesület ellátási szerződés</t>
  </si>
  <si>
    <t xml:space="preserve">      3345 Támogató Szolgálat (Motivácó Alapítvány)</t>
  </si>
  <si>
    <t xml:space="preserve">      3346 Férőhely fenntartási díj Magyar Vöröskereszt</t>
  </si>
  <si>
    <t xml:space="preserve">      3347 Fogyatékos személyek nappali ellátása Gond-viselés Kht.</t>
  </si>
  <si>
    <t xml:space="preserve">      3349 Pszichiátriai betegek nappali ellátása Moravcsik Alapítvány</t>
  </si>
  <si>
    <t xml:space="preserve">      3350 Fogyatékos személyek nappali ellátása gyermekek Újbuda Önk.</t>
  </si>
  <si>
    <t>12.</t>
  </si>
  <si>
    <t>Hajléktalanná vált személyek ell.és rehab., vmint megakadályozása</t>
  </si>
  <si>
    <t xml:space="preserve">      3344 Utcai szociális munka (Menhely Alapítvány)</t>
  </si>
  <si>
    <t>13.</t>
  </si>
  <si>
    <t>Helyi közművelődési tevékenység támogatása, kult. örökség véd.</t>
  </si>
  <si>
    <t xml:space="preserve">      3428 Ferencvárosi Helytörténeti Egyesület</t>
  </si>
  <si>
    <t xml:space="preserve">      3429 Karaván Művészeti Alapítvány</t>
  </si>
  <si>
    <t xml:space="preserve">      3431 Concerto Akadémia Nonprofit Kft.</t>
  </si>
  <si>
    <t xml:space="preserve">      3432 MÁV Szimfónikus Zenekari Alapítvány</t>
  </si>
  <si>
    <t xml:space="preserve">     3961 Zeneművészeti szervezetek támogatása</t>
  </si>
  <si>
    <t>14.</t>
  </si>
  <si>
    <t>Saját tulajdonú lakás és helyiség gazdálkodás</t>
  </si>
  <si>
    <t xml:space="preserve">      3111 Lakáslemondás térítés, lakásbiztosítés visszafizetése</t>
  </si>
  <si>
    <t xml:space="preserve">      3114 Ingatlanokkal kapcsolatos egyéb feladatok</t>
  </si>
  <si>
    <t xml:space="preserve">      3115 Lakás és helyiség karbantartás, berendezési tárgyak cseréje</t>
  </si>
  <si>
    <t xml:space="preserve">      3121 KF - rehabilitáció járulékos költségek</t>
  </si>
  <si>
    <t xml:space="preserve">      3122 Kényszer kiköltöztetés</t>
  </si>
  <si>
    <t xml:space="preserve">      3123 Bérlakás és egyéb ingatlan elidegenítés</t>
  </si>
  <si>
    <t xml:space="preserve">      3124 Helyiség megszerzési díj</t>
  </si>
  <si>
    <t xml:space="preserve">      3125 Életjáradéki szolgáltatás</t>
  </si>
  <si>
    <t xml:space="preserve">      3213 Önkormányzati bérlemények üzemeltetési költségei</t>
  </si>
  <si>
    <t xml:space="preserve">      4131 Veszélyelhárítás</t>
  </si>
  <si>
    <t xml:space="preserve">      4154 Tartószerkezeti statikai felújítás</t>
  </si>
  <si>
    <t xml:space="preserve">      4155 Balázs Béla utca 27/B lakóépület felújítása</t>
  </si>
  <si>
    <t>Helyi adóval kapcsolatos feladatok</t>
  </si>
  <si>
    <t>Kistermelők, őstermelők számára értékesítési lehetőségek bizt.</t>
  </si>
  <si>
    <t>Kerületi sport és szabadidő sport támogatása, ifjúsági ügyek</t>
  </si>
  <si>
    <t xml:space="preserve">      3142 Humánszolgáltatási feladatok</t>
  </si>
  <si>
    <t xml:space="preserve">      3143 Szociális és köznevelési feladatok</t>
  </si>
  <si>
    <t xml:space="preserve">      3146 Kulturális, Egyházi és Nemzetiségi feladatok</t>
  </si>
  <si>
    <t xml:space="preserve">      3145 Ifjusági koncepció végrehajtásával összefüggő feladatok</t>
  </si>
  <si>
    <t xml:space="preserve">      3413 Diáksport</t>
  </si>
  <si>
    <t>Közreműködés a helyi közbiztonság biztosításában</t>
  </si>
  <si>
    <t>Nemzetiségi ügyek</t>
  </si>
  <si>
    <t xml:space="preserve">     3202 Roma koncepció</t>
  </si>
  <si>
    <t xml:space="preserve">     3451 Nemzetiségi Önkormányzatok működési kiadásai</t>
  </si>
  <si>
    <t>3200 Képviselők és választott tisztségviselők juttatásai</t>
  </si>
  <si>
    <t>3201 Önkormányzati szakmai feladatokkal kapcsolatos kiadások</t>
  </si>
  <si>
    <t>3021-3026 PH  Igazgatási és informatikai működés és fejlesztés kiadásai</t>
  </si>
  <si>
    <t>3208 Ügyvédi díjak</t>
  </si>
  <si>
    <t>3223 Pályázat előkészítés, lebonyolítás</t>
  </si>
  <si>
    <t>3925 FEV IX. Zrt. támogatása</t>
  </si>
  <si>
    <t>6135 Parkoló Alap</t>
  </si>
  <si>
    <t>6110 Általános tartalék</t>
  </si>
  <si>
    <t>1801 Kamat kiadás</t>
  </si>
  <si>
    <t>1802 IPA visszafizetés</t>
  </si>
  <si>
    <t>1803 Szolidaritási hozzájárulási adó</t>
  </si>
  <si>
    <t>1804 Fizetendő Általános forgalmi adó</t>
  </si>
  <si>
    <t>1806  Elvonások és befizetések (működési)</t>
  </si>
  <si>
    <t>1807   Elvonások és befizetések (felhalmozási)</t>
  </si>
  <si>
    <t xml:space="preserve">1809 Parkolóhely megváltása </t>
  </si>
  <si>
    <t>1842 Tárgyévi finanszírozási megelőlegezések</t>
  </si>
  <si>
    <t>1843 Áh-n belüli megelőlegezések visszaf.</t>
  </si>
  <si>
    <t>1851 Hitel-, kölcsön törlesztése államháztartáson kívülre</t>
  </si>
  <si>
    <t>2795 Ferencvárosi Intézmény Üzemeltetési Központ</t>
  </si>
  <si>
    <t>2850 Ferencvárosi Egyesített Bölcsöde</t>
  </si>
  <si>
    <t>2875 FESZGYI</t>
  </si>
  <si>
    <t>2985 Ferencvárosi Művelődési Központ</t>
  </si>
  <si>
    <t>2987 Ferencvárosi Egészségügyi Szolgálat</t>
  </si>
  <si>
    <t xml:space="preserve"> Ferencvárosi Önkormányzat és Intézményei Összesen</t>
  </si>
  <si>
    <t xml:space="preserve">A helyi önkormányzat önként vállalt feladatai ellátásának költségvetési forrásai és kiadásai </t>
  </si>
  <si>
    <t xml:space="preserve">Önként vállalt feladatok                                                                    </t>
  </si>
  <si>
    <t xml:space="preserve">Költségvetési bevételi előirányzat                           </t>
  </si>
  <si>
    <t>Előző évi marad. Igénybev.</t>
  </si>
  <si>
    <t>Felhalmozási bevételek</t>
  </si>
  <si>
    <t>Kölcsön visszatérülés/Működ.finansz. Bevétel</t>
  </si>
  <si>
    <t xml:space="preserve">Működési célú </t>
  </si>
  <si>
    <t>Felhalmozási célú</t>
  </si>
  <si>
    <t>Működési célú</t>
  </si>
  <si>
    <t>Ferencvárosi Klímastratégia végrehatása</t>
  </si>
  <si>
    <t>Polgármesteri tisztséggel összefüggő egyéb feladatok</t>
  </si>
  <si>
    <t xml:space="preserve">Médiacég </t>
  </si>
  <si>
    <t>Jövedelempótló rendszeres támogatás</t>
  </si>
  <si>
    <t>Ferencvárosi 65+ támogatás</t>
  </si>
  <si>
    <t>Kifli, túró rudi, tej beszerzés</t>
  </si>
  <si>
    <t>Idősügyi Koncepció</t>
  </si>
  <si>
    <t>Közfoglalkoztatottak pályázat támogatásának önrésze, kapcsolódó egyéb kiadások támogatása</t>
  </si>
  <si>
    <t>Egyéb rendezvények</t>
  </si>
  <si>
    <t>Kitüntetésekkel kapcsolatos költségek</t>
  </si>
  <si>
    <t>IX. ker. Rendőrségi támogatás</t>
  </si>
  <si>
    <t>Tűzoltóság támogatása</t>
  </si>
  <si>
    <t>Deák ösztöndíj</t>
  </si>
  <si>
    <t>Kulturális tevékenység támogatása</t>
  </si>
  <si>
    <t>Irodalmi pályázat</t>
  </si>
  <si>
    <t>Konkáv Közösségi tér-Köztes Átmenetek Kft.</t>
  </si>
  <si>
    <t>A helyi önkormányzat államigazgatási feladatai</t>
  </si>
  <si>
    <t>Államigazgatási feladatok 
(Mötv. 18. § alapján)</t>
  </si>
  <si>
    <t>A helyi önkormányzatok, helyi nemzetiségi önkormányzatok általános működéséhez és ágazati feladataihoz kapcsolódó támogatások</t>
  </si>
  <si>
    <t>A központi költségvetésből származó egyéb költségvetési támogatások</t>
  </si>
  <si>
    <t>Közhatalmi bevétel</t>
  </si>
  <si>
    <t>3021 Polgármesteri Hivatal Igazgatási kiadásai 23 fő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</si>
  <si>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</si>
  <si>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</si>
  <si>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</si>
  <si>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</si>
  <si>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</si>
  <si>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</si>
  <si>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</si>
  <si>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</si>
  <si>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</si>
  <si>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</si>
  <si>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</si>
  <si>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</si>
  <si>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Bevételek</t>
  </si>
  <si>
    <t>1. Működési célú támogatások Áh-n belülről</t>
  </si>
  <si>
    <t>2. Közhatalmi bevételek</t>
  </si>
  <si>
    <t>3. Működési bevételek + Működési célú átvett pénzeszk.</t>
  </si>
  <si>
    <t>4. Felhalmozási cálú támogatások Áh-n belülről</t>
  </si>
  <si>
    <t>5. Felhalmozási bevétel</t>
  </si>
  <si>
    <t>6. Felhalmozási cálú átvett pénzeszközök</t>
  </si>
  <si>
    <t>7. Felhalmozási, működési finanszírozású bevétel</t>
  </si>
  <si>
    <t>8. Bevételek mindösszesen</t>
  </si>
  <si>
    <t>9. Személyi juttatások</t>
  </si>
  <si>
    <t>10. Munkaadókat terh. jár. és szoc.hozzáj.adó</t>
  </si>
  <si>
    <t>11. Dologi kiadások</t>
  </si>
  <si>
    <t>12. Ellátottak pénzbeli juttatásai</t>
  </si>
  <si>
    <t>13. Egyéb működési célú kiadások</t>
  </si>
  <si>
    <t>14. Beruházások</t>
  </si>
  <si>
    <t>15. Felújítások</t>
  </si>
  <si>
    <t>16. Egyéb felhalmozási célú kiadások</t>
  </si>
  <si>
    <t>17. Hosszú lejáratú hitel tőke összegének törlesztése, megelőlegezett norm., működ.fin.kiad</t>
  </si>
  <si>
    <t>18. Kiadások mindösszesen</t>
  </si>
  <si>
    <t>Saját bevételek és adósságot keletkeztető ügyletekből eredő fizetési kötelezettségek költségvetési évet követő 3 évre várható kihatása</t>
  </si>
  <si>
    <t>Önkormányzat saját bevételei</t>
  </si>
  <si>
    <t>2027. év várható terv szám</t>
  </si>
  <si>
    <t>2028. év várható terv szám</t>
  </si>
  <si>
    <t>Helyi adóból és a települési adóból származó bevétel (építményadó, telekadó, idegenforgalmi adó, iparűzési adó)</t>
  </si>
  <si>
    <r>
      <t xml:space="preserve">Önkormányzati vagyon és önkormányzatot megillető vagyoni értékű jog hasznosításából származó bevétel </t>
    </r>
    <r>
      <rPr>
        <sz val="9"/>
        <rFont val="Times New Roman"/>
        <family val="1"/>
        <charset val="238"/>
      </rPr>
      <t>(lakbér, helyiség bérleti díj, helyiség megszerzési díj)</t>
    </r>
  </si>
  <si>
    <t>Osztalék, koncessziós díj és hozambevétel</t>
  </si>
  <si>
    <t>----</t>
  </si>
  <si>
    <t>---</t>
  </si>
  <si>
    <t>Tárgyi eszköz és immateriális jószág, részvény, részesedés, vállalat értékesítéséből vagy privatizációból származó bevétel (telek, földterület, helyiség, lakás, törzstőke ért.)</t>
  </si>
  <si>
    <r>
      <t xml:space="preserve">Bírság, pótlék, és díjbevétel </t>
    </r>
    <r>
      <rPr>
        <sz val="9"/>
        <rFont val="Times New Roman"/>
        <family val="1"/>
        <charset val="238"/>
      </rPr>
      <t>(egyéb közhatalmi bevételek között szereplő tételek)</t>
    </r>
  </si>
  <si>
    <t>Kezesség illetve garancia vállalással kapcsolatos megtérülés</t>
  </si>
  <si>
    <t>Adósságot keletkeztető ügyletből eredő fizetési kötelezettség</t>
  </si>
  <si>
    <t>Kiadások felosztása COFOG szerint</t>
  </si>
  <si>
    <t>011130</t>
  </si>
  <si>
    <t>Önkormányzatok és önkormányzati hivatalok jogalkotó és általános igazgatási tevékenysége</t>
  </si>
  <si>
    <t>013350</t>
  </si>
  <si>
    <t>Az önkormányzati vagyonnal való gazdálkodással kapcsolatos feladatok</t>
  </si>
  <si>
    <t>Ügyfélszolgálati Iroda felújítás</t>
  </si>
  <si>
    <t>016080</t>
  </si>
  <si>
    <t>Kiemelt állami és önkormányzati rendezvények</t>
  </si>
  <si>
    <t>018020</t>
  </si>
  <si>
    <t>Központi költségvetési befizetések</t>
  </si>
  <si>
    <t>Szolidaritási hozzájárulási adó</t>
  </si>
  <si>
    <t>031030</t>
  </si>
  <si>
    <t>031060</t>
  </si>
  <si>
    <t>Bűnmegelőzés</t>
  </si>
  <si>
    <t>Térfigyelő kamerák</t>
  </si>
  <si>
    <t>032020</t>
  </si>
  <si>
    <t>013360</t>
  </si>
  <si>
    <t>Más szerv részére végzett pénzügyi-gazdálkodási, üzemeltetési, egyéb szolgáltatások</t>
  </si>
  <si>
    <t>045140</t>
  </si>
  <si>
    <t>Városi és elővárosi közúti személyszállítás</t>
  </si>
  <si>
    <t>045170</t>
  </si>
  <si>
    <t>053010</t>
  </si>
  <si>
    <t>Környezetszennyezés csökkentésének igazgatása</t>
  </si>
  <si>
    <t>064010</t>
  </si>
  <si>
    <t>Közvilágítás</t>
  </si>
  <si>
    <t>066010</t>
  </si>
  <si>
    <t>Zöldterület-kezelés</t>
  </si>
  <si>
    <t>066020</t>
  </si>
  <si>
    <t>Város-, községgazdálkodási egyéb szolgáltatások</t>
  </si>
  <si>
    <t>072210</t>
  </si>
  <si>
    <t>Járóbetegek gyógyító szakellátása</t>
  </si>
  <si>
    <t xml:space="preserve">FESZ új  épületbe beszerzések </t>
  </si>
  <si>
    <t>074052</t>
  </si>
  <si>
    <t>074054</t>
  </si>
  <si>
    <t>Komplex egészségfejlesztő, prevenciós programok</t>
  </si>
  <si>
    <t>081041</t>
  </si>
  <si>
    <t>Versenysport- és utánpótlás-nevelési tevékenység és támogatása</t>
  </si>
  <si>
    <t>081043</t>
  </si>
  <si>
    <t>Iskolai, diáksport-tevékenység és támogatása</t>
  </si>
  <si>
    <t>081045</t>
  </si>
  <si>
    <t>Szabadidősport- (rekreációs sport-) tevékenység és támogatása</t>
  </si>
  <si>
    <t>081071</t>
  </si>
  <si>
    <t>082010</t>
  </si>
  <si>
    <t>Kultúra igazgatása</t>
  </si>
  <si>
    <t>082020</t>
  </si>
  <si>
    <t>082030</t>
  </si>
  <si>
    <t>082061</t>
  </si>
  <si>
    <t>082063</t>
  </si>
  <si>
    <t>Múzeumi kiállítási tevékenység</t>
  </si>
  <si>
    <t>082091</t>
  </si>
  <si>
    <t>084010</t>
  </si>
  <si>
    <t>084020</t>
  </si>
  <si>
    <t>084031</t>
  </si>
  <si>
    <t>Civil szervezetek működési támogatása</t>
  </si>
  <si>
    <t>084032</t>
  </si>
  <si>
    <t>Civil szervezetek programtámogatása</t>
  </si>
  <si>
    <t>084040</t>
  </si>
  <si>
    <t>Egyházak közösségi és hitéleti tevékenységének támogatása</t>
  </si>
  <si>
    <t>084070</t>
  </si>
  <si>
    <t>A fiatalok társadalmi integrációját segítő struktúra, szakmai szolgáltatások fejlesztése, működtetése</t>
  </si>
  <si>
    <t>086010</t>
  </si>
  <si>
    <t>091110</t>
  </si>
  <si>
    <t>Óvodai nevelés, ellátás szakmai feladatai</t>
  </si>
  <si>
    <t>091140</t>
  </si>
  <si>
    <t>Óvodai nevelés, ellátás működtetési feladatai</t>
  </si>
  <si>
    <t>SNI-s és BTM-es gyermekek ellátása</t>
  </si>
  <si>
    <t>094250</t>
  </si>
  <si>
    <t>096015</t>
  </si>
  <si>
    <t>Gyermekétkeztetés köznevelési intézményben</t>
  </si>
  <si>
    <t>098010</t>
  </si>
  <si>
    <t>Oktatás igazgatása</t>
  </si>
  <si>
    <t>Szenvedélybetegek nappali ellátása</t>
  </si>
  <si>
    <t>Fogyatékossággal élők nappali ellátása</t>
  </si>
  <si>
    <t>Támogató szolgáltatás fogyatékos személyek részére</t>
  </si>
  <si>
    <t>Idősek nappali ellátása</t>
  </si>
  <si>
    <t>Az időskorúak társadalmi integrációját célzó programok</t>
  </si>
  <si>
    <t>Gyermekek bölcsődei ellátása</t>
  </si>
  <si>
    <t>Gyermekétkeztetés bölcsődében, fogyatékosok nappali intézményében</t>
  </si>
  <si>
    <t>Lakásfenntartással, lakhatással összefüggő ellátások</t>
  </si>
  <si>
    <t>Hajléktalanok nappali ellátása</t>
  </si>
  <si>
    <t>Utcai szociális munka</t>
  </si>
  <si>
    <t>Házi segítségnyújtás</t>
  </si>
  <si>
    <t>Egyéb szociális pénzbeli és természetbeni ellátások, támogatások</t>
  </si>
  <si>
    <t>Romák társadalmi integrációját elősegítő tevékenységek, programok</t>
  </si>
  <si>
    <t>Forgatási és befektetési célú finanszírozási műveletek</t>
  </si>
  <si>
    <t>Általános tartalék</t>
  </si>
  <si>
    <t>Elszámolásból származó bevételek</t>
  </si>
  <si>
    <t>Környezetvédelmi bírság</t>
  </si>
  <si>
    <t>Szabálysértési bírság</t>
  </si>
  <si>
    <t>Önkormányzat ÁFA</t>
  </si>
  <si>
    <t>Önkormányzatok funkcióra nem sorolható bevételei államháztartáson kívülről</t>
  </si>
  <si>
    <t>Iparűzési adó</t>
  </si>
  <si>
    <t>Idegenforgalmi adó</t>
  </si>
  <si>
    <t>Iparűzési adó pótlék, bírság</t>
  </si>
  <si>
    <t>Helyiség bérleti díj</t>
  </si>
  <si>
    <t>Munkásszálló bérleti díj</t>
  </si>
  <si>
    <t>Helyiség értékesítés</t>
  </si>
  <si>
    <t>Önkormányzati lakások értékesítése</t>
  </si>
  <si>
    <t>018010</t>
  </si>
  <si>
    <t>018030</t>
  </si>
  <si>
    <t>Parkolási díj, ügyviteli költség</t>
  </si>
  <si>
    <t>Nyomvonal létesítés kártalanítás</t>
  </si>
  <si>
    <t>Parkolással kapcsolatos közvetített szolgáltatások ellenértéke</t>
  </si>
  <si>
    <t>2026. év</t>
  </si>
  <si>
    <t>Ifjúmunkás u. útburkolat felújítása</t>
  </si>
  <si>
    <t>Börzsöny u. 19. sz. orvosi rendelő felújítása</t>
  </si>
  <si>
    <t>Tinódi parkba illemhelyiség</t>
  </si>
  <si>
    <t xml:space="preserve">             4023 Lónyay u. 26 buszmegálló felújítása</t>
  </si>
  <si>
    <t xml:space="preserve">     3974 Zenei pályázat</t>
  </si>
  <si>
    <t xml:space="preserve">      4156 Állagmegőrző felújítások</t>
  </si>
  <si>
    <t xml:space="preserve">      4158 Gát u. 23-25. tervezés</t>
  </si>
  <si>
    <t xml:space="preserve">      4159 Marhagödör és Vágó utcai felújítás </t>
  </si>
  <si>
    <t xml:space="preserve">      4114 Önkormányzati lakóházak tetőfelújítás</t>
  </si>
  <si>
    <t xml:space="preserve">      4126 Önkor-i lakások komfort., lakások és helyiségek felújítása</t>
  </si>
  <si>
    <t xml:space="preserve">      4153 Tartószerkezeti statikai vizsgálat</t>
  </si>
  <si>
    <t xml:space="preserve">      4160 Márton utca 8. Lakóház felújítás</t>
  </si>
  <si>
    <t xml:space="preserve">      4162 Haller u. 54. kiviteli tervezés</t>
  </si>
  <si>
    <t xml:space="preserve">      4163 Lenhossék u. 5. Felújítás tervezés</t>
  </si>
  <si>
    <t xml:space="preserve">      4164 Gát u. 23-25 építés</t>
  </si>
  <si>
    <t xml:space="preserve">      4165 Haller u. 54. építés </t>
  </si>
  <si>
    <t xml:space="preserve">      4167 Lenhossék 12 - Gát 14 felújítás tervezés</t>
  </si>
  <si>
    <t xml:space="preserve">      4137 Sobieski u. 3-9 épületek bontása</t>
  </si>
  <si>
    <t xml:space="preserve">      4313 Üllői út 65-67. orvosi rendelő felújtása </t>
  </si>
  <si>
    <t xml:space="preserve">             3061 Közutak üzemeltetése</t>
  </si>
  <si>
    <t>3229 Budapesti Zöld Panel program</t>
  </si>
  <si>
    <t xml:space="preserve">      3309 Lakásfenntartási támogatás</t>
  </si>
  <si>
    <t>Lakhatáshoz kapcsolódó rendkívüli támogatás</t>
  </si>
  <si>
    <t xml:space="preserve">      3312 Rendkívüli támogatás</t>
  </si>
  <si>
    <t xml:space="preserve">      3316 Adósságkezelési támogatás</t>
  </si>
  <si>
    <t xml:space="preserve">      3317 Gyógyszertámogatás</t>
  </si>
  <si>
    <t xml:space="preserve">             3927 Faültetés támogatása</t>
  </si>
  <si>
    <t xml:space="preserve">             3928 Társasház felújítási pályázat</t>
  </si>
  <si>
    <t>3941 FESZOFE kiem. közhasznú Non-Profit Kft műk. támogatása</t>
  </si>
  <si>
    <t xml:space="preserve">     3987 Ruszin Nemzetiségi Önkormányzat támogatása</t>
  </si>
  <si>
    <t xml:space="preserve">     3988 Horvát Nemzetiségi Önkormányzat</t>
  </si>
  <si>
    <t xml:space="preserve">     3989 Nemzetiségi önkormányzatok pályázati támogatása</t>
  </si>
  <si>
    <t xml:space="preserve">     3990 Bolgár Nemzetiségi Önkormányzat</t>
  </si>
  <si>
    <t xml:space="preserve">     3991 Roma Nemzetiségi Önkormányzat</t>
  </si>
  <si>
    <t xml:space="preserve">     3992 Görög Nemzetiségi Önkormányzat</t>
  </si>
  <si>
    <t xml:space="preserve">     3993 Német Nemzetiségi Önkormányzat</t>
  </si>
  <si>
    <t xml:space="preserve">      3994 Örmény Nemzetiségi Önkormányzat</t>
  </si>
  <si>
    <t xml:space="preserve">      3997 Szerb Nemzetiségi Önkormányzat</t>
  </si>
  <si>
    <t xml:space="preserve">      3998 Szlovák Nemzetiségi Önkormányzat</t>
  </si>
  <si>
    <t xml:space="preserve">      3999 Ukrán Nemzetiségi Önkormányzat</t>
  </si>
  <si>
    <t>4132 Nem önkormányzati tulajdonú lakóépületek veszélyelhárítása</t>
  </si>
  <si>
    <t xml:space="preserve">      5062 Óvoda fejlesztés</t>
  </si>
  <si>
    <t xml:space="preserve">             5002 Ifjúmunkás utca 32. Fitnesz park </t>
  </si>
  <si>
    <t xml:space="preserve">             5013 Zöldfelületi kataszter, fakataszter elkészítése</t>
  </si>
  <si>
    <t xml:space="preserve">             5014 Faültetés</t>
  </si>
  <si>
    <t xml:space="preserve">             5004 MÁV csatornázás</t>
  </si>
  <si>
    <t xml:space="preserve">             5005 Közlekedésbiztonsági fejlesztés</t>
  </si>
  <si>
    <t xml:space="preserve">             4022 kutyafuttatóf felújítása</t>
  </si>
  <si>
    <t xml:space="preserve">             5015 Kerékpáros infrastruktúra tervezés, kiépítés, fejlesztés</t>
  </si>
  <si>
    <t xml:space="preserve">             5019 Pöttyös utca metrófelszín</t>
  </si>
  <si>
    <t xml:space="preserve">             5023 Ecseri úti metró megálló felszíni rendezés</t>
  </si>
  <si>
    <t xml:space="preserve">             6143 Lónyay Property</t>
  </si>
  <si>
    <t>6142 Fejlesztési céltartalék</t>
  </si>
  <si>
    <t>Térfigyelő rendszer karbantartásának, üzemeltetése</t>
  </si>
  <si>
    <t>Városfejlesztési Biz.,Gazdasági Biz. (beszámolás)</t>
  </si>
  <si>
    <t>Városfejlesztési Bizottság (beszámolás)</t>
  </si>
  <si>
    <t xml:space="preserve">Városfejlesztési Bizottság </t>
  </si>
  <si>
    <t>Kulturális Bizottság (beszámolás)</t>
  </si>
  <si>
    <t>Városfejl. Biz., Szoc. és Eügyi Biz., Gazdasági Biz. (beszámolás)</t>
  </si>
  <si>
    <t>Szociális és egészségügyi Bizottság (beszámolás)</t>
  </si>
  <si>
    <t>Kulturális Bizottság, Szociális és Egészségügyi Bizottság</t>
  </si>
  <si>
    <t>Kulturális Bizottság</t>
  </si>
  <si>
    <t>Városfejlesztési Biz., József A. Városrészi Önk. (beszámolás)</t>
  </si>
  <si>
    <t>Városfejlesztési Bizottság</t>
  </si>
  <si>
    <t xml:space="preserve">Városfejlesztési Biz., József A. Városrészi Önk. </t>
  </si>
  <si>
    <t xml:space="preserve"> 2026. évi előirányzat felhasználási ütemterv</t>
  </si>
  <si>
    <t>(beszámolás)</t>
  </si>
  <si>
    <t>József Attila Városrészi Önk. (beszámolás)</t>
  </si>
  <si>
    <t>Gazdasági Bizottság</t>
  </si>
  <si>
    <t>József Attila Városrészi Önk.</t>
  </si>
  <si>
    <t>Szociális és Egészségügyi Bizottság (beszámolás)</t>
  </si>
  <si>
    <t>Gazdasági Bizottság (beszámolás)</t>
  </si>
  <si>
    <t>Szociális és Egészségügyi Bizottság</t>
  </si>
  <si>
    <t>Szociális és egészségügyi Bizottság</t>
  </si>
  <si>
    <t>Városfejlesztés Bizottság</t>
  </si>
  <si>
    <t>Bérlemény közszolgáltatás + Megbízási szerz.</t>
  </si>
  <si>
    <t>Városfejlesztési Bizottság, József A. Városrészi Önk.</t>
  </si>
  <si>
    <t>Városfejlesztési Biz, József A. Városr. Önk. (beszámolás)</t>
  </si>
  <si>
    <t>2026. évi előirányzat
…/2026.</t>
  </si>
  <si>
    <t>2026. évi előirányzat
.../2026.</t>
  </si>
  <si>
    <t>2026. évi  előirányzat .../2026.</t>
  </si>
  <si>
    <t>2029. év várható terv szám</t>
  </si>
  <si>
    <t>(Fő)</t>
  </si>
  <si>
    <t>Egészséges utcák - TOP_PLUSZ-4.1.1-23-BP2-2024-00003 (Angyal utca)</t>
  </si>
  <si>
    <t>Egészséges utcák - TOP_PLUSZ-4.1.1-23-BP2-2024-00004 (Sobieski)</t>
  </si>
  <si>
    <t>Egészséges utcák - TOP_PLUSZ-4.1.1-23-BP2-2024-00005 (Ipar utca)</t>
  </si>
  <si>
    <t>Egészséges utcák - TOP_PLUSZ-4.1.1-23-BP2-2024-00006 (Viola utca)</t>
  </si>
  <si>
    <t>MINDÖSSZESEN</t>
  </si>
  <si>
    <t>Vállalkozási tevékenységek kiadásai és bevételei</t>
  </si>
  <si>
    <t>Természetes személyek adósságrendezésével kapcsolatos feladatok</t>
  </si>
  <si>
    <t>Polgármesteri Hivatal</t>
  </si>
  <si>
    <t>Szociális szolgáltatások igazgatása</t>
  </si>
  <si>
    <t xml:space="preserve">Akadálymentesítési támogatás </t>
  </si>
  <si>
    <t xml:space="preserve">Kifli, túró rudi, tej beszerzés iskolák részére </t>
  </si>
  <si>
    <t xml:space="preserve">65+ támogatás </t>
  </si>
  <si>
    <t xml:space="preserve">Gyógyszertámogatás </t>
  </si>
  <si>
    <t xml:space="preserve">Adósságkezelési támogatás </t>
  </si>
  <si>
    <t xml:space="preserve">Jövedelemkiegészítő támogatás </t>
  </si>
  <si>
    <t xml:space="preserve">Rendkívüli támogatás </t>
  </si>
  <si>
    <t xml:space="preserve">Lakbértámogatás </t>
  </si>
  <si>
    <t xml:space="preserve">Lakásfenntartási támogatás és lakhatáshoz kapcs.rendkívüli t. </t>
  </si>
  <si>
    <t xml:space="preserve">Védőoltás támogatása </t>
  </si>
  <si>
    <t xml:space="preserve">Gyermeknevelési támogatás </t>
  </si>
  <si>
    <t xml:space="preserve">Krízis Alap-ból kifizetés </t>
  </si>
  <si>
    <t xml:space="preserve">Egészségügyi, Szociális, Sport, Ifj. és Civil feladatok </t>
  </si>
  <si>
    <t xml:space="preserve">Oktatási támogatás </t>
  </si>
  <si>
    <t>Szociális étkeztetési szociális konyhán</t>
  </si>
  <si>
    <t>Család és gyermekjóléti központ</t>
  </si>
  <si>
    <t>Család- és gyermekjóléti szolgáltatások</t>
  </si>
  <si>
    <t>Munkahelyi étkeztetés gyermekek napközbeni ellátását biztosító intézményben</t>
  </si>
  <si>
    <t>Gyermekek napközbeni ellátása családi bölcsőde, munkahelyi bölcsőde, napközbeni gyermekfelügyelet vagy alternatív napközbeni ellátás útján</t>
  </si>
  <si>
    <t xml:space="preserve">SOS Krízis Alapítvány </t>
  </si>
  <si>
    <t>Gyermekek átmeneti ellátása</t>
  </si>
  <si>
    <t>Demens betegek nappali ellátása</t>
  </si>
  <si>
    <t>Időskorúak átmeneti ellátása</t>
  </si>
  <si>
    <t xml:space="preserve">Támogató Szolgálat (Motiváció Alapítvány) </t>
  </si>
  <si>
    <t xml:space="preserve">Fogyatékos személyek nappali ellátása Gond-viselés Kht. </t>
  </si>
  <si>
    <t xml:space="preserve">Küldetés Egyesület ellátási szerződés </t>
  </si>
  <si>
    <t>Pszichiátriai betegek nappali ellátása</t>
  </si>
  <si>
    <t>Munkahelyi étkeztetés köznevelési intézményben</t>
  </si>
  <si>
    <t>096025</t>
  </si>
  <si>
    <t>Ferencvárosi Óvodák</t>
  </si>
  <si>
    <t xml:space="preserve">Bursa Hungarica </t>
  </si>
  <si>
    <t>Hallgatói és oktatói ösztöndíjak, egyéb juttatások</t>
  </si>
  <si>
    <t>094260</t>
  </si>
  <si>
    <t>Tankönyv- és jegyzettámogatás</t>
  </si>
  <si>
    <t xml:space="preserve">Óvodafejlesztés </t>
  </si>
  <si>
    <t>Egyéb szabadidős szolgáltatás</t>
  </si>
  <si>
    <t>086090</t>
  </si>
  <si>
    <t>Testvérvárosi kapcsolatok (humánszolg.)</t>
  </si>
  <si>
    <t>Nemzetközi kulturális együttműködés</t>
  </si>
  <si>
    <t>086030</t>
  </si>
  <si>
    <t>Helyi, térségi közösségi tér biztosítása, működtetése</t>
  </si>
  <si>
    <t>086020</t>
  </si>
  <si>
    <t>Határon túli magyarok egyéb támogatásai</t>
  </si>
  <si>
    <t xml:space="preserve">Kulturális, oktatási, egyházügyi és Nemzetiségi feladatok </t>
  </si>
  <si>
    <t xml:space="preserve">Kulturális tevékenység, egyházi és civil szerv.támog támogatása </t>
  </si>
  <si>
    <t xml:space="preserve">Deák Alapítvány </t>
  </si>
  <si>
    <t>Társadalmi tevékenységekkel, esélyegyenlőséggel, érdekképviselettel, nemzetiségekkel, egyházakkal összefüggő feladatok igazgatása és szabályozása</t>
  </si>
  <si>
    <t>Egyéb kiadói tevékenység</t>
  </si>
  <si>
    <t>083030</t>
  </si>
  <si>
    <t>Közművelődés – egész életre kiterjedő tanulás, amatőr művészetek</t>
  </si>
  <si>
    <t>082093</t>
  </si>
  <si>
    <t>Közművelődés – hagyományos közösségi kulturális értékek gondozása</t>
  </si>
  <si>
    <t>082092</t>
  </si>
  <si>
    <t xml:space="preserve">Irodalmi  pályázat </t>
  </si>
  <si>
    <t xml:space="preserve">Karaván Művészeti Alapítvány </t>
  </si>
  <si>
    <t>Kitüntetések adományozásával kapcs.költségek</t>
  </si>
  <si>
    <t xml:space="preserve">Kulturális koncepció </t>
  </si>
  <si>
    <t>Közművelődés – közösségi és társadalmi részvétel fejlesztése</t>
  </si>
  <si>
    <t xml:space="preserve">József Attila Skanzen tervpályázat </t>
  </si>
  <si>
    <t>Történelmi hely, építmény, egyéb látványosság működtetése és megóvása</t>
  </si>
  <si>
    <t>082070</t>
  </si>
  <si>
    <t xml:space="preserve">Ferencvárosi Helytörténeti Egyesület </t>
  </si>
  <si>
    <t>Múzeumi gyűjteményi tevékenység</t>
  </si>
  <si>
    <t xml:space="preserve">Zeneművészeti szervezetek támogatása </t>
  </si>
  <si>
    <t>Művészeti tevékenységek (kivéve: színház)</t>
  </si>
  <si>
    <t>Színházak tevékenysége</t>
  </si>
  <si>
    <t>Üdülői szálláshely-szolgáltatás és étkeztetés</t>
  </si>
  <si>
    <t xml:space="preserve">Sport és szabadidős feladatok </t>
  </si>
  <si>
    <t xml:space="preserve">Jégpálya - BP együttműködés </t>
  </si>
  <si>
    <t xml:space="preserve">Diáksport </t>
  </si>
  <si>
    <t xml:space="preserve">Sport Alap </t>
  </si>
  <si>
    <t>Ifjúmunkás utca 32. Fitnesz park</t>
  </si>
  <si>
    <t>Sportlétesítmények, edzőtáborok működtetése és fejlesztése</t>
  </si>
  <si>
    <t>081030</t>
  </si>
  <si>
    <t>Sportügyek igazgatása</t>
  </si>
  <si>
    <t>081010</t>
  </si>
  <si>
    <t>Egészségügy igazgatása</t>
  </si>
  <si>
    <t>076010</t>
  </si>
  <si>
    <t>Kábítószer-megelőzés programjai, tevékenységei</t>
  </si>
  <si>
    <t>Ifjúság-egészségügyi gondozás</t>
  </si>
  <si>
    <t>074032</t>
  </si>
  <si>
    <t>Foglalkozás-egészségügyi alapellátás</t>
  </si>
  <si>
    <t>074011</t>
  </si>
  <si>
    <t>Fizikoterápiás szolgáltatás</t>
  </si>
  <si>
    <t>072450</t>
  </si>
  <si>
    <t>Képalkotó diagnosztikai szolgáltatások</t>
  </si>
  <si>
    <t>072430</t>
  </si>
  <si>
    <t>Egészségügyi laboratóriumi szolgáltatások</t>
  </si>
  <si>
    <t>072420</t>
  </si>
  <si>
    <t>Otthoni (egészségügyi) szakápolás</t>
  </si>
  <si>
    <t>072410</t>
  </si>
  <si>
    <t>Fogorvosi szakellátás</t>
  </si>
  <si>
    <t>072313</t>
  </si>
  <si>
    <t>Fogorvosi alapellátás</t>
  </si>
  <si>
    <t>072311</t>
  </si>
  <si>
    <t>Járóbetegek egynapos ellátása</t>
  </si>
  <si>
    <t>072240</t>
  </si>
  <si>
    <t>Üllői út 65-67. orvosi rendelő felújtása</t>
  </si>
  <si>
    <t>Háziorvosi alapellátás</t>
  </si>
  <si>
    <t>072111</t>
  </si>
  <si>
    <t>Céltartalék - Lónyay Property</t>
  </si>
  <si>
    <t>Céltartalék - fejlesztési célú</t>
  </si>
  <si>
    <t xml:space="preserve">Pöttyös utcai metró felszíni rendezés </t>
  </si>
  <si>
    <t xml:space="preserve">Belső-Ferencváros akadálymentesítés </t>
  </si>
  <si>
    <t xml:space="preserve">Neonpark </t>
  </si>
  <si>
    <t>Haller u. 54. építés</t>
  </si>
  <si>
    <t xml:space="preserve">Gát u. 23-25 építés </t>
  </si>
  <si>
    <t xml:space="preserve">Gát u. 23-25. tervezés </t>
  </si>
  <si>
    <t xml:space="preserve">Nem önkormányzati tulajdonú lakóépületek veszélyelhárítása </t>
  </si>
  <si>
    <t>Lónyai u. 26. buszmegálló felújítása</t>
  </si>
  <si>
    <t xml:space="preserve">Kutyafuttatók felújítása </t>
  </si>
  <si>
    <t xml:space="preserve">Egyéb közterületek felújítása, fejlesztése  </t>
  </si>
  <si>
    <t xml:space="preserve">Haller park felújítás </t>
  </si>
  <si>
    <t xml:space="preserve"> Fedett, zárható kerékpártárolók társasházak, lakótelepek környékén </t>
  </si>
  <si>
    <t xml:space="preserve">Játszóterek karbantartása </t>
  </si>
  <si>
    <t xml:space="preserve">Ferencvárosi Klímastratégia végrehajtása </t>
  </si>
  <si>
    <t xml:space="preserve">Erdőgazdálkodás </t>
  </si>
  <si>
    <t xml:space="preserve">Faültetés </t>
  </si>
  <si>
    <t xml:space="preserve">Faültetés támogatása </t>
  </si>
  <si>
    <t xml:space="preserve">Egészséges utcák - Ipar utca </t>
  </si>
  <si>
    <t xml:space="preserve">Egészséges utcák - Sobieski utca </t>
  </si>
  <si>
    <t xml:space="preserve">Egészséges utcák - Viola utca </t>
  </si>
  <si>
    <t>Településfejlesztési projektek és támogatásuk</t>
  </si>
  <si>
    <t>062020</t>
  </si>
  <si>
    <t xml:space="preserve">Társasház felújítási pályázat </t>
  </si>
  <si>
    <t xml:space="preserve">Társasházak támogatása </t>
  </si>
  <si>
    <t>Lakáshoz jutást segítő támogatások</t>
  </si>
  <si>
    <t>061030</t>
  </si>
  <si>
    <t xml:space="preserve">Köztisztasági feladatok </t>
  </si>
  <si>
    <t xml:space="preserve">Környezetvédelem </t>
  </si>
  <si>
    <t xml:space="preserve">Közterületi növényvédelem </t>
  </si>
  <si>
    <t>Nem veszélyes (települési) hulladék összetevőinek válogatása, elkülönített begyűjtése, szállítása, átrakása</t>
  </si>
  <si>
    <t>051020</t>
  </si>
  <si>
    <t>Piac üzemeltetése</t>
  </si>
  <si>
    <t>047120</t>
  </si>
  <si>
    <t>Parkoló, garázs üzemeltetése, fenntartása</t>
  </si>
  <si>
    <t xml:space="preserve">Utak felújítása, javítása </t>
  </si>
  <si>
    <t xml:space="preserve">Közutak üzemeltetése </t>
  </si>
  <si>
    <t>Közutak, hidak, alagutak üzemeltetése, fenntartása</t>
  </si>
  <si>
    <t>045160</t>
  </si>
  <si>
    <t>Egyéb szárazföldi személyszállítás</t>
  </si>
  <si>
    <t>045150</t>
  </si>
  <si>
    <t>Út, autópálya építése</t>
  </si>
  <si>
    <t>045120</t>
  </si>
  <si>
    <t>Területfejlesztés igazgatása</t>
  </si>
  <si>
    <t>041140</t>
  </si>
  <si>
    <t>Tűz- és katasztrófavédelmi tevékenységek</t>
  </si>
  <si>
    <t xml:space="preserve">Térfigyelő rendszer fejlesztése </t>
  </si>
  <si>
    <t xml:space="preserve">IX. kerületi Rendőrkapitányság támogatása </t>
  </si>
  <si>
    <t>Közterület rendjének fenntartása</t>
  </si>
  <si>
    <t xml:space="preserve">Ukrán Nemzetiségi Önkormányzat </t>
  </si>
  <si>
    <t xml:space="preserve">Szlovák Nemzetiségi Önkormányzat </t>
  </si>
  <si>
    <t xml:space="preserve">Szerb Nemzetiségi Önkormányzat </t>
  </si>
  <si>
    <t xml:space="preserve">Örmény Nemzetiségi Önkormányzat </t>
  </si>
  <si>
    <t xml:space="preserve">Német Nemzetiségi Önkormányzat </t>
  </si>
  <si>
    <t xml:space="preserve">Görög Nemzetiségi Önkormányzat </t>
  </si>
  <si>
    <t xml:space="preserve">Roma Nemzetiségi Önkormányzat </t>
  </si>
  <si>
    <t xml:space="preserve">Bolgár Nemzetiségi Önkormányzat </t>
  </si>
  <si>
    <t xml:space="preserve">Nemzetiségi önkormányzatok pályázati támogatása </t>
  </si>
  <si>
    <t xml:space="preserve">Horvát Nemzetiségi Önkormányzat </t>
  </si>
  <si>
    <t xml:space="preserve">Ruszin Nemzetiségi Önkormányzat </t>
  </si>
  <si>
    <t>Támogatási célú finanszírozási műveletek</t>
  </si>
  <si>
    <t>Előző évi finanszírozási megelőlegezések visszafizetése</t>
  </si>
  <si>
    <t>Tárgyévi finanszírozási megelőlegezések visszafizetése</t>
  </si>
  <si>
    <t>Területfejlesztési Alap befizetések</t>
  </si>
  <si>
    <t>Elvonások és befizetések kiadásai</t>
  </si>
  <si>
    <t>Önkormányzatok elszámolásai a központi költségvetéssel</t>
  </si>
  <si>
    <t>Állampolgársági ügyek</t>
  </si>
  <si>
    <t>016030</t>
  </si>
  <si>
    <t>Országgyűlési, önkormányzati és európai parlamenti képviselőválasztásokhoz kapcsolódó tevékenységek</t>
  </si>
  <si>
    <t>016010</t>
  </si>
  <si>
    <t xml:space="preserve">Márton utca 8. Lakóház felújítás </t>
  </si>
  <si>
    <t xml:space="preserve">Állagmegőrző felújítások </t>
  </si>
  <si>
    <t xml:space="preserve">Balázs Béla utca 27/B lakóépület felújítása </t>
  </si>
  <si>
    <t xml:space="preserve">Tartószerkezeti statikai felújítások </t>
  </si>
  <si>
    <t xml:space="preserve">Tartószerkezeti statikai vizsgálatok </t>
  </si>
  <si>
    <t xml:space="preserve">Sobieski u. 3-9 épületek bontása </t>
  </si>
  <si>
    <t xml:space="preserve">Felújításokkal kapcsolatos tervezések </t>
  </si>
  <si>
    <t xml:space="preserve">FEV IX. Zrt. Támogatása </t>
  </si>
  <si>
    <t xml:space="preserve">Életjáradéki szolgáltatás </t>
  </si>
  <si>
    <t xml:space="preserve">Bérlakás és egyéb ingatlan elidegenítés </t>
  </si>
  <si>
    <t xml:space="preserve">Kényszer kiköltöztetés </t>
  </si>
  <si>
    <t xml:space="preserve">KF - rehabilitáció járulékos költségek </t>
  </si>
  <si>
    <t xml:space="preserve">Magyar Máltai Szeretetszolgálat Egyesület-Közösségi hasznosítás </t>
  </si>
  <si>
    <t xml:space="preserve">Lakás és helyiség karbantartás </t>
  </si>
  <si>
    <t xml:space="preserve">Ingatlanokkal kapcsolatos egyéb feladatok </t>
  </si>
  <si>
    <t>Adó-, vám- és jövedéki igazgatás</t>
  </si>
  <si>
    <t>011220</t>
  </si>
  <si>
    <t>Országos és helyi nemzetiségi önkormányzatok igazgatási tevékenysége</t>
  </si>
  <si>
    <t>011140</t>
  </si>
  <si>
    <t xml:space="preserve">Lenhossék u. 5. Felújítás tervezés </t>
  </si>
  <si>
    <t xml:space="preserve">Nemzetiségi Önkormányzat működési kiadásai </t>
  </si>
  <si>
    <t xml:space="preserve">Pályázat előkészítés, lebonyolítás </t>
  </si>
  <si>
    <t xml:space="preserve">Részvételi költségvetés </t>
  </si>
  <si>
    <t>Fizetendő általános forgalmi adó</t>
  </si>
  <si>
    <t>Fővárosi IPA költségei</t>
  </si>
  <si>
    <t xml:space="preserve">Kamat kiadás, banki költségek, tranzakciós díjak </t>
  </si>
  <si>
    <t xml:space="preserve">Helyi adó pótlék, bírság </t>
  </si>
  <si>
    <t xml:space="preserve">Talajterhelési díj </t>
  </si>
  <si>
    <t>Belföldi gépjárművek adójának önk.-ot megill.része</t>
  </si>
  <si>
    <t>Társasházak befizetései</t>
  </si>
  <si>
    <t>Helyi támogatás, házmesterek visszafizetése</t>
  </si>
  <si>
    <t>Munkáltatói kölcsön visszafizetés (Hivatal)</t>
  </si>
  <si>
    <t>Parkolási feladatokkal kapcsolatos ÁFA</t>
  </si>
  <si>
    <t>Kerékbilincs bevétele (Hivatal)</t>
  </si>
  <si>
    <t>Gépkocsi elszállítás (Hivatal)</t>
  </si>
  <si>
    <t>Műk.c.költségvetési - és kiegészítő támogatások</t>
  </si>
  <si>
    <t>Települési önk.kulturális feladatainak támogatása</t>
  </si>
  <si>
    <t>Települési önk.szoc.gyermekjóléti és gyermekétkeztetési felad.tám.</t>
  </si>
  <si>
    <t>Települési önk.egyes köznevelési felad.támogatása</t>
  </si>
  <si>
    <t>Helyi önk.működésének általános támogatása</t>
  </si>
  <si>
    <t>Földterület, telek, ingatlan értékesítése</t>
  </si>
  <si>
    <t>Vagyonkezelési és városfejlesztési feladatokkal kapcsolatos ÁFA</t>
  </si>
  <si>
    <t xml:space="preserve">Vagyonkezeléssel kapcsolatos közvetített szolgáltatások ellenértéke </t>
  </si>
  <si>
    <t xml:space="preserve">Önkormányzat közvetített szolgáltatások ellenértéke  </t>
  </si>
  <si>
    <t xml:space="preserve">Helyiség megszerzési díj  </t>
  </si>
  <si>
    <t>Lakbér bevételek</t>
  </si>
  <si>
    <t xml:space="preserve">Bérleti díjak  </t>
  </si>
  <si>
    <t>Önkormányzat kamatbevétel</t>
  </si>
  <si>
    <t xml:space="preserve">Egyéb szolgáltatás </t>
  </si>
  <si>
    <t>Igazgatásszolgáltatási díj</t>
  </si>
  <si>
    <t>Kiszámlázott ÁFA (Hivatal)</t>
  </si>
  <si>
    <t>Közvetített szolgáltatás (Hivatal)</t>
  </si>
  <si>
    <t>Egyéb szolgáltatás (Hivatal)</t>
  </si>
  <si>
    <t>Bevételek felosztása COFOG szerint</t>
  </si>
  <si>
    <t>Parkolási bírság, pótdíj</t>
  </si>
  <si>
    <t>Egyéb bírságból származó bevétel</t>
  </si>
  <si>
    <t>Közigazgatási bírság</t>
  </si>
  <si>
    <t>Közterületfoglalási díj</t>
  </si>
  <si>
    <t>Munkáltatói kölcsön (Hivatal)</t>
  </si>
  <si>
    <t>Zenei pályázat</t>
  </si>
  <si>
    <t>Lenhossék 12 - Gát 14. felújítás tervezés</t>
  </si>
  <si>
    <t xml:space="preserve">             5012 Belső-Ferencváros akadálymentesítés</t>
  </si>
  <si>
    <t>Ferencvárosi Intézményüzemeltetési Központ</t>
  </si>
  <si>
    <t>Bartók Táncegyüttes</t>
  </si>
  <si>
    <t xml:space="preserve">             5051 Egészséges utcák - Viola utca</t>
  </si>
  <si>
    <t xml:space="preserve">             5052 Egészséges utcák - Sobieski utca</t>
  </si>
  <si>
    <t xml:space="preserve">             5053 Egészséges utcák - Ipar utca</t>
  </si>
  <si>
    <t xml:space="preserve">             5054 Egészséges utcák - Angyal utca</t>
  </si>
  <si>
    <t xml:space="preserve">             5016 Közterületi takarítógépek beszerzése </t>
  </si>
  <si>
    <t xml:space="preserve">      5026 Új önkormányzati bérház építés-tervezés</t>
  </si>
  <si>
    <t xml:space="preserve">             4141 Településrendezési eszközök</t>
  </si>
  <si>
    <t xml:space="preserve">     4166 József Attila Skanzen tervpályázat</t>
  </si>
  <si>
    <t>Államkötvény vásárlás</t>
  </si>
  <si>
    <t>Többéves kihatással járó kötelezettségek</t>
  </si>
  <si>
    <t>További kötelezettségek</t>
  </si>
  <si>
    <t>Utcai Szociális Munka – Menhely Alapítvány</t>
  </si>
  <si>
    <t>Támogató Szolgálat – Motiváció Mozgássérülteket Segítő Alapítvány</t>
  </si>
  <si>
    <t>Kék Pont Drogkonzultációs Központ és Drogambulancia Alapítvány</t>
  </si>
  <si>
    <t>Fővárosi Szabó Ervin könyvtár</t>
  </si>
  <si>
    <t>Konkáv Köztes Átmenetek Nonprofit Kft.</t>
  </si>
  <si>
    <t>Forti Core Switchek (2026-ban premium support)</t>
  </si>
  <si>
    <t>Anydesk licencek</t>
  </si>
  <si>
    <t>C1 cafetéria rendszer</t>
  </si>
  <si>
    <t>Céginfó online szolgáltatás</t>
  </si>
  <si>
    <t>CT-Ecostat rendszertámogatás</t>
  </si>
  <si>
    <t>Végpontvédelem biztosítása</t>
  </si>
  <si>
    <t>Tűzfalak licencelése</t>
  </si>
  <si>
    <t>Honlap készítés www.ferencvaros.hu címre</t>
  </si>
  <si>
    <t>Térinformatikai rendszer biztosítása (KAPU)</t>
  </si>
  <si>
    <t>Mapinfo Pro szoftver előfizetés</t>
  </si>
  <si>
    <t>Maxi archiváló csomag</t>
  </si>
  <si>
    <t>Microsoft 365 Business Basic előfizetés</t>
  </si>
  <si>
    <t>Microsoft Teams licencek</t>
  </si>
  <si>
    <t>SIM kártyák beszerzése</t>
  </si>
  <si>
    <t>Tanúsított iratkezelő licencbérlet</t>
  </si>
  <si>
    <t>Weboldal-hitelesítõ tanúsítvány éves díja Wildcard</t>
  </si>
  <si>
    <t>Exchange licencek beszerzése</t>
  </si>
  <si>
    <t>Windows Szerver licencek beszerzése</t>
  </si>
  <si>
    <t>AutoCad licencek beszerzése</t>
  </si>
  <si>
    <t>Információbiztonsági felelősi feladatok ellátása</t>
  </si>
  <si>
    <t>Rendszertámogatási szolgáltatás nyújtása</t>
  </si>
  <si>
    <t>Internet (Ferenc krt., Ráday 26)</t>
  </si>
  <si>
    <t>Vezetékes telefon szolgáltatás (Magyar Telekom NYrt)</t>
  </si>
  <si>
    <t>BDSL Toronyház utca (Magyar Telekom NYrt)</t>
  </si>
  <si>
    <t>IP telefon szolgáltatás díja (Magyar Telekom NYrt)</t>
  </si>
  <si>
    <t>Közraktár utca (Magyar Telekom Nyrt)</t>
  </si>
  <si>
    <t>Zöld szám (Magyar Telekom NYrt)</t>
  </si>
  <si>
    <t>Pöttyös utca telefon és internet (Magyar Telekom NYrt)</t>
  </si>
  <si>
    <t>Lónyay u. internet (Magyar Telekom NYrt)</t>
  </si>
  <si>
    <t>Ecseri u. 19. ügyfélszolgálat telefonszolgáltatás (Magyar Telekom NYrt)</t>
  </si>
  <si>
    <t>KMB Lenhossék telefon (Magyar Telekom NYrt)</t>
  </si>
  <si>
    <t>Ráday utca 52. telefon és internet (Magyar Telekom NYrt)</t>
  </si>
  <si>
    <t>Közterület iroda mobilinternet (Magyar Telekom Nyrt)</t>
  </si>
  <si>
    <t>Balatonszéplak telefon (Magyar Telekom NYrt)</t>
  </si>
  <si>
    <t>Mobil telefon (Magyar Telekom)</t>
  </si>
  <si>
    <t>Bérelt vonali Internet és bérelt vonali szolgáltatás  (One Magyarország)</t>
  </si>
  <si>
    <t>IP-VPN Bakáts tér (One Magyarország)</t>
  </si>
  <si>
    <t>IP-VPN szolgáltatás FIÜK (One Magyarország)</t>
  </si>
  <si>
    <t>Ecseri út Rönk (One Magyarország)</t>
  </si>
  <si>
    <t>Mester utca 70 (One Magyarország)</t>
  </si>
  <si>
    <t>Integrált Önkormányzati Szociálpolitikai rendszer</t>
  </si>
  <si>
    <t>Multifunkciós nyomtatók bérleti díja, nyomatdíja, karbantartása, kellékanyagok biztosítása</t>
  </si>
  <si>
    <t>Vagyonkezelési Rendszerhez fejlesztett RFM üzemeltetése</t>
  </si>
  <si>
    <t>VKR üzemeltetése és karbantartása</t>
  </si>
  <si>
    <t>Földkönyv szoftver</t>
  </si>
  <si>
    <t>Ingatlanvagyon kataszter</t>
  </si>
  <si>
    <t>Jogtár szoftverhasználat</t>
  </si>
  <si>
    <t xml:space="preserve">IJR-Loclex </t>
  </si>
  <si>
    <t>Takarnet földhivatali lekérdező rendszer</t>
  </si>
  <si>
    <t>Mikrovoks testületi-bizottsági rendszer átalánydíjas karbantartás</t>
  </si>
  <si>
    <t>Mikro Text</t>
  </si>
  <si>
    <t>Nyilvántartó program</t>
  </si>
  <si>
    <t>Opten automatikus partnerfigyelő</t>
  </si>
  <si>
    <t>Közterület-felügyeleti Iroda munkafolyamatot támogató keretszoftver és dokumentumtár üzemeltetése</t>
  </si>
  <si>
    <t>Közterület-felügyeleti Iroda honlapjának üzemeltetése</t>
  </si>
  <si>
    <t>Tisztítószer beszerzés</t>
  </si>
  <si>
    <t>Hivatali szállítás (taxi)</t>
  </si>
  <si>
    <t>Üzemanyagkártya szerződés</t>
  </si>
  <si>
    <t>Villamos energia</t>
  </si>
  <si>
    <t>Gázdíj</t>
  </si>
  <si>
    <t>Praktiker</t>
  </si>
  <si>
    <t>Hivatali parkolás bérlés</t>
  </si>
  <si>
    <t>Épület és vagyon biztosítás</t>
  </si>
  <si>
    <t>Könyvvizsgálati díj</t>
  </si>
  <si>
    <t>Semmelweis Egyetem bérl.díj Közter-f.</t>
  </si>
  <si>
    <t>AviBike Kft Üllői út 169-179sz. Alatti kerékpártárolók üzemeltetése karbantartása</t>
  </si>
  <si>
    <t>Hivatal őrzés</t>
  </si>
  <si>
    <t>Mobil toalett bérleti díja</t>
  </si>
  <si>
    <t>Önkormányzat és intézményeinek belső ellenőrzése</t>
  </si>
  <si>
    <t>Településrendezési eszközök </t>
  </si>
  <si>
    <t xml:space="preserve">Játszóeszközök rendszeres ellenőrzése, karbantartása, </t>
  </si>
  <si>
    <t>Fitnesz eszközök, sporteszközök és napvitorlák rendszeres karbantartása,</t>
  </si>
  <si>
    <t>Pályázatok előkészítése</t>
  </si>
  <si>
    <t>Pénzügyi tanácsadó (ÁFA)</t>
  </si>
  <si>
    <t>7. melléklet</t>
  </si>
  <si>
    <t>6.melléklet</t>
  </si>
  <si>
    <t>5. melléklet</t>
  </si>
  <si>
    <t>4. melléklet</t>
  </si>
  <si>
    <t>8. melléklet</t>
  </si>
  <si>
    <t>9. melléklet</t>
  </si>
  <si>
    <t>10. melléklet</t>
  </si>
  <si>
    <t>11. melléklet</t>
  </si>
  <si>
    <t>12. melléklet</t>
  </si>
  <si>
    <t>13. melléklet</t>
  </si>
  <si>
    <t>14. melléklet</t>
  </si>
  <si>
    <t>15. melléklet</t>
  </si>
  <si>
    <t>16. melléklet</t>
  </si>
  <si>
    <t>17. melléklet</t>
  </si>
  <si>
    <t>2026. évi előirányzat        .../2026.</t>
  </si>
  <si>
    <t>2. melléklet</t>
  </si>
  <si>
    <t>1. melléklet 1. pont</t>
  </si>
  <si>
    <t>1. melléklet 2. pont</t>
  </si>
  <si>
    <t>1. melléklet 3. pont</t>
  </si>
  <si>
    <t>3. melléklet 1. pont</t>
  </si>
  <si>
    <t>3. melléklet 2. pont</t>
  </si>
  <si>
    <t>3. melléklet 3. pont</t>
  </si>
  <si>
    <t>Fogyatékos személyek nappali ellátása Gond-Viselés Kht.</t>
  </si>
  <si>
    <t>Szoftveres minősített bronz bélyegző csomag éves díja</t>
  </si>
  <si>
    <t>Térfelügyeleti kamararendszer kameráinak karbantartása (156 db +7 db)</t>
  </si>
  <si>
    <t>30.</t>
  </si>
  <si>
    <t>2026. évi előirányzat 2/2026.</t>
  </si>
  <si>
    <t>2026. évi előirányzat
2/2026.</t>
  </si>
  <si>
    <t>Ferencvárosi Médiaszolgáltató</t>
  </si>
  <si>
    <t>2026. évi előirányzat       2/2026.</t>
  </si>
  <si>
    <t>Felhalmozási költségvetési bevételek mindösszesen+B397</t>
  </si>
  <si>
    <t>Létesítményüzemeltetés</t>
  </si>
  <si>
    <t>2026. évi előirányzat 5/2026.</t>
  </si>
  <si>
    <t>Index    5./4.</t>
  </si>
  <si>
    <t>DPT 2025-6 Drogos pályázat</t>
  </si>
  <si>
    <t>Testvértelepülési programok támogatása</t>
  </si>
  <si>
    <t>Index     5./4.</t>
  </si>
  <si>
    <t>Index   5./4.</t>
  </si>
  <si>
    <t>Index          5./4.</t>
  </si>
  <si>
    <t>2026. évi előirányzat
5/2026.</t>
  </si>
  <si>
    <t>Választás (központi támogatás terhére)</t>
  </si>
  <si>
    <t>Választás (saját forrás terhére)</t>
  </si>
  <si>
    <t>ebből  Egyéb működési célú kiadások</t>
  </si>
  <si>
    <t>Varázskert Bölcsőde edénybeszerzéés</t>
  </si>
  <si>
    <t>Csudafa Óvoda villamoshálózat teljesítménybővítése</t>
  </si>
  <si>
    <t>Balatonlele Ifjúsági tábor sportpálya felújítása</t>
  </si>
  <si>
    <t>Méhecske Óvoda udvar felújítása</t>
  </si>
  <si>
    <t>Gyermekek Átmeneti Otthona  tetőfelújítás</t>
  </si>
  <si>
    <t>FIÜK új telephely Tűzoltó u. 32.</t>
  </si>
  <si>
    <t>ebből Konnektor pince hangstúdió szellőztetés kialakítása</t>
  </si>
  <si>
    <t>Aprók háza bölcsöde kazáncsere</t>
  </si>
  <si>
    <t>Kicsi Bocs játszóeszközök beszerzése</t>
  </si>
  <si>
    <t>ebből Kincsesbánya tető felújítás,  épület előtti közlekedő felújítás</t>
  </si>
  <si>
    <t>Területfejlesztési Alap befizetések (IPA adóbevétei többlet miatt)</t>
  </si>
  <si>
    <t xml:space="preserve">     - Egyéb működési célú kiadások</t>
  </si>
  <si>
    <t>2026. évi előirányzat    …./2026.</t>
  </si>
  <si>
    <t>3023 Választás (központi forrás)</t>
  </si>
  <si>
    <t>3024 Választás (saját forrás)</t>
  </si>
  <si>
    <t>1810 Területfejlesztési Alap befizetések (IPA adóbevétei többlet miatt)</t>
  </si>
  <si>
    <t>Tetőfelújítás</t>
  </si>
  <si>
    <t>Utak, járdák karbantartása</t>
  </si>
  <si>
    <t>Márton u. 8/a felújítás</t>
  </si>
  <si>
    <t>Gát u. 23-25. építés</t>
  </si>
  <si>
    <t>Előző év működési költségvetési maradványának igénybevétele (Hivatal)</t>
  </si>
  <si>
    <t>Előző év felhalmozási költségvetési maradványának igénybevétele (Hivatal)</t>
  </si>
  <si>
    <t>Előző év működési költségvetési maradványának igénybevétele (önkormányzat)</t>
  </si>
  <si>
    <t>Előző év felhalmozási költségvetési maradványának igénybevétele (önkormányzat)</t>
  </si>
  <si>
    <t>Előző év működési költségvetési maradványának igénybevétele (15 db intézmény összesen)</t>
  </si>
  <si>
    <t>Előző év felhalmozási költségvetési maradványának igénybevétele (15 db intézmény összesen)</t>
  </si>
  <si>
    <t>Előző év működési vállalkozási maradványának igénybevétele (FEBI)</t>
  </si>
  <si>
    <t xml:space="preserve">             Működési céltartalék 6. sz. melléklet szerint</t>
  </si>
  <si>
    <t>Felhalmozási célú céltartalék</t>
  </si>
  <si>
    <t xml:space="preserve">     Felhalmozási célú céltartalék</t>
  </si>
  <si>
    <t xml:space="preserve">    Egyéb működési célú kiadások (fejlesztési céltartalék nélkül)</t>
  </si>
  <si>
    <t>Felhalmozási célú céltartalék 6. sz. melléklet szerint</t>
  </si>
  <si>
    <t>Okososzlop telepítése</t>
  </si>
  <si>
    <t>Orvosi rendelők felújítása</t>
  </si>
  <si>
    <t xml:space="preserve">      4329 Orvosi rendelők felújítása</t>
  </si>
  <si>
    <t xml:space="preserve">             5034 Okososzlop telepítése</t>
  </si>
  <si>
    <t>Egynyári virágzó növények beszerzése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</si>
</sst>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_-* #,##0.00_-;\-* #,##0.00_-;_-* &quot;-&quot;??_-;_-@_-"/>
    <numFmt numFmtId="165" formatCode="0.0%"/>
    <numFmt numFmtId="166" formatCode="#,##0.0"/>
  </numFmts>
  <fonts count="1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i/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sz val="10"/>
      <color rgb="FF000000"/>
      <name val="Arial CE"/>
    </font>
    <font>
      <sz val="9"/>
      <color rgb="FFFF0000"/>
      <name val="Arial CE"/>
      <family val="2"/>
      <charset val="238"/>
    </font>
    <font>
      <sz val="10"/>
      <name val="Arial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9"/>
      <color rgb="FF00B050"/>
      <name val="Arial"/>
      <family val="2"/>
      <charset val="238"/>
    </font>
    <font>
      <b/>
      <sz val="9"/>
      <color rgb="FF00B050"/>
      <name val="Arial CE"/>
      <charset val="238"/>
    </font>
    <font>
      <b/>
      <sz val="9"/>
      <color rgb="FFFF0000"/>
      <name val="Arial CE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 CE"/>
      <charset val="238"/>
    </font>
    <font>
      <b/>
      <sz val="9"/>
      <color rgb="FFFF0000"/>
      <name val="Arial CE"/>
      <charset val="238"/>
    </font>
    <font>
      <b/>
      <sz val="9"/>
      <color theme="1"/>
      <name val="Arial CE"/>
      <charset val="238"/>
    </font>
    <font>
      <b/>
      <sz val="11"/>
      <color theme="1"/>
      <name val="Arial CE"/>
      <family val="2"/>
      <charset val="238"/>
    </font>
    <font>
      <sz val="9"/>
      <color theme="1"/>
      <name val="Arial CE"/>
      <family val="2"/>
      <charset val="238"/>
    </font>
    <font>
      <sz val="9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9"/>
      <color theme="1"/>
      <name val="Arial CE"/>
      <family val="2"/>
      <charset val="238"/>
    </font>
    <font>
      <b/>
      <sz val="10"/>
      <color theme="1"/>
      <name val="Arial CE"/>
      <family val="2"/>
      <charset val="238"/>
    </font>
    <font>
      <i/>
      <sz val="9"/>
      <color theme="1"/>
      <name val="Arial CE"/>
      <charset val="238"/>
    </font>
    <font>
      <b/>
      <sz val="11"/>
      <name val="Arial CE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 CE"/>
      <charset val="238"/>
    </font>
    <font>
      <b/>
      <i/>
      <sz val="11"/>
      <name val="Arial CE"/>
      <family val="2"/>
      <charset val="238"/>
    </font>
    <font>
      <b/>
      <sz val="11"/>
      <name val="Times New Roman"/>
      <family val="1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9"/>
      <color rgb="FF00B0F0"/>
      <name val="Arial CE"/>
      <family val="2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0"/>
      <name val="MS Sans Serif"/>
      <family val="2"/>
      <charset val="238"/>
    </font>
    <font>
      <sz val="10"/>
      <name val="MS Sans Serif"/>
      <family val="2"/>
      <charset val="238"/>
    </font>
    <font>
      <sz val="10"/>
      <color theme="1"/>
      <name val="Arial CE"/>
      <family val="2"/>
      <charset val="238"/>
    </font>
    <font>
      <b/>
      <i/>
      <sz val="10"/>
      <color theme="1"/>
      <name val="Arial CE"/>
      <family val="2"/>
      <charset val="238"/>
    </font>
    <font>
      <i/>
      <sz val="8"/>
      <name val="Arial CE"/>
      <charset val="238"/>
    </font>
    <font>
      <sz val="8"/>
      <name val="Arial CE"/>
      <charset val="238"/>
    </font>
    <font>
      <b/>
      <i/>
      <sz val="12"/>
      <name val="Times New Roman"/>
      <family val="1"/>
      <charset val="238"/>
    </font>
    <font>
      <sz val="16"/>
      <name val="Calibri"/>
      <family val="2"/>
      <charset val="238"/>
    </font>
    <font>
      <sz val="10"/>
      <color theme="1"/>
      <name val="Times New Roman"/>
      <family val="1"/>
      <charset val="238"/>
    </font>
    <font>
      <sz val="8"/>
      <name val="Arial CE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3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theme="9" tint="0.79998168889431442"/>
        <bgColor indexed="64"/>
      </patternFill>
    </fill>
  </fills>
  <borders count="10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5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2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6" borderId="0" applyNumberFormat="0" applyBorder="0" applyAlignment="0" applyProtection="0"/>
    <xf numFmtId="0" fontId="19" fillId="3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20" fillId="9" borderId="0" applyNumberFormat="0" applyBorder="0" applyAlignment="0" applyProtection="0"/>
    <xf numFmtId="0" fontId="20" fillId="3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3" borderId="0" applyNumberFormat="0" applyBorder="0" applyAlignment="0" applyProtection="0"/>
    <xf numFmtId="0" fontId="21" fillId="7" borderId="1" applyNumberFormat="0" applyAlignment="0" applyProtection="0"/>
    <xf numFmtId="0" fontId="22" fillId="0" borderId="0" applyNumberFormat="0" applyFill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0" fontId="26" fillId="10" borderId="5" applyNumberFormat="0" applyAlignment="0" applyProtection="0"/>
    <xf numFmtId="43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6" applyNumberFormat="0" applyFill="0" applyAlignment="0" applyProtection="0"/>
    <xf numFmtId="0" fontId="4" fillId="4" borderId="7" applyNumberFormat="0" applyFont="0" applyAlignment="0" applyProtection="0"/>
    <xf numFmtId="0" fontId="29" fillId="11" borderId="0" applyNumberFormat="0" applyBorder="0" applyAlignment="0" applyProtection="0"/>
    <xf numFmtId="0" fontId="30" fillId="12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33" fillId="0" borderId="9" applyNumberFormat="0" applyFill="0" applyAlignment="0" applyProtection="0"/>
    <xf numFmtId="0" fontId="34" fillId="13" borderId="0" applyNumberFormat="0" applyBorder="0" applyAlignment="0" applyProtection="0"/>
    <xf numFmtId="0" fontId="35" fillId="7" borderId="0" applyNumberFormat="0" applyBorder="0" applyAlignment="0" applyProtection="0"/>
    <xf numFmtId="0" fontId="36" fillId="12" borderId="1" applyNumberFormat="0" applyAlignment="0" applyProtection="0"/>
    <xf numFmtId="9" fontId="4" fillId="0" borderId="0" applyFont="0" applyFill="0" applyBorder="0" applyAlignment="0" applyProtection="0"/>
    <xf numFmtId="0" fontId="4" fillId="0" borderId="0"/>
    <xf numFmtId="0" fontId="46" fillId="0" borderId="0"/>
    <xf numFmtId="0" fontId="19" fillId="15" borderId="0" applyNumberFormat="0" applyBorder="0" applyAlignment="0" applyProtection="0"/>
    <xf numFmtId="0" fontId="19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" borderId="0" applyNumberFormat="0" applyBorder="0" applyAlignment="0" applyProtection="0"/>
    <xf numFmtId="0" fontId="19" fillId="8" borderId="0" applyNumberFormat="0" applyBorder="0" applyAlignment="0" applyProtection="0"/>
    <xf numFmtId="0" fontId="19" fillId="18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8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1" fillId="2" borderId="1" applyNumberFormat="0" applyAlignment="0" applyProtection="0"/>
    <xf numFmtId="0" fontId="47" fillId="0" borderId="0" applyNumberFormat="0" applyFill="0" applyBorder="0" applyAlignment="0" applyProtection="0"/>
    <xf numFmtId="0" fontId="48" fillId="0" borderId="38" applyNumberFormat="0" applyFill="0" applyAlignment="0" applyProtection="0"/>
    <xf numFmtId="0" fontId="49" fillId="0" borderId="3" applyNumberFormat="0" applyFill="0" applyAlignment="0" applyProtection="0"/>
    <xf numFmtId="0" fontId="50" fillId="0" borderId="39" applyNumberFormat="0" applyFill="0" applyAlignment="0" applyProtection="0"/>
    <xf numFmtId="0" fontId="50" fillId="0" borderId="0" applyNumberFormat="0" applyFill="0" applyBorder="0" applyAlignment="0" applyProtection="0"/>
    <xf numFmtId="0" fontId="46" fillId="4" borderId="7" applyNumberFormat="0" applyFont="0" applyAlignment="0" applyProtection="0"/>
    <xf numFmtId="0" fontId="30" fillId="6" borderId="8" applyNumberFormat="0" applyAlignment="0" applyProtection="0"/>
    <xf numFmtId="0" fontId="17" fillId="0" borderId="0"/>
    <xf numFmtId="0" fontId="33" fillId="0" borderId="40" applyNumberFormat="0" applyFill="0" applyAlignment="0" applyProtection="0"/>
    <xf numFmtId="0" fontId="36" fillId="6" borderId="1" applyNumberFormat="0" applyAlignment="0" applyProtection="0"/>
    <xf numFmtId="0" fontId="17" fillId="0" borderId="0"/>
    <xf numFmtId="0" fontId="17" fillId="0" borderId="0"/>
    <xf numFmtId="0" fontId="4" fillId="0" borderId="0"/>
    <xf numFmtId="0" fontId="17" fillId="0" borderId="0"/>
    <xf numFmtId="0" fontId="3" fillId="0" borderId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17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</cellStyleXfs>
  <cellXfs count="1785">
    <xf numFmtId="0" fontId="0" fillId="0" borderId="0" xfId="0"/>
    <xf numFmtId="3" fontId="5" fillId="0" borderId="11" xfId="0" applyNumberFormat="1" applyFont="1" applyBorder="1" applyAlignment="1">
      <alignment horizontal="center"/>
    </xf>
    <xf numFmtId="3" fontId="5" fillId="0" borderId="12" xfId="0" applyNumberFormat="1" applyFont="1" applyBorder="1"/>
    <xf numFmtId="3" fontId="6" fillId="0" borderId="12" xfId="0" applyNumberFormat="1" applyFont="1" applyBorder="1"/>
    <xf numFmtId="3" fontId="6" fillId="0" borderId="11" xfId="0" applyNumberFormat="1" applyFont="1" applyBorder="1"/>
    <xf numFmtId="3" fontId="5" fillId="0" borderId="11" xfId="0" applyNumberFormat="1" applyFont="1" applyBorder="1"/>
    <xf numFmtId="0" fontId="8" fillId="0" borderId="0" xfId="0" applyFont="1"/>
    <xf numFmtId="3" fontId="8" fillId="0" borderId="0" xfId="0" applyNumberFormat="1" applyFont="1"/>
    <xf numFmtId="3" fontId="7" fillId="0" borderId="12" xfId="0" applyNumberFormat="1" applyFont="1" applyBorder="1" applyAlignment="1">
      <alignment horizontal="center"/>
    </xf>
    <xf numFmtId="0" fontId="7" fillId="0" borderId="0" xfId="0" applyFont="1"/>
    <xf numFmtId="3" fontId="7" fillId="0" borderId="12" xfId="0" applyNumberFormat="1" applyFont="1" applyBorder="1"/>
    <xf numFmtId="0" fontId="5" fillId="0" borderId="0" xfId="0" applyFont="1"/>
    <xf numFmtId="3" fontId="6" fillId="0" borderId="0" xfId="0" applyNumberFormat="1" applyFont="1"/>
    <xf numFmtId="3" fontId="5" fillId="0" borderId="14" xfId="0" applyNumberFormat="1" applyFont="1" applyBorder="1" applyAlignment="1">
      <alignment horizontal="center"/>
    </xf>
    <xf numFmtId="3" fontId="6" fillId="0" borderId="10" xfId="0" applyNumberFormat="1" applyFont="1" applyBorder="1"/>
    <xf numFmtId="3" fontId="7" fillId="0" borderId="0" xfId="0" applyNumberFormat="1" applyFont="1"/>
    <xf numFmtId="0" fontId="6" fillId="0" borderId="0" xfId="0" applyFont="1"/>
    <xf numFmtId="0" fontId="6" fillId="0" borderId="10" xfId="0" applyFont="1" applyBorder="1"/>
    <xf numFmtId="0" fontId="5" fillId="0" borderId="15" xfId="0" applyFont="1" applyBorder="1"/>
    <xf numFmtId="0" fontId="5" fillId="0" borderId="10" xfId="0" applyFont="1" applyBorder="1"/>
    <xf numFmtId="0" fontId="6" fillId="0" borderId="0" xfId="0" applyFont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5" fillId="0" borderId="16" xfId="0" applyFont="1" applyBorder="1" applyAlignment="1">
      <alignment horizontal="center"/>
    </xf>
    <xf numFmtId="0" fontId="7" fillId="0" borderId="14" xfId="0" applyFont="1" applyBorder="1" applyAlignment="1">
      <alignment horizontal="centerContinuous" vertical="top"/>
    </xf>
    <xf numFmtId="0" fontId="8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0" fillId="0" borderId="0" xfId="0" applyNumberFormat="1"/>
    <xf numFmtId="0" fontId="5" fillId="0" borderId="1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5" fillId="0" borderId="0" xfId="0" applyFont="1"/>
    <xf numFmtId="3" fontId="7" fillId="0" borderId="11" xfId="0" applyNumberFormat="1" applyFont="1" applyBorder="1" applyAlignment="1">
      <alignment horizontal="center"/>
    </xf>
    <xf numFmtId="3" fontId="15" fillId="0" borderId="12" xfId="0" applyNumberFormat="1" applyFont="1" applyBorder="1"/>
    <xf numFmtId="3" fontId="15" fillId="0" borderId="11" xfId="0" applyNumberFormat="1" applyFont="1" applyBorder="1"/>
    <xf numFmtId="0" fontId="11" fillId="0" borderId="0" xfId="0" applyFont="1" applyAlignment="1">
      <alignment horizontal="right"/>
    </xf>
    <xf numFmtId="0" fontId="15" fillId="0" borderId="19" xfId="0" applyFont="1" applyBorder="1" applyAlignment="1">
      <alignment horizontal="right"/>
    </xf>
    <xf numFmtId="3" fontId="10" fillId="0" borderId="11" xfId="0" applyNumberFormat="1" applyFont="1" applyBorder="1"/>
    <xf numFmtId="0" fontId="14" fillId="0" borderId="10" xfId="0" applyFont="1" applyBorder="1"/>
    <xf numFmtId="0" fontId="12" fillId="0" borderId="10" xfId="0" applyFont="1" applyBorder="1"/>
    <xf numFmtId="0" fontId="7" fillId="0" borderId="16" xfId="0" applyFont="1" applyBorder="1" applyAlignment="1">
      <alignment horizontal="centerContinuous" vertical="top"/>
    </xf>
    <xf numFmtId="3" fontId="14" fillId="0" borderId="10" xfId="0" applyNumberFormat="1" applyFont="1" applyBorder="1"/>
    <xf numFmtId="3" fontId="10" fillId="0" borderId="10" xfId="0" applyNumberFormat="1" applyFont="1" applyBorder="1"/>
    <xf numFmtId="3" fontId="18" fillId="0" borderId="11" xfId="0" applyNumberFormat="1" applyFont="1" applyBorder="1"/>
    <xf numFmtId="3" fontId="6" fillId="0" borderId="21" xfId="0" applyNumberFormat="1" applyFont="1" applyBorder="1"/>
    <xf numFmtId="3" fontId="18" fillId="0" borderId="12" xfId="0" applyNumberFormat="1" applyFont="1" applyBorder="1"/>
    <xf numFmtId="0" fontId="4" fillId="0" borderId="0" xfId="34"/>
    <xf numFmtId="0" fontId="13" fillId="0" borderId="10" xfId="0" applyFont="1" applyBorder="1"/>
    <xf numFmtId="0" fontId="16" fillId="0" borderId="15" xfId="0" applyFont="1" applyBorder="1"/>
    <xf numFmtId="0" fontId="5" fillId="0" borderId="27" xfId="0" applyFont="1" applyBorder="1" applyAlignment="1">
      <alignment horizontal="left" vertical="top"/>
    </xf>
    <xf numFmtId="3" fontId="12" fillId="0" borderId="10" xfId="0" applyNumberFormat="1" applyFont="1" applyBorder="1"/>
    <xf numFmtId="9" fontId="12" fillId="0" borderId="10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3" fontId="5" fillId="0" borderId="11" xfId="0" applyNumberFormat="1" applyFont="1" applyBorder="1" applyAlignment="1">
      <alignment horizontal="right"/>
    </xf>
    <xf numFmtId="0" fontId="5" fillId="0" borderId="11" xfId="0" applyFont="1" applyBorder="1"/>
    <xf numFmtId="0" fontId="6" fillId="0" borderId="24" xfId="0" applyFont="1" applyBorder="1"/>
    <xf numFmtId="0" fontId="5" fillId="0" borderId="30" xfId="0" applyFont="1" applyBorder="1"/>
    <xf numFmtId="0" fontId="5" fillId="0" borderId="24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27" xfId="0" applyFont="1" applyBorder="1"/>
    <xf numFmtId="0" fontId="5" fillId="0" borderId="24" xfId="0" applyFont="1" applyBorder="1"/>
    <xf numFmtId="0" fontId="15" fillId="0" borderId="15" xfId="0" applyFont="1" applyBorder="1"/>
    <xf numFmtId="0" fontId="5" fillId="0" borderId="12" xfId="0" applyFont="1" applyBorder="1"/>
    <xf numFmtId="3" fontId="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5" fillId="0" borderId="13" xfId="0" applyFont="1" applyBorder="1"/>
    <xf numFmtId="0" fontId="5" fillId="0" borderId="10" xfId="0" applyFont="1" applyBorder="1" applyAlignment="1">
      <alignment horizontal="centerContinuous" vertical="top"/>
    </xf>
    <xf numFmtId="0" fontId="11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/>
    </xf>
    <xf numFmtId="3" fontId="5" fillId="0" borderId="10" xfId="0" applyNumberFormat="1" applyFont="1" applyBorder="1" applyAlignment="1">
      <alignment horizontal="right"/>
    </xf>
    <xf numFmtId="0" fontId="15" fillId="0" borderId="12" xfId="0" applyFont="1" applyBorder="1"/>
    <xf numFmtId="0" fontId="5" fillId="0" borderId="20" xfId="0" applyFont="1" applyBorder="1"/>
    <xf numFmtId="0" fontId="12" fillId="0" borderId="20" xfId="0" applyFont="1" applyBorder="1"/>
    <xf numFmtId="0" fontId="12" fillId="0" borderId="16" xfId="0" applyFont="1" applyBorder="1" applyAlignment="1">
      <alignment horizontal="center"/>
    </xf>
    <xf numFmtId="3" fontId="15" fillId="0" borderId="10" xfId="0" applyNumberFormat="1" applyFont="1" applyBorder="1"/>
    <xf numFmtId="3" fontId="18" fillId="0" borderId="10" xfId="0" applyNumberFormat="1" applyFont="1" applyBorder="1"/>
    <xf numFmtId="3" fontId="5" fillId="0" borderId="0" xfId="0" applyNumberFormat="1" applyFont="1" applyAlignment="1">
      <alignment horizontal="centerContinuous"/>
    </xf>
    <xf numFmtId="3" fontId="16" fillId="0" borderId="0" xfId="0" applyNumberFormat="1" applyFont="1" applyAlignment="1">
      <alignment horizontal="centerContinuous"/>
    </xf>
    <xf numFmtId="9" fontId="14" fillId="0" borderId="10" xfId="0" applyNumberFormat="1" applyFont="1" applyBorder="1"/>
    <xf numFmtId="0" fontId="14" fillId="0" borderId="1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3" fontId="11" fillId="0" borderId="0" xfId="0" applyNumberFormat="1" applyFont="1"/>
    <xf numFmtId="0" fontId="5" fillId="0" borderId="13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2" fillId="0" borderId="10" xfId="0" applyFont="1" applyBorder="1" applyAlignment="1">
      <alignment horizontal="left" vertical="top"/>
    </xf>
    <xf numFmtId="0" fontId="14" fillId="0" borderId="20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3" fontId="7" fillId="0" borderId="10" xfId="0" applyNumberFormat="1" applyFont="1" applyBorder="1" applyAlignment="1">
      <alignment horizontal="center"/>
    </xf>
    <xf numFmtId="3" fontId="6" fillId="14" borderId="10" xfId="0" applyNumberFormat="1" applyFont="1" applyFill="1" applyBorder="1" applyAlignment="1">
      <alignment horizontal="right"/>
    </xf>
    <xf numFmtId="3" fontId="12" fillId="14" borderId="10" xfId="0" applyNumberFormat="1" applyFont="1" applyFill="1" applyBorder="1"/>
    <xf numFmtId="3" fontId="5" fillId="14" borderId="15" xfId="0" applyNumberFormat="1" applyFont="1" applyFill="1" applyBorder="1" applyAlignment="1">
      <alignment horizontal="right"/>
    </xf>
    <xf numFmtId="3" fontId="5" fillId="14" borderId="11" xfId="0" applyNumberFormat="1" applyFont="1" applyFill="1" applyBorder="1" applyAlignment="1">
      <alignment horizontal="right"/>
    </xf>
    <xf numFmtId="3" fontId="6" fillId="14" borderId="11" xfId="0" applyNumberFormat="1" applyFont="1" applyFill="1" applyBorder="1" applyAlignment="1">
      <alignment horizontal="right"/>
    </xf>
    <xf numFmtId="3" fontId="6" fillId="14" borderId="12" xfId="0" applyNumberFormat="1" applyFont="1" applyFill="1" applyBorder="1" applyAlignment="1">
      <alignment horizontal="right"/>
    </xf>
    <xf numFmtId="3" fontId="12" fillId="14" borderId="12" xfId="0" applyNumberFormat="1" applyFont="1" applyFill="1" applyBorder="1" applyAlignment="1">
      <alignment horizontal="right"/>
    </xf>
    <xf numFmtId="3" fontId="15" fillId="14" borderId="11" xfId="0" applyNumberFormat="1" applyFont="1" applyFill="1" applyBorder="1" applyAlignment="1">
      <alignment horizontal="right"/>
    </xf>
    <xf numFmtId="3" fontId="5" fillId="14" borderId="12" xfId="0" applyNumberFormat="1" applyFont="1" applyFill="1" applyBorder="1" applyAlignment="1">
      <alignment horizontal="right"/>
    </xf>
    <xf numFmtId="3" fontId="12" fillId="14" borderId="21" xfId="0" applyNumberFormat="1" applyFont="1" applyFill="1" applyBorder="1" applyAlignment="1">
      <alignment horizontal="right"/>
    </xf>
    <xf numFmtId="3" fontId="15" fillId="14" borderId="15" xfId="0" applyNumberFormat="1" applyFont="1" applyFill="1" applyBorder="1"/>
    <xf numFmtId="3" fontId="15" fillId="14" borderId="10" xfId="0" applyNumberFormat="1" applyFont="1" applyFill="1" applyBorder="1" applyAlignment="1">
      <alignment horizontal="right"/>
    </xf>
    <xf numFmtId="3" fontId="13" fillId="0" borderId="10" xfId="0" applyNumberFormat="1" applyFont="1" applyBorder="1"/>
    <xf numFmtId="3" fontId="0" fillId="0" borderId="12" xfId="0" applyNumberFormat="1" applyBorder="1"/>
    <xf numFmtId="0" fontId="5" fillId="0" borderId="0" xfId="0" applyFont="1" applyAlignment="1">
      <alignment horizontal="centerContinuous"/>
    </xf>
    <xf numFmtId="3" fontId="14" fillId="0" borderId="10" xfId="41" applyNumberFormat="1" applyFont="1" applyFill="1" applyBorder="1" applyAlignment="1">
      <alignment horizontal="right"/>
    </xf>
    <xf numFmtId="3" fontId="6" fillId="0" borderId="10" xfId="41" applyNumberFormat="1" applyFont="1" applyFill="1" applyBorder="1" applyAlignment="1">
      <alignment horizontal="right"/>
    </xf>
    <xf numFmtId="3" fontId="5" fillId="0" borderId="10" xfId="0" applyNumberFormat="1" applyFont="1" applyBorder="1"/>
    <xf numFmtId="3" fontId="6" fillId="0" borderId="10" xfId="0" applyNumberFormat="1" applyFont="1" applyBorder="1" applyAlignment="1">
      <alignment horizontal="right"/>
    </xf>
    <xf numFmtId="3" fontId="15" fillId="0" borderId="10" xfId="0" applyNumberFormat="1" applyFont="1" applyBorder="1" applyAlignment="1">
      <alignment horizontal="right"/>
    </xf>
    <xf numFmtId="3" fontId="14" fillId="0" borderId="0" xfId="0" applyNumberFormat="1" applyFont="1"/>
    <xf numFmtId="3" fontId="12" fillId="0" borderId="10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0" fillId="0" borderId="10" xfId="0" applyNumberFormat="1" applyBorder="1"/>
    <xf numFmtId="3" fontId="1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0" fillId="0" borderId="16" xfId="0" applyBorder="1"/>
    <xf numFmtId="0" fontId="45" fillId="0" borderId="0" xfId="0" applyFont="1"/>
    <xf numFmtId="3" fontId="43" fillId="0" borderId="12" xfId="0" applyNumberFormat="1" applyFont="1" applyBorder="1"/>
    <xf numFmtId="3" fontId="4" fillId="0" borderId="12" xfId="0" applyNumberFormat="1" applyFont="1" applyBorder="1"/>
    <xf numFmtId="3" fontId="11" fillId="0" borderId="0" xfId="42" applyNumberFormat="1" applyFont="1"/>
    <xf numFmtId="3" fontId="4" fillId="0" borderId="0" xfId="42" applyNumberFormat="1"/>
    <xf numFmtId="3" fontId="12" fillId="0" borderId="16" xfId="0" applyNumberFormat="1" applyFont="1" applyBorder="1" applyAlignment="1">
      <alignment horizontal="right"/>
    </xf>
    <xf numFmtId="3" fontId="0" fillId="14" borderId="12" xfId="0" applyNumberFormat="1" applyFill="1" applyBorder="1"/>
    <xf numFmtId="9" fontId="5" fillId="0" borderId="11" xfId="0" applyNumberFormat="1" applyFont="1" applyBorder="1" applyAlignment="1">
      <alignment horizontal="right"/>
    </xf>
    <xf numFmtId="3" fontId="15" fillId="0" borderId="15" xfId="0" applyNumberFormat="1" applyFont="1" applyBorder="1" applyAlignment="1">
      <alignment horizontal="right"/>
    </xf>
    <xf numFmtId="3" fontId="5" fillId="0" borderId="15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0" fontId="16" fillId="0" borderId="24" xfId="0" applyFont="1" applyBorder="1" applyAlignment="1">
      <alignment horizontal="left" vertical="center"/>
    </xf>
    <xf numFmtId="0" fontId="14" fillId="0" borderId="11" xfId="0" applyFont="1" applyBorder="1"/>
    <xf numFmtId="3" fontId="14" fillId="0" borderId="12" xfId="0" applyNumberFormat="1" applyFont="1" applyBorder="1"/>
    <xf numFmtId="0" fontId="14" fillId="0" borderId="24" xfId="0" applyFont="1" applyBorder="1"/>
    <xf numFmtId="3" fontId="14" fillId="0" borderId="11" xfId="0" applyNumberFormat="1" applyFont="1" applyBorder="1"/>
    <xf numFmtId="0" fontId="14" fillId="0" borderId="12" xfId="0" applyFont="1" applyBorder="1"/>
    <xf numFmtId="0" fontId="16" fillId="0" borderId="30" xfId="0" applyFont="1" applyBorder="1"/>
    <xf numFmtId="3" fontId="16" fillId="0" borderId="15" xfId="0" applyNumberFormat="1" applyFont="1" applyBorder="1" applyAlignment="1">
      <alignment horizontal="right"/>
    </xf>
    <xf numFmtId="3" fontId="16" fillId="0" borderId="11" xfId="0" applyNumberFormat="1" applyFont="1" applyBorder="1" applyAlignment="1">
      <alignment horizontal="right"/>
    </xf>
    <xf numFmtId="3" fontId="14" fillId="0" borderId="11" xfId="0" applyNumberFormat="1" applyFont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3" fontId="14" fillId="0" borderId="21" xfId="0" applyNumberFormat="1" applyFont="1" applyBorder="1" applyAlignment="1">
      <alignment horizontal="right"/>
    </xf>
    <xf numFmtId="0" fontId="16" fillId="0" borderId="24" xfId="0" applyFont="1" applyBorder="1" applyAlignment="1">
      <alignment horizontal="left" vertical="top"/>
    </xf>
    <xf numFmtId="3" fontId="14" fillId="0" borderId="14" xfId="0" applyNumberFormat="1" applyFont="1" applyBorder="1" applyAlignment="1">
      <alignment horizontal="right"/>
    </xf>
    <xf numFmtId="0" fontId="16" fillId="0" borderId="18" xfId="0" applyFont="1" applyBorder="1"/>
    <xf numFmtId="0" fontId="16" fillId="0" borderId="27" xfId="0" applyFont="1" applyBorder="1" applyAlignment="1">
      <alignment horizontal="left" vertical="top"/>
    </xf>
    <xf numFmtId="3" fontId="14" fillId="0" borderId="10" xfId="0" applyNumberFormat="1" applyFont="1" applyBorder="1" applyAlignment="1">
      <alignment horizontal="right"/>
    </xf>
    <xf numFmtId="0" fontId="5" fillId="0" borderId="24" xfId="0" applyFont="1" applyBorder="1" applyAlignment="1">
      <alignment horizontal="left" vertical="top"/>
    </xf>
    <xf numFmtId="9" fontId="12" fillId="0" borderId="11" xfId="0" applyNumberFormat="1" applyFont="1" applyBorder="1" applyAlignment="1">
      <alignment horizontal="right"/>
    </xf>
    <xf numFmtId="3" fontId="5" fillId="0" borderId="15" xfId="0" applyNumberFormat="1" applyFont="1" applyBorder="1" applyAlignment="1">
      <alignment horizontal="right"/>
    </xf>
    <xf numFmtId="0" fontId="15" fillId="0" borderId="18" xfId="0" applyFont="1" applyBorder="1"/>
    <xf numFmtId="3" fontId="12" fillId="0" borderId="11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0" fontId="5" fillId="0" borderId="37" xfId="0" applyFont="1" applyBorder="1" applyAlignment="1">
      <alignment horizontal="center"/>
    </xf>
    <xf numFmtId="0" fontId="5" fillId="0" borderId="18" xfId="0" applyFont="1" applyBorder="1"/>
    <xf numFmtId="3" fontId="12" fillId="0" borderId="14" xfId="0" applyNumberFormat="1" applyFont="1" applyBorder="1" applyAlignment="1">
      <alignment horizontal="right"/>
    </xf>
    <xf numFmtId="3" fontId="16" fillId="0" borderId="11" xfId="0" applyNumberFormat="1" applyFont="1" applyBorder="1" applyAlignment="1">
      <alignment horizontal="center"/>
    </xf>
    <xf numFmtId="0" fontId="14" fillId="0" borderId="13" xfId="0" applyFont="1" applyBorder="1"/>
    <xf numFmtId="3" fontId="16" fillId="0" borderId="15" xfId="0" applyNumberFormat="1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40" fillId="0" borderId="27" xfId="0" applyFont="1" applyBorder="1"/>
    <xf numFmtId="3" fontId="13" fillId="0" borderId="11" xfId="0" applyNumberFormat="1" applyFont="1" applyBorder="1" applyAlignment="1">
      <alignment horizontal="right"/>
    </xf>
    <xf numFmtId="0" fontId="40" fillId="0" borderId="22" xfId="0" applyFont="1" applyBorder="1"/>
    <xf numFmtId="0" fontId="40" fillId="0" borderId="17" xfId="0" applyFont="1" applyBorder="1"/>
    <xf numFmtId="3" fontId="13" fillId="0" borderId="21" xfId="0" applyNumberFormat="1" applyFont="1" applyBorder="1" applyAlignment="1">
      <alignment horizontal="right"/>
    </xf>
    <xf numFmtId="0" fontId="13" fillId="0" borderId="27" xfId="0" applyFont="1" applyBorder="1"/>
    <xf numFmtId="0" fontId="13" fillId="0" borderId="29" xfId="0" applyFont="1" applyBorder="1"/>
    <xf numFmtId="0" fontId="40" fillId="0" borderId="29" xfId="0" applyFont="1" applyBorder="1"/>
    <xf numFmtId="3" fontId="13" fillId="0" borderId="14" xfId="0" applyNumberFormat="1" applyFont="1" applyBorder="1" applyAlignment="1">
      <alignment horizontal="right"/>
    </xf>
    <xf numFmtId="3" fontId="16" fillId="0" borderId="14" xfId="0" applyNumberFormat="1" applyFont="1" applyBorder="1" applyAlignment="1">
      <alignment horizontal="right"/>
    </xf>
    <xf numFmtId="3" fontId="40" fillId="0" borderId="11" xfId="0" applyNumberFormat="1" applyFont="1" applyBorder="1" applyAlignment="1">
      <alignment horizontal="right"/>
    </xf>
    <xf numFmtId="3" fontId="40" fillId="0" borderId="21" xfId="0" applyNumberFormat="1" applyFont="1" applyBorder="1" applyAlignment="1">
      <alignment horizontal="right"/>
    </xf>
    <xf numFmtId="9" fontId="5" fillId="0" borderId="15" xfId="0" applyNumberFormat="1" applyFont="1" applyBorder="1" applyAlignment="1">
      <alignment horizontal="right"/>
    </xf>
    <xf numFmtId="0" fontId="5" fillId="0" borderId="18" xfId="0" applyFont="1" applyBorder="1" applyAlignment="1">
      <alignment horizontal="left" vertical="top"/>
    </xf>
    <xf numFmtId="3" fontId="5" fillId="0" borderId="18" xfId="0" applyNumberFormat="1" applyFont="1" applyBorder="1" applyAlignment="1">
      <alignment horizontal="right"/>
    </xf>
    <xf numFmtId="0" fontId="16" fillId="0" borderId="16" xfId="0" applyFont="1" applyBorder="1"/>
    <xf numFmtId="3" fontId="15" fillId="0" borderId="14" xfId="0" applyNumberFormat="1" applyFont="1" applyBorder="1"/>
    <xf numFmtId="3" fontId="16" fillId="0" borderId="15" xfId="0" applyNumberFormat="1" applyFont="1" applyBorder="1"/>
    <xf numFmtId="3" fontId="40" fillId="0" borderId="10" xfId="0" applyNumberFormat="1" applyFont="1" applyBorder="1"/>
    <xf numFmtId="3" fontId="40" fillId="0" borderId="10" xfId="41" applyNumberFormat="1" applyFont="1" applyFill="1" applyBorder="1" applyAlignment="1">
      <alignment horizontal="right"/>
    </xf>
    <xf numFmtId="0" fontId="40" fillId="0" borderId="10" xfId="0" applyFont="1" applyBorder="1" applyAlignment="1">
      <alignment horizontal="left"/>
    </xf>
    <xf numFmtId="9" fontId="16" fillId="0" borderId="12" xfId="0" applyNumberFormat="1" applyFont="1" applyBorder="1"/>
    <xf numFmtId="3" fontId="5" fillId="0" borderId="26" xfId="0" applyNumberFormat="1" applyFont="1" applyBorder="1" applyAlignment="1">
      <alignment horizontal="right"/>
    </xf>
    <xf numFmtId="9" fontId="5" fillId="0" borderId="10" xfId="0" applyNumberFormat="1" applyFont="1" applyBorder="1" applyAlignment="1">
      <alignment horizontal="right"/>
    </xf>
    <xf numFmtId="9" fontId="5" fillId="0" borderId="21" xfId="0" applyNumberFormat="1" applyFont="1" applyBorder="1" applyAlignment="1">
      <alignment horizontal="right"/>
    </xf>
    <xf numFmtId="9" fontId="5" fillId="0" borderId="14" xfId="0" applyNumberFormat="1" applyFont="1" applyBorder="1" applyAlignment="1">
      <alignment horizontal="right"/>
    </xf>
    <xf numFmtId="9" fontId="12" fillId="0" borderId="12" xfId="0" applyNumberFormat="1" applyFont="1" applyBorder="1" applyAlignment="1">
      <alignment horizontal="right"/>
    </xf>
    <xf numFmtId="9" fontId="12" fillId="0" borderId="14" xfId="0" applyNumberFormat="1" applyFont="1" applyBorder="1" applyAlignment="1">
      <alignment horizontal="right"/>
    </xf>
    <xf numFmtId="9" fontId="12" fillId="0" borderId="21" xfId="0" applyNumberFormat="1" applyFont="1" applyBorder="1" applyAlignment="1">
      <alignment horizontal="right"/>
    </xf>
    <xf numFmtId="9" fontId="5" fillId="0" borderId="12" xfId="0" applyNumberFormat="1" applyFont="1" applyBorder="1" applyAlignment="1">
      <alignment horizontal="right"/>
    </xf>
    <xf numFmtId="9" fontId="13" fillId="0" borderId="11" xfId="0" applyNumberFormat="1" applyFont="1" applyBorder="1" applyAlignment="1">
      <alignment horizontal="right"/>
    </xf>
    <xf numFmtId="9" fontId="13" fillId="0" borderId="21" xfId="0" applyNumberFormat="1" applyFont="1" applyBorder="1" applyAlignment="1">
      <alignment horizontal="right"/>
    </xf>
    <xf numFmtId="9" fontId="15" fillId="0" borderId="12" xfId="0" applyNumberFormat="1" applyFont="1" applyBorder="1" applyAlignment="1">
      <alignment horizontal="right"/>
    </xf>
    <xf numFmtId="9" fontId="15" fillId="0" borderId="10" xfId="0" applyNumberFormat="1" applyFont="1" applyBorder="1" applyAlignment="1">
      <alignment horizontal="right"/>
    </xf>
    <xf numFmtId="9" fontId="15" fillId="0" borderId="11" xfId="0" applyNumberFormat="1" applyFont="1" applyBorder="1" applyAlignment="1">
      <alignment horizontal="right"/>
    </xf>
    <xf numFmtId="3" fontId="14" fillId="0" borderId="12" xfId="0" applyNumberFormat="1" applyFont="1" applyBorder="1" applyAlignment="1">
      <alignment horizontal="right"/>
    </xf>
    <xf numFmtId="9" fontId="5" fillId="0" borderId="18" xfId="0" applyNumberFormat="1" applyFont="1" applyBorder="1" applyAlignment="1">
      <alignment horizontal="right"/>
    </xf>
    <xf numFmtId="9" fontId="15" fillId="0" borderId="15" xfId="0" applyNumberFormat="1" applyFont="1" applyBorder="1" applyAlignment="1">
      <alignment horizontal="right"/>
    </xf>
    <xf numFmtId="9" fontId="14" fillId="0" borderId="11" xfId="0" applyNumberFormat="1" applyFont="1" applyBorder="1"/>
    <xf numFmtId="3" fontId="51" fillId="0" borderId="11" xfId="0" applyNumberFormat="1" applyFont="1" applyBorder="1" applyAlignment="1">
      <alignment horizontal="right"/>
    </xf>
    <xf numFmtId="0" fontId="16" fillId="0" borderId="41" xfId="0" applyFont="1" applyBorder="1"/>
    <xf numFmtId="3" fontId="5" fillId="0" borderId="37" xfId="0" applyNumberFormat="1" applyFont="1" applyBorder="1" applyAlignment="1">
      <alignment horizontal="center"/>
    </xf>
    <xf numFmtId="3" fontId="53" fillId="0" borderId="11" xfId="0" applyNumberFormat="1" applyFont="1" applyBorder="1" applyAlignment="1">
      <alignment horizontal="right"/>
    </xf>
    <xf numFmtId="3" fontId="55" fillId="0" borderId="11" xfId="0" applyNumberFormat="1" applyFont="1" applyBorder="1" applyAlignment="1">
      <alignment horizontal="right"/>
    </xf>
    <xf numFmtId="9" fontId="53" fillId="0" borderId="11" xfId="0" applyNumberFormat="1" applyFont="1" applyBorder="1" applyAlignment="1">
      <alignment horizontal="right"/>
    </xf>
    <xf numFmtId="3" fontId="45" fillId="0" borderId="12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0" fontId="5" fillId="0" borderId="42" xfId="0" applyFont="1" applyBorder="1" applyAlignment="1">
      <alignment horizontal="center"/>
    </xf>
    <xf numFmtId="0" fontId="12" fillId="22" borderId="10" xfId="0" applyFont="1" applyFill="1" applyBorder="1"/>
    <xf numFmtId="3" fontId="5" fillId="0" borderId="30" xfId="26" applyNumberFormat="1" applyFont="1" applyFill="1" applyBorder="1" applyAlignment="1">
      <alignment horizontal="right"/>
    </xf>
    <xf numFmtId="0" fontId="12" fillId="0" borderId="43" xfId="0" applyFont="1" applyBorder="1"/>
    <xf numFmtId="9" fontId="12" fillId="0" borderId="16" xfId="0" applyNumberFormat="1" applyFont="1" applyBorder="1" applyAlignment="1">
      <alignment horizontal="right"/>
    </xf>
    <xf numFmtId="3" fontId="52" fillId="22" borderId="10" xfId="0" applyNumberFormat="1" applyFont="1" applyFill="1" applyBorder="1" applyAlignment="1">
      <alignment horizontal="right"/>
    </xf>
    <xf numFmtId="9" fontId="12" fillId="22" borderId="16" xfId="0" applyNumberFormat="1" applyFont="1" applyFill="1" applyBorder="1" applyAlignment="1">
      <alignment horizontal="right"/>
    </xf>
    <xf numFmtId="0" fontId="13" fillId="0" borderId="10" xfId="0" applyFont="1" applyBorder="1" applyAlignment="1">
      <alignment horizontal="left"/>
    </xf>
    <xf numFmtId="0" fontId="6" fillId="0" borderId="41" xfId="0" applyFont="1" applyBorder="1" applyAlignment="1">
      <alignment horizontal="center"/>
    </xf>
    <xf numFmtId="0" fontId="6" fillId="0" borderId="37" xfId="0" applyFont="1" applyBorder="1"/>
    <xf numFmtId="9" fontId="6" fillId="0" borderId="10" xfId="0" applyNumberFormat="1" applyFont="1" applyBorder="1"/>
    <xf numFmtId="0" fontId="12" fillId="0" borderId="20" xfId="0" applyFont="1" applyBorder="1" applyAlignment="1">
      <alignment horizontal="left" vertical="top"/>
    </xf>
    <xf numFmtId="0" fontId="40" fillId="0" borderId="20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3" fontId="6" fillId="0" borderId="10" xfId="0" applyNumberFormat="1" applyFont="1" applyBorder="1" applyAlignment="1">
      <alignment vertical="center"/>
    </xf>
    <xf numFmtId="9" fontId="14" fillId="0" borderId="10" xfId="0" applyNumberFormat="1" applyFont="1" applyBorder="1" applyAlignment="1">
      <alignment vertical="center"/>
    </xf>
    <xf numFmtId="9" fontId="16" fillId="0" borderId="10" xfId="0" applyNumberFormat="1" applyFont="1" applyBorder="1"/>
    <xf numFmtId="0" fontId="4" fillId="0" borderId="0" xfId="35"/>
    <xf numFmtId="3" fontId="4" fillId="0" borderId="0" xfId="35" applyNumberFormat="1"/>
    <xf numFmtId="9" fontId="58" fillId="0" borderId="15" xfId="35" applyNumberFormat="1" applyFont="1" applyBorder="1" applyAlignment="1">
      <alignment horizontal="right" vertical="center"/>
    </xf>
    <xf numFmtId="0" fontId="63" fillId="0" borderId="29" xfId="68" applyFont="1" applyBorder="1" applyAlignment="1">
      <alignment vertical="center"/>
    </xf>
    <xf numFmtId="0" fontId="58" fillId="0" borderId="30" xfId="35" applyFont="1" applyBorder="1" applyAlignment="1">
      <alignment vertical="center"/>
    </xf>
    <xf numFmtId="0" fontId="61" fillId="0" borderId="16" xfId="35" applyFont="1" applyBorder="1" applyAlignment="1">
      <alignment vertical="center"/>
    </xf>
    <xf numFmtId="0" fontId="65" fillId="0" borderId="29" xfId="35" applyFont="1" applyBorder="1" applyAlignment="1">
      <alignment vertical="center"/>
    </xf>
    <xf numFmtId="0" fontId="61" fillId="0" borderId="29" xfId="35" applyFont="1" applyBorder="1" applyAlignment="1">
      <alignment vertical="center"/>
    </xf>
    <xf numFmtId="0" fontId="62" fillId="0" borderId="30" xfId="68" applyFont="1" applyBorder="1" applyAlignment="1">
      <alignment vertical="center"/>
    </xf>
    <xf numFmtId="0" fontId="64" fillId="0" borderId="30" xfId="35" applyFont="1" applyBorder="1" applyAlignment="1">
      <alignment vertical="center"/>
    </xf>
    <xf numFmtId="0" fontId="60" fillId="0" borderId="29" xfId="35" applyFont="1" applyBorder="1" applyAlignment="1">
      <alignment vertical="center"/>
    </xf>
    <xf numFmtId="0" fontId="72" fillId="0" borderId="29" xfId="68" applyFont="1" applyBorder="1" applyAlignment="1">
      <alignment vertical="center"/>
    </xf>
    <xf numFmtId="0" fontId="6" fillId="0" borderId="0" xfId="34" applyFont="1" applyAlignment="1">
      <alignment vertical="center"/>
    </xf>
    <xf numFmtId="3" fontId="5" fillId="0" borderId="15" xfId="34" applyNumberFormat="1" applyFont="1" applyBorder="1" applyAlignment="1">
      <alignment vertical="center" wrapText="1"/>
    </xf>
    <xf numFmtId="3" fontId="5" fillId="0" borderId="44" xfId="34" applyNumberFormat="1" applyFont="1" applyBorder="1" applyAlignment="1">
      <alignment vertical="center" wrapText="1"/>
    </xf>
    <xf numFmtId="3" fontId="5" fillId="0" borderId="10" xfId="34" applyNumberFormat="1" applyFont="1" applyBorder="1" applyAlignment="1">
      <alignment vertical="center" wrapText="1"/>
    </xf>
    <xf numFmtId="0" fontId="11" fillId="0" borderId="10" xfId="34" applyFont="1" applyBorder="1" applyAlignment="1">
      <alignment vertical="center" wrapText="1"/>
    </xf>
    <xf numFmtId="3" fontId="15" fillId="0" borderId="45" xfId="34" applyNumberFormat="1" applyFont="1" applyBorder="1" applyAlignment="1">
      <alignment vertical="center" wrapText="1"/>
    </xf>
    <xf numFmtId="3" fontId="12" fillId="0" borderId="46" xfId="34" applyNumberFormat="1" applyFont="1" applyBorder="1" applyAlignment="1">
      <alignment vertical="center" wrapText="1"/>
    </xf>
    <xf numFmtId="3" fontId="12" fillId="0" borderId="13" xfId="34" applyNumberFormat="1" applyFont="1" applyBorder="1" applyAlignment="1">
      <alignment vertical="center" wrapText="1"/>
    </xf>
    <xf numFmtId="0" fontId="12" fillId="0" borderId="13" xfId="34" applyFont="1" applyBorder="1" applyAlignment="1">
      <alignment vertical="center" wrapText="1"/>
    </xf>
    <xf numFmtId="3" fontId="12" fillId="0" borderId="47" xfId="34" applyNumberFormat="1" applyFont="1" applyBorder="1" applyAlignment="1">
      <alignment vertical="center" wrapText="1"/>
    </xf>
    <xf numFmtId="3" fontId="12" fillId="0" borderId="48" xfId="34" applyNumberFormat="1" applyFont="1" applyBorder="1" applyAlignment="1">
      <alignment vertical="center" wrapText="1"/>
    </xf>
    <xf numFmtId="3" fontId="12" fillId="0" borderId="12" xfId="34" applyNumberFormat="1" applyFont="1" applyBorder="1" applyAlignment="1">
      <alignment vertical="center" wrapText="1"/>
    </xf>
    <xf numFmtId="0" fontId="12" fillId="0" borderId="12" xfId="34" applyFont="1" applyBorder="1" applyAlignment="1">
      <alignment vertical="center" wrapText="1"/>
    </xf>
    <xf numFmtId="3" fontId="12" fillId="0" borderId="49" xfId="34" applyNumberFormat="1" applyFont="1" applyBorder="1" applyAlignment="1">
      <alignment vertical="center" wrapText="1"/>
    </xf>
    <xf numFmtId="3" fontId="5" fillId="0" borderId="50" xfId="34" applyNumberFormat="1" applyFont="1" applyBorder="1" applyAlignment="1">
      <alignment vertical="center" wrapText="1"/>
    </xf>
    <xf numFmtId="3" fontId="5" fillId="0" borderId="11" xfId="34" applyNumberFormat="1" applyFont="1" applyBorder="1" applyAlignment="1">
      <alignment vertical="center" wrapText="1"/>
    </xf>
    <xf numFmtId="0" fontId="74" fillId="0" borderId="11" xfId="69" applyFont="1" applyBorder="1" applyAlignment="1">
      <alignment vertical="center" wrapText="1"/>
    </xf>
    <xf numFmtId="3" fontId="15" fillId="0" borderId="11" xfId="34" applyNumberFormat="1" applyFont="1" applyBorder="1" applyAlignment="1">
      <alignment vertical="center" wrapText="1"/>
    </xf>
    <xf numFmtId="3" fontId="15" fillId="0" borderId="51" xfId="34" applyNumberFormat="1" applyFont="1" applyBorder="1" applyAlignment="1">
      <alignment vertical="center" wrapText="1"/>
    </xf>
    <xf numFmtId="0" fontId="75" fillId="0" borderId="11" xfId="34" applyFont="1" applyBorder="1" applyAlignment="1">
      <alignment vertical="center" wrapText="1"/>
    </xf>
    <xf numFmtId="0" fontId="11" fillId="0" borderId="11" xfId="34" applyFont="1" applyBorder="1" applyAlignment="1">
      <alignment vertical="center" wrapText="1"/>
    </xf>
    <xf numFmtId="0" fontId="6" fillId="0" borderId="12" xfId="34" applyFont="1" applyBorder="1" applyAlignment="1">
      <alignment vertical="center" wrapText="1"/>
    </xf>
    <xf numFmtId="0" fontId="14" fillId="0" borderId="12" xfId="34" applyFont="1" applyBorder="1" applyAlignment="1">
      <alignment vertical="center" wrapText="1"/>
    </xf>
    <xf numFmtId="0" fontId="76" fillId="0" borderId="11" xfId="34" applyFont="1" applyBorder="1" applyAlignment="1">
      <alignment vertical="center" wrapText="1"/>
    </xf>
    <xf numFmtId="3" fontId="12" fillId="14" borderId="50" xfId="34" applyNumberFormat="1" applyFont="1" applyFill="1" applyBorder="1" applyAlignment="1">
      <alignment vertical="center" wrapText="1"/>
    </xf>
    <xf numFmtId="3" fontId="12" fillId="0" borderId="11" xfId="34" applyNumberFormat="1" applyFont="1" applyBorder="1" applyAlignment="1">
      <alignment vertical="center" wrapText="1"/>
    </xf>
    <xf numFmtId="0" fontId="12" fillId="0" borderId="11" xfId="34" applyFont="1" applyBorder="1" applyAlignment="1">
      <alignment vertical="center" wrapText="1"/>
    </xf>
    <xf numFmtId="3" fontId="12" fillId="0" borderId="51" xfId="34" applyNumberFormat="1" applyFont="1" applyBorder="1" applyAlignment="1">
      <alignment vertical="center" wrapText="1"/>
    </xf>
    <xf numFmtId="3" fontId="12" fillId="14" borderId="46" xfId="34" applyNumberFormat="1" applyFont="1" applyFill="1" applyBorder="1" applyAlignment="1">
      <alignment vertical="center" wrapText="1"/>
    </xf>
    <xf numFmtId="3" fontId="12" fillId="14" borderId="48" xfId="34" applyNumberFormat="1" applyFont="1" applyFill="1" applyBorder="1" applyAlignment="1">
      <alignment vertical="center" wrapText="1"/>
    </xf>
    <xf numFmtId="3" fontId="5" fillId="14" borderId="48" xfId="34" applyNumberFormat="1" applyFont="1" applyFill="1" applyBorder="1" applyAlignment="1">
      <alignment vertical="center" wrapText="1"/>
    </xf>
    <xf numFmtId="3" fontId="5" fillId="0" borderId="12" xfId="34" applyNumberFormat="1" applyFont="1" applyBorder="1" applyAlignment="1">
      <alignment vertical="center" wrapText="1"/>
    </xf>
    <xf numFmtId="0" fontId="7" fillId="0" borderId="12" xfId="34" applyFont="1" applyBorder="1" applyAlignment="1">
      <alignment vertical="center" wrapText="1"/>
    </xf>
    <xf numFmtId="3" fontId="7" fillId="0" borderId="49" xfId="34" applyNumberFormat="1" applyFont="1" applyBorder="1" applyAlignment="1">
      <alignment vertical="center" wrapText="1"/>
    </xf>
    <xf numFmtId="3" fontId="7" fillId="14" borderId="50" xfId="34" applyNumberFormat="1" applyFont="1" applyFill="1" applyBorder="1" applyAlignment="1">
      <alignment vertical="center" wrapText="1"/>
    </xf>
    <xf numFmtId="3" fontId="7" fillId="0" borderId="11" xfId="34" applyNumberFormat="1" applyFont="1" applyBorder="1" applyAlignment="1">
      <alignment vertical="center" wrapText="1"/>
    </xf>
    <xf numFmtId="0" fontId="7" fillId="0" borderId="11" xfId="34" applyFont="1" applyBorder="1" applyAlignment="1">
      <alignment vertical="center" wrapText="1"/>
    </xf>
    <xf numFmtId="3" fontId="7" fillId="0" borderId="51" xfId="34" applyNumberFormat="1" applyFont="1" applyBorder="1" applyAlignment="1">
      <alignment horizontal="right" vertical="center" wrapText="1"/>
    </xf>
    <xf numFmtId="0" fontId="5" fillId="0" borderId="0" xfId="34" applyFont="1" applyAlignment="1">
      <alignment vertical="center"/>
    </xf>
    <xf numFmtId="3" fontId="77" fillId="0" borderId="15" xfId="34" applyNumberFormat="1" applyFont="1" applyBorder="1" applyAlignment="1">
      <alignment vertical="center" wrapText="1"/>
    </xf>
    <xf numFmtId="3" fontId="6" fillId="14" borderId="44" xfId="34" applyNumberFormat="1" applyFont="1" applyFill="1" applyBorder="1" applyAlignment="1">
      <alignment vertical="center" wrapText="1"/>
    </xf>
    <xf numFmtId="3" fontId="6" fillId="0" borderId="10" xfId="34" applyNumberFormat="1" applyFont="1" applyBorder="1" applyAlignment="1">
      <alignment vertical="center" wrapText="1"/>
    </xf>
    <xf numFmtId="0" fontId="5" fillId="0" borderId="10" xfId="34" applyFont="1" applyBorder="1" applyAlignment="1">
      <alignment vertical="center" wrapText="1"/>
    </xf>
    <xf numFmtId="3" fontId="15" fillId="14" borderId="37" xfId="34" applyNumberFormat="1" applyFont="1" applyFill="1" applyBorder="1" applyAlignment="1">
      <alignment vertical="center" wrapText="1"/>
    </xf>
    <xf numFmtId="3" fontId="15" fillId="0" borderId="15" xfId="34" applyNumberFormat="1" applyFont="1" applyBorder="1" applyAlignment="1">
      <alignment vertical="center" wrapText="1"/>
    </xf>
    <xf numFmtId="3" fontId="15" fillId="14" borderId="15" xfId="34" applyNumberFormat="1" applyFont="1" applyFill="1" applyBorder="1" applyAlignment="1">
      <alignment vertical="center" wrapText="1"/>
    </xf>
    <xf numFmtId="3" fontId="6" fillId="14" borderId="46" xfId="34" applyNumberFormat="1" applyFont="1" applyFill="1" applyBorder="1" applyAlignment="1">
      <alignment vertical="center" wrapText="1"/>
    </xf>
    <xf numFmtId="3" fontId="6" fillId="0" borderId="13" xfId="34" applyNumberFormat="1" applyFont="1" applyBorder="1" applyAlignment="1">
      <alignment vertical="center" wrapText="1"/>
    </xf>
    <xf numFmtId="3" fontId="6" fillId="14" borderId="48" xfId="34" applyNumberFormat="1" applyFont="1" applyFill="1" applyBorder="1" applyAlignment="1">
      <alignment vertical="center" wrapText="1"/>
    </xf>
    <xf numFmtId="3" fontId="6" fillId="0" borderId="12" xfId="34" applyNumberFormat="1" applyFont="1" applyBorder="1" applyAlignment="1">
      <alignment vertical="center" wrapText="1"/>
    </xf>
    <xf numFmtId="3" fontId="6" fillId="14" borderId="12" xfId="34" applyNumberFormat="1" applyFont="1" applyFill="1" applyBorder="1" applyAlignment="1">
      <alignment vertical="center" wrapText="1"/>
    </xf>
    <xf numFmtId="3" fontId="6" fillId="14" borderId="50" xfId="34" applyNumberFormat="1" applyFont="1" applyFill="1" applyBorder="1" applyAlignment="1">
      <alignment vertical="center" wrapText="1"/>
    </xf>
    <xf numFmtId="3" fontId="6" fillId="0" borderId="11" xfId="34" applyNumberFormat="1" applyFont="1" applyBorder="1" applyAlignment="1">
      <alignment vertical="center" wrapText="1"/>
    </xf>
    <xf numFmtId="0" fontId="5" fillId="0" borderId="11" xfId="34" applyFont="1" applyBorder="1" applyAlignment="1">
      <alignment vertical="center" wrapText="1"/>
    </xf>
    <xf numFmtId="0" fontId="0" fillId="0" borderId="12" xfId="34" applyFont="1" applyBorder="1" applyAlignment="1">
      <alignment vertical="center" wrapText="1"/>
    </xf>
    <xf numFmtId="0" fontId="77" fillId="0" borderId="11" xfId="34" applyFont="1" applyBorder="1" applyAlignment="1">
      <alignment vertical="center" wrapText="1"/>
    </xf>
    <xf numFmtId="0" fontId="6" fillId="14" borderId="50" xfId="34" applyFont="1" applyFill="1" applyBorder="1" applyAlignment="1">
      <alignment vertical="center" wrapText="1"/>
    </xf>
    <xf numFmtId="0" fontId="6" fillId="0" borderId="11" xfId="34" applyFont="1" applyBorder="1" applyAlignment="1">
      <alignment vertical="center" wrapText="1"/>
    </xf>
    <xf numFmtId="0" fontId="6" fillId="14" borderId="48" xfId="34" applyFont="1" applyFill="1" applyBorder="1" applyAlignment="1">
      <alignment vertical="center" wrapText="1"/>
    </xf>
    <xf numFmtId="3" fontId="11" fillId="0" borderId="15" xfId="34" applyNumberFormat="1" applyFont="1" applyBorder="1" applyAlignment="1">
      <alignment vertical="center" wrapText="1"/>
    </xf>
    <xf numFmtId="0" fontId="6" fillId="14" borderId="44" xfId="34" applyFont="1" applyFill="1" applyBorder="1" applyAlignment="1">
      <alignment vertical="center" wrapText="1"/>
    </xf>
    <xf numFmtId="0" fontId="6" fillId="0" borderId="10" xfId="34" applyFont="1" applyBorder="1" applyAlignment="1">
      <alignment vertical="center" wrapText="1"/>
    </xf>
    <xf numFmtId="0" fontId="77" fillId="0" borderId="10" xfId="34" applyFont="1" applyBorder="1" applyAlignment="1">
      <alignment vertical="center" wrapText="1"/>
    </xf>
    <xf numFmtId="3" fontId="15" fillId="14" borderId="48" xfId="34" applyNumberFormat="1" applyFont="1" applyFill="1" applyBorder="1" applyAlignment="1">
      <alignment vertical="center" wrapText="1"/>
    </xf>
    <xf numFmtId="3" fontId="15" fillId="0" borderId="12" xfId="34" applyNumberFormat="1" applyFont="1" applyBorder="1" applyAlignment="1">
      <alignment vertical="center" wrapText="1"/>
    </xf>
    <xf numFmtId="0" fontId="16" fillId="0" borderId="12" xfId="34" applyFont="1" applyBorder="1" applyAlignment="1">
      <alignment vertical="center" wrapText="1"/>
    </xf>
    <xf numFmtId="3" fontId="15" fillId="0" borderId="49" xfId="34" applyNumberFormat="1" applyFont="1" applyBorder="1" applyAlignment="1">
      <alignment vertical="center" wrapText="1"/>
    </xf>
    <xf numFmtId="3" fontId="15" fillId="14" borderId="50" xfId="34" applyNumberFormat="1" applyFont="1" applyFill="1" applyBorder="1" applyAlignment="1">
      <alignment vertical="center" wrapText="1"/>
    </xf>
    <xf numFmtId="0" fontId="15" fillId="0" borderId="11" xfId="34" applyFont="1" applyBorder="1" applyAlignment="1">
      <alignment vertical="center" wrapText="1"/>
    </xf>
    <xf numFmtId="0" fontId="78" fillId="0" borderId="12" xfId="34" applyFont="1" applyBorder="1" applyAlignment="1">
      <alignment vertical="center" wrapText="1"/>
    </xf>
    <xf numFmtId="0" fontId="78" fillId="0" borderId="11" xfId="34" applyFont="1" applyBorder="1" applyAlignment="1">
      <alignment vertical="center" wrapText="1"/>
    </xf>
    <xf numFmtId="0" fontId="6" fillId="0" borderId="13" xfId="34" applyFont="1" applyBorder="1" applyAlignment="1">
      <alignment vertical="center" wrapText="1"/>
    </xf>
    <xf numFmtId="0" fontId="15" fillId="0" borderId="15" xfId="34" applyFont="1" applyBorder="1" applyAlignment="1">
      <alignment vertical="center" wrapText="1"/>
    </xf>
    <xf numFmtId="0" fontId="6" fillId="14" borderId="46" xfId="34" applyFont="1" applyFill="1" applyBorder="1" applyAlignment="1">
      <alignment vertical="center" wrapText="1"/>
    </xf>
    <xf numFmtId="0" fontId="14" fillId="0" borderId="11" xfId="34" applyFont="1" applyBorder="1" applyAlignment="1">
      <alignment vertical="center" wrapText="1"/>
    </xf>
    <xf numFmtId="0" fontId="14" fillId="0" borderId="13" xfId="34" applyFont="1" applyBorder="1" applyAlignment="1">
      <alignment vertical="center" wrapText="1"/>
    </xf>
    <xf numFmtId="0" fontId="11" fillId="0" borderId="12" xfId="34" applyFont="1" applyBorder="1" applyAlignment="1">
      <alignment vertical="center" wrapText="1"/>
    </xf>
    <xf numFmtId="0" fontId="6" fillId="0" borderId="48" xfId="34" applyFont="1" applyBorder="1" applyAlignment="1">
      <alignment vertical="center" wrapText="1"/>
    </xf>
    <xf numFmtId="0" fontId="6" fillId="0" borderId="50" xfId="34" applyFont="1" applyBorder="1" applyAlignment="1">
      <alignment vertical="center" wrapText="1"/>
    </xf>
    <xf numFmtId="3" fontId="6" fillId="0" borderId="44" xfId="34" applyNumberFormat="1" applyFont="1" applyBorder="1" applyAlignment="1">
      <alignment vertical="center" wrapText="1"/>
    </xf>
    <xf numFmtId="0" fontId="15" fillId="0" borderId="10" xfId="34" applyFont="1" applyBorder="1" applyAlignment="1">
      <alignment vertical="center" wrapText="1"/>
    </xf>
    <xf numFmtId="3" fontId="45" fillId="14" borderId="48" xfId="34" applyNumberFormat="1" applyFont="1" applyFill="1" applyBorder="1" applyAlignment="1">
      <alignment vertical="center" wrapText="1"/>
    </xf>
    <xf numFmtId="3" fontId="15" fillId="14" borderId="46" xfId="34" applyNumberFormat="1" applyFont="1" applyFill="1" applyBorder="1" applyAlignment="1">
      <alignment vertical="center" wrapText="1"/>
    </xf>
    <xf numFmtId="3" fontId="15" fillId="0" borderId="13" xfId="34" applyNumberFormat="1" applyFont="1" applyBorder="1" applyAlignment="1">
      <alignment vertical="center" wrapText="1"/>
    </xf>
    <xf numFmtId="0" fontId="15" fillId="0" borderId="13" xfId="34" applyFont="1" applyBorder="1" applyAlignment="1">
      <alignment vertical="center" wrapText="1"/>
    </xf>
    <xf numFmtId="3" fontId="15" fillId="0" borderId="47" xfId="34" applyNumberFormat="1" applyFont="1" applyBorder="1" applyAlignment="1">
      <alignment vertical="center" wrapText="1"/>
    </xf>
    <xf numFmtId="0" fontId="15" fillId="0" borderId="12" xfId="34" applyFont="1" applyBorder="1" applyAlignment="1">
      <alignment vertical="center" wrapText="1"/>
    </xf>
    <xf numFmtId="9" fontId="16" fillId="0" borderId="12" xfId="0" applyNumberFormat="1" applyFont="1" applyBorder="1" applyAlignment="1">
      <alignment vertical="center" wrapText="1"/>
    </xf>
    <xf numFmtId="0" fontId="5" fillId="0" borderId="12" xfId="34" applyFont="1" applyBorder="1" applyAlignment="1">
      <alignment vertical="center" wrapText="1"/>
    </xf>
    <xf numFmtId="0" fontId="16" fillId="0" borderId="13" xfId="34" applyFont="1" applyBorder="1" applyAlignment="1">
      <alignment vertical="center" wrapText="1"/>
    </xf>
    <xf numFmtId="3" fontId="12" fillId="0" borderId="45" xfId="34" applyNumberFormat="1" applyFont="1" applyBorder="1" applyAlignment="1">
      <alignment vertical="center" wrapText="1"/>
    </xf>
    <xf numFmtId="3" fontId="5" fillId="0" borderId="49" xfId="34" applyNumberFormat="1" applyFont="1" applyBorder="1" applyAlignment="1">
      <alignment vertical="center" wrapText="1"/>
    </xf>
    <xf numFmtId="0" fontId="5" fillId="0" borderId="13" xfId="34" applyFont="1" applyBorder="1" applyAlignment="1">
      <alignment vertical="center" wrapText="1"/>
    </xf>
    <xf numFmtId="3" fontId="6" fillId="0" borderId="49" xfId="34" applyNumberFormat="1" applyFont="1" applyBorder="1" applyAlignment="1">
      <alignment vertical="center" wrapText="1"/>
    </xf>
    <xf numFmtId="3" fontId="6" fillId="0" borderId="48" xfId="34" applyNumberFormat="1" applyFont="1" applyBorder="1" applyAlignment="1">
      <alignment vertical="center" wrapText="1"/>
    </xf>
    <xf numFmtId="0" fontId="8" fillId="0" borderId="0" xfId="34" applyFont="1" applyAlignment="1">
      <alignment vertical="center"/>
    </xf>
    <xf numFmtId="0" fontId="5" fillId="0" borderId="0" xfId="34" applyFont="1" applyAlignment="1">
      <alignment horizontal="center"/>
    </xf>
    <xf numFmtId="0" fontId="4" fillId="0" borderId="0" xfId="35" applyAlignment="1">
      <alignment vertical="center"/>
    </xf>
    <xf numFmtId="0" fontId="5" fillId="0" borderId="0" xfId="35" applyFont="1" applyAlignment="1">
      <alignment horizontal="centerContinuous" vertical="center"/>
    </xf>
    <xf numFmtId="0" fontId="5" fillId="0" borderId="42" xfId="35" applyFont="1" applyBorder="1" applyAlignment="1">
      <alignment horizontal="center" vertical="center"/>
    </xf>
    <xf numFmtId="0" fontId="5" fillId="0" borderId="30" xfId="35" applyFont="1" applyBorder="1" applyAlignment="1">
      <alignment horizontal="center" vertical="center"/>
    </xf>
    <xf numFmtId="0" fontId="5" fillId="0" borderId="15" xfId="35" applyFont="1" applyBorder="1" applyAlignment="1">
      <alignment horizontal="center" vertical="center"/>
    </xf>
    <xf numFmtId="0" fontId="5" fillId="0" borderId="37" xfId="35" applyFont="1" applyBorder="1" applyAlignment="1">
      <alignment horizontal="center" vertical="center"/>
    </xf>
    <xf numFmtId="0" fontId="67" fillId="0" borderId="16" xfId="35" applyFont="1" applyBorder="1" applyAlignment="1">
      <alignment vertical="center"/>
    </xf>
    <xf numFmtId="0" fontId="5" fillId="0" borderId="10" xfId="35" applyFont="1" applyBorder="1" applyAlignment="1">
      <alignment horizontal="center" vertical="center"/>
    </xf>
    <xf numFmtId="0" fontId="61" fillId="0" borderId="14" xfId="35" applyFont="1" applyBorder="1" applyAlignment="1">
      <alignment vertical="center"/>
    </xf>
    <xf numFmtId="0" fontId="64" fillId="0" borderId="15" xfId="35" applyFont="1" applyBorder="1" applyAlignment="1">
      <alignment vertical="center"/>
    </xf>
    <xf numFmtId="0" fontId="66" fillId="0" borderId="16" xfId="35" applyFont="1" applyBorder="1" applyAlignment="1">
      <alignment vertical="center"/>
    </xf>
    <xf numFmtId="0" fontId="60" fillId="0" borderId="16" xfId="35" applyFont="1" applyBorder="1" applyAlignment="1">
      <alignment vertical="center"/>
    </xf>
    <xf numFmtId="0" fontId="60" fillId="0" borderId="10" xfId="35" applyFont="1" applyBorder="1" applyAlignment="1">
      <alignment vertical="center"/>
    </xf>
    <xf numFmtId="0" fontId="60" fillId="0" borderId="14" xfId="35" applyFont="1" applyBorder="1" applyAlignment="1">
      <alignment vertical="center"/>
    </xf>
    <xf numFmtId="0" fontId="58" fillId="0" borderId="15" xfId="35" applyFont="1" applyBorder="1" applyAlignment="1">
      <alignment vertical="center"/>
    </xf>
    <xf numFmtId="9" fontId="70" fillId="0" borderId="37" xfId="0" applyNumberFormat="1" applyFont="1" applyBorder="1" applyAlignment="1">
      <alignment vertical="center"/>
    </xf>
    <xf numFmtId="0" fontId="58" fillId="0" borderId="29" xfId="35" applyFont="1" applyBorder="1" applyAlignment="1">
      <alignment vertical="center"/>
    </xf>
    <xf numFmtId="0" fontId="61" fillId="0" borderId="26" xfId="34" applyFont="1" applyBorder="1" applyAlignment="1">
      <alignment vertical="center"/>
    </xf>
    <xf numFmtId="0" fontId="61" fillId="0" borderId="14" xfId="34" applyFont="1" applyBorder="1" applyAlignment="1">
      <alignment vertical="center"/>
    </xf>
    <xf numFmtId="0" fontId="61" fillId="0" borderId="15" xfId="34" applyFont="1" applyBorder="1" applyAlignment="1">
      <alignment vertical="center"/>
    </xf>
    <xf numFmtId="0" fontId="61" fillId="0" borderId="16" xfId="68" applyFont="1" applyBorder="1" applyAlignment="1">
      <alignment horizontal="left" vertical="center"/>
    </xf>
    <xf numFmtId="0" fontId="61" fillId="0" borderId="10" xfId="68" applyFont="1" applyBorder="1" applyAlignment="1">
      <alignment horizontal="left" vertical="center"/>
    </xf>
    <xf numFmtId="0" fontId="61" fillId="0" borderId="14" xfId="68" applyFont="1" applyBorder="1" applyAlignment="1">
      <alignment horizontal="left" vertical="center"/>
    </xf>
    <xf numFmtId="0" fontId="58" fillId="0" borderId="14" xfId="68" applyFont="1" applyBorder="1" applyAlignment="1">
      <alignment horizontal="left" vertical="center"/>
    </xf>
    <xf numFmtId="0" fontId="58" fillId="0" borderId="30" xfId="68" applyFont="1" applyBorder="1" applyAlignment="1">
      <alignment horizontal="left" vertical="center"/>
    </xf>
    <xf numFmtId="0" fontId="59" fillId="0" borderId="30" xfId="68" applyFont="1" applyBorder="1" applyAlignment="1">
      <alignment horizontal="left" vertical="center"/>
    </xf>
    <xf numFmtId="0" fontId="59" fillId="0" borderId="26" xfId="35" applyFont="1" applyBorder="1" applyAlignment="1">
      <alignment vertical="center"/>
    </xf>
    <xf numFmtId="0" fontId="59" fillId="0" borderId="26" xfId="35" applyFont="1" applyBorder="1" applyAlignment="1" applyProtection="1">
      <alignment vertical="center"/>
      <protection locked="0"/>
    </xf>
    <xf numFmtId="0" fontId="59" fillId="0" borderId="16" xfId="35" applyFont="1" applyBorder="1" applyAlignment="1" applyProtection="1">
      <alignment vertical="center"/>
      <protection locked="0"/>
    </xf>
    <xf numFmtId="3" fontId="59" fillId="0" borderId="26" xfId="35" applyNumberFormat="1" applyFont="1" applyBorder="1" applyAlignment="1" applyProtection="1">
      <alignment horizontal="left" vertical="center"/>
      <protection locked="0"/>
    </xf>
    <xf numFmtId="0" fontId="68" fillId="0" borderId="26" xfId="35" applyFont="1" applyBorder="1" applyAlignment="1" applyProtection="1">
      <alignment vertical="center"/>
      <protection locked="0"/>
    </xf>
    <xf numFmtId="0" fontId="5" fillId="0" borderId="16" xfId="35" applyFont="1" applyBorder="1" applyAlignment="1">
      <alignment horizontal="center" vertical="center"/>
    </xf>
    <xf numFmtId="9" fontId="71" fillId="0" borderId="44" xfId="0" applyNumberFormat="1" applyFont="1" applyBorder="1" applyAlignment="1">
      <alignment vertical="center"/>
    </xf>
    <xf numFmtId="9" fontId="70" fillId="0" borderId="48" xfId="0" applyNumberFormat="1" applyFont="1" applyBorder="1" applyAlignment="1">
      <alignment vertical="center"/>
    </xf>
    <xf numFmtId="9" fontId="71" fillId="0" borderId="50" xfId="0" applyNumberFormat="1" applyFont="1" applyBorder="1" applyAlignment="1">
      <alignment vertical="center"/>
    </xf>
    <xf numFmtId="9" fontId="71" fillId="0" borderId="48" xfId="0" applyNumberFormat="1" applyFont="1" applyBorder="1" applyAlignment="1">
      <alignment vertical="center"/>
    </xf>
    <xf numFmtId="0" fontId="6" fillId="0" borderId="0" xfId="34" applyFont="1"/>
    <xf numFmtId="0" fontId="5" fillId="0" borderId="0" xfId="34" applyFont="1"/>
    <xf numFmtId="0" fontId="11" fillId="0" borderId="49" xfId="34" applyFont="1" applyBorder="1" applyAlignment="1">
      <alignment vertical="center" wrapText="1"/>
    </xf>
    <xf numFmtId="0" fontId="67" fillId="0" borderId="49" xfId="34" applyFont="1" applyBorder="1" applyAlignment="1">
      <alignment vertical="center" wrapText="1"/>
    </xf>
    <xf numFmtId="0" fontId="74" fillId="0" borderId="42" xfId="69" applyFont="1" applyBorder="1" applyAlignment="1">
      <alignment vertical="center" wrapText="1"/>
    </xf>
    <xf numFmtId="0" fontId="77" fillId="0" borderId="42" xfId="34" applyFont="1" applyBorder="1" applyAlignment="1">
      <alignment vertical="center" wrapText="1"/>
    </xf>
    <xf numFmtId="0" fontId="69" fillId="0" borderId="42" xfId="34" applyFont="1" applyBorder="1" applyAlignment="1">
      <alignment vertical="center" wrapText="1"/>
    </xf>
    <xf numFmtId="0" fontId="67" fillId="0" borderId="15" xfId="34" applyFont="1" applyBorder="1" applyAlignment="1">
      <alignment vertical="center" wrapText="1"/>
    </xf>
    <xf numFmtId="0" fontId="67" fillId="0" borderId="42" xfId="34" applyFont="1" applyBorder="1" applyAlignment="1">
      <alignment vertical="center" wrapText="1"/>
    </xf>
    <xf numFmtId="0" fontId="76" fillId="0" borderId="42" xfId="34" applyFont="1" applyBorder="1" applyAlignment="1">
      <alignment vertical="center" wrapText="1"/>
    </xf>
    <xf numFmtId="0" fontId="75" fillId="0" borderId="42" xfId="34" applyFont="1" applyBorder="1" applyAlignment="1">
      <alignment vertical="center"/>
    </xf>
    <xf numFmtId="3" fontId="73" fillId="0" borderId="42" xfId="0" applyNumberFormat="1" applyFont="1" applyBorder="1" applyAlignment="1">
      <alignment vertical="center" wrapText="1"/>
    </xf>
    <xf numFmtId="0" fontId="11" fillId="0" borderId="42" xfId="34" applyFont="1" applyBorder="1" applyAlignment="1">
      <alignment vertical="center" wrapText="1"/>
    </xf>
    <xf numFmtId="0" fontId="78" fillId="0" borderId="42" xfId="34" applyFont="1" applyBorder="1" applyAlignment="1">
      <alignment vertical="center" wrapText="1"/>
    </xf>
    <xf numFmtId="0" fontId="75" fillId="0" borderId="42" xfId="34" applyFont="1" applyBorder="1" applyAlignment="1">
      <alignment vertical="center" wrapText="1"/>
    </xf>
    <xf numFmtId="0" fontId="11" fillId="0" borderId="0" xfId="34" applyFont="1" applyAlignment="1">
      <alignment horizontal="right"/>
    </xf>
    <xf numFmtId="0" fontId="8" fillId="0" borderId="0" xfId="34" applyFont="1"/>
    <xf numFmtId="3" fontId="6" fillId="0" borderId="0" xfId="34" applyNumberFormat="1" applyFont="1"/>
    <xf numFmtId="0" fontId="15" fillId="0" borderId="0" xfId="34" applyFont="1" applyAlignment="1">
      <alignment horizontal="right"/>
    </xf>
    <xf numFmtId="0" fontId="17" fillId="0" borderId="0" xfId="69"/>
    <xf numFmtId="0" fontId="76" fillId="0" borderId="0" xfId="69" applyFont="1" applyAlignment="1">
      <alignment horizontal="center" vertical="center" wrapText="1"/>
    </xf>
    <xf numFmtId="0" fontId="76" fillId="0" borderId="19" xfId="69" applyFont="1" applyBorder="1" applyAlignment="1">
      <alignment horizontal="left" vertical="center"/>
    </xf>
    <xf numFmtId="0" fontId="76" fillId="0" borderId="19" xfId="69" applyFont="1" applyBorder="1" applyAlignment="1">
      <alignment horizontal="center" vertical="center"/>
    </xf>
    <xf numFmtId="0" fontId="37" fillId="0" borderId="11" xfId="69" applyFont="1" applyBorder="1"/>
    <xf numFmtId="3" fontId="37" fillId="0" borderId="24" xfId="69" applyNumberFormat="1" applyFont="1" applyBorder="1"/>
    <xf numFmtId="3" fontId="79" fillId="0" borderId="11" xfId="69" applyNumberFormat="1" applyFont="1" applyBorder="1"/>
    <xf numFmtId="0" fontId="14" fillId="0" borderId="0" xfId="69" applyFont="1"/>
    <xf numFmtId="0" fontId="79" fillId="0" borderId="12" xfId="34" applyFont="1" applyBorder="1"/>
    <xf numFmtId="3" fontId="79" fillId="0" borderId="22" xfId="69" applyNumberFormat="1" applyFont="1" applyBorder="1"/>
    <xf numFmtId="3" fontId="79" fillId="0" borderId="12" xfId="69" applyNumberFormat="1" applyFont="1" applyBorder="1"/>
    <xf numFmtId="0" fontId="12" fillId="0" borderId="12" xfId="34" applyFont="1" applyBorder="1"/>
    <xf numFmtId="3" fontId="79" fillId="0" borderId="21" xfId="69" applyNumberFormat="1" applyFont="1" applyBorder="1"/>
    <xf numFmtId="3" fontId="37" fillId="0" borderId="14" xfId="69" applyNumberFormat="1" applyFont="1" applyBorder="1"/>
    <xf numFmtId="0" fontId="79" fillId="0" borderId="11" xfId="34" applyFont="1" applyBorder="1"/>
    <xf numFmtId="3" fontId="79" fillId="0" borderId="24" xfId="69" applyNumberFormat="1" applyFont="1" applyBorder="1"/>
    <xf numFmtId="0" fontId="79" fillId="0" borderId="21" xfId="34" applyFont="1" applyBorder="1"/>
    <xf numFmtId="0" fontId="81" fillId="0" borderId="15" xfId="34" applyFont="1" applyBorder="1"/>
    <xf numFmtId="3" fontId="37" fillId="0" borderId="15" xfId="69" applyNumberFormat="1" applyFont="1" applyBorder="1"/>
    <xf numFmtId="0" fontId="79" fillId="0" borderId="18" xfId="34" applyFont="1" applyBorder="1"/>
    <xf numFmtId="0" fontId="79" fillId="0" borderId="13" xfId="70" applyFont="1" applyBorder="1"/>
    <xf numFmtId="0" fontId="79" fillId="0" borderId="15" xfId="34" applyFont="1" applyBorder="1"/>
    <xf numFmtId="3" fontId="79" fillId="0" borderId="15" xfId="69" applyNumberFormat="1" applyFont="1" applyBorder="1"/>
    <xf numFmtId="0" fontId="81" fillId="0" borderId="55" xfId="34" applyFont="1" applyBorder="1"/>
    <xf numFmtId="3" fontId="37" fillId="0" borderId="55" xfId="69" applyNumberFormat="1" applyFont="1" applyBorder="1"/>
    <xf numFmtId="0" fontId="82" fillId="0" borderId="59" xfId="34" applyFont="1" applyBorder="1"/>
    <xf numFmtId="3" fontId="37" fillId="0" borderId="56" xfId="69" applyNumberFormat="1" applyFont="1" applyBorder="1"/>
    <xf numFmtId="3" fontId="37" fillId="0" borderId="54" xfId="69" applyNumberFormat="1" applyFont="1" applyBorder="1"/>
    <xf numFmtId="3" fontId="79" fillId="0" borderId="60" xfId="69" applyNumberFormat="1" applyFont="1" applyBorder="1"/>
    <xf numFmtId="3" fontId="79" fillId="0" borderId="16" xfId="69" applyNumberFormat="1" applyFont="1" applyBorder="1"/>
    <xf numFmtId="3" fontId="79" fillId="0" borderId="18" xfId="69" applyNumberFormat="1" applyFont="1" applyBorder="1"/>
    <xf numFmtId="0" fontId="79" fillId="0" borderId="10" xfId="34" applyFont="1" applyBorder="1"/>
    <xf numFmtId="3" fontId="79" fillId="0" borderId="10" xfId="69" applyNumberFormat="1" applyFont="1" applyBorder="1"/>
    <xf numFmtId="0" fontId="79" fillId="0" borderId="14" xfId="34" applyFont="1" applyBorder="1"/>
    <xf numFmtId="0" fontId="82" fillId="0" borderId="54" xfId="34" applyFont="1" applyBorder="1" applyAlignment="1">
      <alignment vertical="center"/>
    </xf>
    <xf numFmtId="3" fontId="74" fillId="0" borderId="56" xfId="69" applyNumberFormat="1" applyFont="1" applyBorder="1" applyAlignment="1">
      <alignment vertical="center"/>
    </xf>
    <xf numFmtId="3" fontId="79" fillId="0" borderId="11" xfId="69" applyNumberFormat="1" applyFont="1" applyBorder="1" applyAlignment="1">
      <alignment vertical="center"/>
    </xf>
    <xf numFmtId="3" fontId="79" fillId="0" borderId="12" xfId="69" applyNumberFormat="1" applyFont="1" applyBorder="1" applyAlignment="1">
      <alignment vertical="center"/>
    </xf>
    <xf numFmtId="0" fontId="79" fillId="0" borderId="13" xfId="34" applyFont="1" applyBorder="1"/>
    <xf numFmtId="0" fontId="79" fillId="0" borderId="65" xfId="34" applyFont="1" applyBorder="1"/>
    <xf numFmtId="3" fontId="79" fillId="0" borderId="54" xfId="69" applyNumberFormat="1" applyFont="1" applyBorder="1"/>
    <xf numFmtId="0" fontId="74" fillId="0" borderId="54" xfId="69" applyFont="1" applyBorder="1" applyAlignment="1">
      <alignment vertical="center"/>
    </xf>
    <xf numFmtId="0" fontId="79" fillId="0" borderId="66" xfId="34" applyFont="1" applyBorder="1"/>
    <xf numFmtId="3" fontId="79" fillId="0" borderId="67" xfId="69" applyNumberFormat="1" applyFont="1" applyBorder="1"/>
    <xf numFmtId="0" fontId="74" fillId="0" borderId="54" xfId="34" applyFont="1" applyBorder="1" applyAlignment="1">
      <alignment vertical="center"/>
    </xf>
    <xf numFmtId="0" fontId="81" fillId="0" borderId="65" xfId="34" applyFont="1" applyBorder="1"/>
    <xf numFmtId="0" fontId="81" fillId="0" borderId="59" xfId="69" applyFont="1" applyBorder="1" applyAlignment="1">
      <alignment vertical="center"/>
    </xf>
    <xf numFmtId="3" fontId="74" fillId="0" borderId="59" xfId="69" applyNumberFormat="1" applyFont="1" applyBorder="1" applyAlignment="1">
      <alignment vertical="center"/>
    </xf>
    <xf numFmtId="0" fontId="83" fillId="0" borderId="0" xfId="69" applyFont="1"/>
    <xf numFmtId="3" fontId="74" fillId="0" borderId="0" xfId="69" applyNumberFormat="1" applyFont="1" applyAlignment="1">
      <alignment vertical="center"/>
    </xf>
    <xf numFmtId="3" fontId="84" fillId="0" borderId="0" xfId="69" applyNumberFormat="1" applyFont="1"/>
    <xf numFmtId="3" fontId="17" fillId="0" borderId="0" xfId="69" applyNumberFormat="1"/>
    <xf numFmtId="3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center"/>
    </xf>
    <xf numFmtId="3" fontId="5" fillId="0" borderId="13" xfId="0" applyNumberFormat="1" applyFont="1" applyBorder="1"/>
    <xf numFmtId="3" fontId="7" fillId="0" borderId="11" xfId="0" applyNumberFormat="1" applyFont="1" applyBorder="1" applyAlignment="1">
      <alignment horizontal="left"/>
    </xf>
    <xf numFmtId="3" fontId="5" fillId="0" borderId="11" xfId="0" applyNumberFormat="1" applyFont="1" applyBorder="1" applyAlignment="1">
      <alignment horizontal="left"/>
    </xf>
    <xf numFmtId="3" fontId="5" fillId="14" borderId="12" xfId="0" applyNumberFormat="1" applyFont="1" applyFill="1" applyBorder="1"/>
    <xf numFmtId="3" fontId="11" fillId="0" borderId="11" xfId="0" applyNumberFormat="1" applyFont="1" applyBorder="1"/>
    <xf numFmtId="3" fontId="5" fillId="14" borderId="11" xfId="0" applyNumberFormat="1" applyFont="1" applyFill="1" applyBorder="1"/>
    <xf numFmtId="3" fontId="5" fillId="0" borderId="12" xfId="0" applyNumberFormat="1" applyFont="1" applyBorder="1" applyAlignment="1">
      <alignment horizontal="left"/>
    </xf>
    <xf numFmtId="3" fontId="12" fillId="0" borderId="11" xfId="0" applyNumberFormat="1" applyFont="1" applyBorder="1"/>
    <xf numFmtId="3" fontId="12" fillId="0" borderId="12" xfId="0" applyNumberFormat="1" applyFont="1" applyBorder="1"/>
    <xf numFmtId="3" fontId="6" fillId="14" borderId="12" xfId="0" applyNumberFormat="1" applyFont="1" applyFill="1" applyBorder="1"/>
    <xf numFmtId="3" fontId="6" fillId="14" borderId="11" xfId="0" applyNumberFormat="1" applyFont="1" applyFill="1" applyBorder="1"/>
    <xf numFmtId="0" fontId="15" fillId="0" borderId="12" xfId="34" applyFont="1" applyBorder="1"/>
    <xf numFmtId="3" fontId="15" fillId="14" borderId="11" xfId="0" applyNumberFormat="1" applyFont="1" applyFill="1" applyBorder="1"/>
    <xf numFmtId="3" fontId="12" fillId="14" borderId="12" xfId="0" applyNumberFormat="1" applyFont="1" applyFill="1" applyBorder="1"/>
    <xf numFmtId="3" fontId="13" fillId="0" borderId="11" xfId="0" applyNumberFormat="1" applyFont="1" applyBorder="1"/>
    <xf numFmtId="3" fontId="5" fillId="0" borderId="0" xfId="0" applyNumberFormat="1" applyFont="1"/>
    <xf numFmtId="3" fontId="13" fillId="14" borderId="12" xfId="0" applyNumberFormat="1" applyFont="1" applyFill="1" applyBorder="1"/>
    <xf numFmtId="3" fontId="15" fillId="14" borderId="12" xfId="0" applyNumberFormat="1" applyFont="1" applyFill="1" applyBorder="1"/>
    <xf numFmtId="3" fontId="13" fillId="0" borderId="12" xfId="0" applyNumberFormat="1" applyFont="1" applyBorder="1"/>
    <xf numFmtId="3" fontId="10" fillId="14" borderId="12" xfId="0" applyNumberFormat="1" applyFont="1" applyFill="1" applyBorder="1"/>
    <xf numFmtId="3" fontId="10" fillId="0" borderId="0" xfId="0" applyNumberFormat="1" applyFont="1"/>
    <xf numFmtId="3" fontId="6" fillId="14" borderId="13" xfId="0" applyNumberFormat="1" applyFont="1" applyFill="1" applyBorder="1"/>
    <xf numFmtId="3" fontId="13" fillId="0" borderId="21" xfId="0" applyNumberFormat="1" applyFont="1" applyBorder="1"/>
    <xf numFmtId="3" fontId="13" fillId="14" borderId="21" xfId="0" applyNumberFormat="1" applyFont="1" applyFill="1" applyBorder="1"/>
    <xf numFmtId="3" fontId="11" fillId="0" borderId="14" xfId="0" applyNumberFormat="1" applyFont="1" applyBorder="1" applyAlignment="1">
      <alignment vertical="center"/>
    </xf>
    <xf numFmtId="3" fontId="11" fillId="14" borderId="15" xfId="0" applyNumberFormat="1" applyFont="1" applyFill="1" applyBorder="1" applyAlignment="1">
      <alignment vertical="center"/>
    </xf>
    <xf numFmtId="3" fontId="6" fillId="0" borderId="13" xfId="0" applyNumberFormat="1" applyFont="1" applyBorder="1"/>
    <xf numFmtId="3" fontId="11" fillId="0" borderId="15" xfId="0" applyNumberFormat="1" applyFont="1" applyBorder="1" applyAlignment="1">
      <alignment vertical="center"/>
    </xf>
    <xf numFmtId="3" fontId="15" fillId="14" borderId="15" xfId="0" applyNumberFormat="1" applyFont="1" applyFill="1" applyBorder="1" applyAlignment="1">
      <alignment vertical="center"/>
    </xf>
    <xf numFmtId="3" fontId="11" fillId="0" borderId="10" xfId="0" applyNumberFormat="1" applyFont="1" applyBorder="1" applyAlignment="1">
      <alignment vertical="center"/>
    </xf>
    <xf numFmtId="3" fontId="15" fillId="0" borderId="10" xfId="0" applyNumberFormat="1" applyFont="1" applyBorder="1" applyAlignment="1">
      <alignment vertical="center"/>
    </xf>
    <xf numFmtId="3" fontId="12" fillId="14" borderId="11" xfId="0" applyNumberFormat="1" applyFont="1" applyFill="1" applyBorder="1"/>
    <xf numFmtId="3" fontId="12" fillId="14" borderId="21" xfId="0" applyNumberFormat="1" applyFont="1" applyFill="1" applyBorder="1"/>
    <xf numFmtId="3" fontId="11" fillId="14" borderId="14" xfId="0" applyNumberFormat="1" applyFont="1" applyFill="1" applyBorder="1" applyAlignment="1">
      <alignment vertical="center"/>
    </xf>
    <xf numFmtId="3" fontId="15" fillId="0" borderId="18" xfId="0" applyNumberFormat="1" applyFont="1" applyBorder="1"/>
    <xf numFmtId="0" fontId="12" fillId="0" borderId="11" xfId="34" applyFont="1" applyBorder="1"/>
    <xf numFmtId="3" fontId="11" fillId="0" borderId="23" xfId="0" applyNumberFormat="1" applyFont="1" applyBorder="1" applyAlignment="1">
      <alignment vertical="center"/>
    </xf>
    <xf numFmtId="3" fontId="7" fillId="0" borderId="23" xfId="0" applyNumberFormat="1" applyFont="1" applyBorder="1"/>
    <xf numFmtId="3" fontId="15" fillId="14" borderId="14" xfId="0" applyNumberFormat="1" applyFont="1" applyFill="1" applyBorder="1"/>
    <xf numFmtId="3" fontId="5" fillId="0" borderId="18" xfId="0" applyNumberFormat="1" applyFont="1" applyBorder="1"/>
    <xf numFmtId="3" fontId="7" fillId="0" borderId="11" xfId="0" applyNumberFormat="1" applyFont="1" applyBorder="1"/>
    <xf numFmtId="3" fontId="7" fillId="14" borderId="11" xfId="0" applyNumberFormat="1" applyFont="1" applyFill="1" applyBorder="1"/>
    <xf numFmtId="3" fontId="9" fillId="0" borderId="0" xfId="0" applyNumberFormat="1" applyFont="1"/>
    <xf numFmtId="3" fontId="15" fillId="0" borderId="21" xfId="0" applyNumberFormat="1" applyFont="1" applyBorder="1"/>
    <xf numFmtId="3" fontId="11" fillId="0" borderId="14" xfId="0" applyNumberFormat="1" applyFont="1" applyBorder="1"/>
    <xf numFmtId="3" fontId="10" fillId="14" borderId="14" xfId="0" applyNumberFormat="1" applyFont="1" applyFill="1" applyBorder="1"/>
    <xf numFmtId="3" fontId="11" fillId="0" borderId="10" xfId="0" applyNumberFormat="1" applyFont="1" applyBorder="1"/>
    <xf numFmtId="3" fontId="10" fillId="14" borderId="10" xfId="0" applyNumberFormat="1" applyFont="1" applyFill="1" applyBorder="1"/>
    <xf numFmtId="3" fontId="7" fillId="14" borderId="12" xfId="0" applyNumberFormat="1" applyFont="1" applyFill="1" applyBorder="1"/>
    <xf numFmtId="3" fontId="6" fillId="14" borderId="21" xfId="0" applyNumberFormat="1" applyFont="1" applyFill="1" applyBorder="1"/>
    <xf numFmtId="3" fontId="12" fillId="14" borderId="14" xfId="0" applyNumberFormat="1" applyFont="1" applyFill="1" applyBorder="1"/>
    <xf numFmtId="3" fontId="0" fillId="14" borderId="10" xfId="0" applyNumberFormat="1" applyFill="1" applyBorder="1" applyAlignment="1">
      <alignment vertical="center"/>
    </xf>
    <xf numFmtId="3" fontId="12" fillId="14" borderId="13" xfId="0" applyNumberFormat="1" applyFont="1" applyFill="1" applyBorder="1"/>
    <xf numFmtId="9" fontId="15" fillId="0" borderId="0" xfId="0" applyNumberFormat="1" applyFont="1"/>
    <xf numFmtId="3" fontId="5" fillId="0" borderId="51" xfId="0" applyNumberFormat="1" applyFont="1" applyBorder="1" applyAlignment="1">
      <alignment horizontal="center"/>
    </xf>
    <xf numFmtId="3" fontId="6" fillId="0" borderId="50" xfId="0" applyNumberFormat="1" applyFont="1" applyBorder="1"/>
    <xf numFmtId="3" fontId="6" fillId="0" borderId="48" xfId="0" applyNumberFormat="1" applyFont="1" applyBorder="1"/>
    <xf numFmtId="3" fontId="5" fillId="0" borderId="49" xfId="0" applyNumberFormat="1" applyFont="1" applyBorder="1"/>
    <xf numFmtId="9" fontId="15" fillId="0" borderId="48" xfId="0" applyNumberFormat="1" applyFont="1" applyBorder="1"/>
    <xf numFmtId="3" fontId="6" fillId="0" borderId="51" xfId="0" applyNumberFormat="1" applyFont="1" applyBorder="1"/>
    <xf numFmtId="3" fontId="5" fillId="0" borderId="51" xfId="0" applyNumberFormat="1" applyFont="1" applyBorder="1"/>
    <xf numFmtId="3" fontId="6" fillId="0" borderId="49" xfId="0" applyNumberFormat="1" applyFont="1" applyBorder="1"/>
    <xf numFmtId="3" fontId="12" fillId="0" borderId="51" xfId="0" applyNumberFormat="1" applyFont="1" applyBorder="1"/>
    <xf numFmtId="3" fontId="15" fillId="0" borderId="49" xfId="0" applyNumberFormat="1" applyFont="1" applyBorder="1"/>
    <xf numFmtId="3" fontId="5" fillId="0" borderId="47" xfId="0" applyNumberFormat="1" applyFont="1" applyBorder="1"/>
    <xf numFmtId="3" fontId="10" fillId="0" borderId="51" xfId="0" applyNumberFormat="1" applyFont="1" applyBorder="1"/>
    <xf numFmtId="3" fontId="6" fillId="0" borderId="68" xfId="0" applyNumberFormat="1" applyFont="1" applyBorder="1"/>
    <xf numFmtId="3" fontId="6" fillId="0" borderId="69" xfId="0" applyNumberFormat="1" applyFont="1" applyBorder="1"/>
    <xf numFmtId="9" fontId="12" fillId="0" borderId="70" xfId="0" applyNumberFormat="1" applyFont="1" applyBorder="1"/>
    <xf numFmtId="3" fontId="11" fillId="0" borderId="71" xfId="0" applyNumberFormat="1" applyFont="1" applyBorder="1" applyAlignment="1">
      <alignment vertical="center"/>
    </xf>
    <xf numFmtId="9" fontId="15" fillId="0" borderId="37" xfId="0" applyNumberFormat="1" applyFont="1" applyBorder="1"/>
    <xf numFmtId="3" fontId="15" fillId="0" borderId="51" xfId="0" applyNumberFormat="1" applyFont="1" applyBorder="1"/>
    <xf numFmtId="9" fontId="15" fillId="0" borderId="50" xfId="0" applyNumberFormat="1" applyFont="1" applyBorder="1"/>
    <xf numFmtId="3" fontId="11" fillId="0" borderId="42" xfId="0" applyNumberFormat="1" applyFont="1" applyBorder="1" applyAlignment="1">
      <alignment vertical="center"/>
    </xf>
    <xf numFmtId="3" fontId="11" fillId="0" borderId="45" xfId="0" applyNumberFormat="1" applyFont="1" applyBorder="1" applyAlignment="1">
      <alignment vertical="center"/>
    </xf>
    <xf numFmtId="3" fontId="12" fillId="0" borderId="49" xfId="0" applyNumberFormat="1" applyFont="1" applyBorder="1"/>
    <xf numFmtId="3" fontId="12" fillId="0" borderId="69" xfId="0" applyNumberFormat="1" applyFont="1" applyBorder="1"/>
    <xf numFmtId="3" fontId="15" fillId="0" borderId="42" xfId="0" applyNumberFormat="1" applyFont="1" applyBorder="1" applyAlignment="1">
      <alignment vertical="center"/>
    </xf>
    <xf numFmtId="3" fontId="15" fillId="0" borderId="72" xfId="0" applyNumberFormat="1" applyFont="1" applyBorder="1"/>
    <xf numFmtId="9" fontId="15" fillId="0" borderId="73" xfId="0" applyNumberFormat="1" applyFont="1" applyBorder="1"/>
    <xf numFmtId="3" fontId="15" fillId="0" borderId="42" xfId="0" applyNumberFormat="1" applyFont="1" applyBorder="1"/>
    <xf numFmtId="3" fontId="7" fillId="0" borderId="49" xfId="0" applyNumberFormat="1" applyFont="1" applyBorder="1"/>
    <xf numFmtId="3" fontId="15" fillId="0" borderId="69" xfId="0" applyNumberFormat="1" applyFont="1" applyBorder="1"/>
    <xf numFmtId="3" fontId="10" fillId="0" borderId="42" xfId="0" applyNumberFormat="1" applyFont="1" applyBorder="1"/>
    <xf numFmtId="3" fontId="10" fillId="0" borderId="45" xfId="0" applyNumberFormat="1" applyFont="1" applyBorder="1"/>
    <xf numFmtId="3" fontId="13" fillId="0" borderId="49" xfId="0" applyNumberFormat="1" applyFont="1" applyBorder="1"/>
    <xf numFmtId="9" fontId="12" fillId="0" borderId="37" xfId="0" applyNumberFormat="1" applyFont="1" applyBorder="1"/>
    <xf numFmtId="9" fontId="71" fillId="0" borderId="46" xfId="0" applyNumberFormat="1" applyFont="1" applyBorder="1" applyAlignment="1">
      <alignment vertical="center"/>
    </xf>
    <xf numFmtId="0" fontId="60" fillId="0" borderId="10" xfId="0" applyFont="1" applyBorder="1"/>
    <xf numFmtId="0" fontId="61" fillId="0" borderId="10" xfId="0" applyFont="1" applyBorder="1"/>
    <xf numFmtId="3" fontId="14" fillId="0" borderId="11" xfId="0" applyNumberFormat="1" applyFont="1" applyBorder="1" applyAlignment="1">
      <alignment horizontal="right" vertical="center"/>
    </xf>
    <xf numFmtId="9" fontId="12" fillId="0" borderId="11" xfId="0" applyNumberFormat="1" applyFont="1" applyBorder="1" applyAlignment="1">
      <alignment horizontal="right" vertical="center"/>
    </xf>
    <xf numFmtId="0" fontId="17" fillId="0" borderId="0" xfId="71"/>
    <xf numFmtId="0" fontId="3" fillId="0" borderId="0" xfId="72"/>
    <xf numFmtId="0" fontId="11" fillId="0" borderId="0" xfId="73" applyFont="1" applyAlignment="1">
      <alignment horizontal="center"/>
    </xf>
    <xf numFmtId="0" fontId="17" fillId="0" borderId="12" xfId="71" applyBorder="1" applyAlignment="1">
      <alignment vertical="center"/>
    </xf>
    <xf numFmtId="0" fontId="87" fillId="0" borderId="0" xfId="72" applyFont="1"/>
    <xf numFmtId="0" fontId="76" fillId="0" borderId="0" xfId="71" applyFont="1" applyAlignment="1">
      <alignment vertical="center"/>
    </xf>
    <xf numFmtId="0" fontId="17" fillId="0" borderId="0" xfId="71" applyAlignment="1">
      <alignment horizontal="right" vertical="center"/>
    </xf>
    <xf numFmtId="0" fontId="12" fillId="0" borderId="20" xfId="0" applyFont="1" applyBorder="1" applyAlignment="1">
      <alignment horizontal="left" vertical="center"/>
    </xf>
    <xf numFmtId="3" fontId="12" fillId="0" borderId="10" xfId="42" applyNumberFormat="1" applyFont="1" applyBorder="1"/>
    <xf numFmtId="3" fontId="16" fillId="0" borderId="12" xfId="0" applyNumberFormat="1" applyFont="1" applyBorder="1" applyAlignment="1">
      <alignment horizontal="right"/>
    </xf>
    <xf numFmtId="3" fontId="14" fillId="0" borderId="13" xfId="0" applyNumberFormat="1" applyFont="1" applyBorder="1" applyAlignment="1">
      <alignment horizontal="right"/>
    </xf>
    <xf numFmtId="9" fontId="12" fillId="0" borderId="13" xfId="0" applyNumberFormat="1" applyFont="1" applyBorder="1" applyAlignment="1">
      <alignment horizontal="right"/>
    </xf>
    <xf numFmtId="3" fontId="39" fillId="0" borderId="37" xfId="0" applyNumberFormat="1" applyFont="1" applyBorder="1" applyAlignment="1">
      <alignment horizontal="center"/>
    </xf>
    <xf numFmtId="3" fontId="12" fillId="0" borderId="12" xfId="0" applyNumberFormat="1" applyFont="1" applyBorder="1" applyAlignment="1">
      <alignment horizontal="right"/>
    </xf>
    <xf numFmtId="3" fontId="12" fillId="0" borderId="13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3" xfId="0" applyNumberFormat="1" applyFont="1" applyBorder="1" applyAlignment="1">
      <alignment horizontal="right"/>
    </xf>
    <xf numFmtId="0" fontId="7" fillId="0" borderId="37" xfId="0" applyFont="1" applyBorder="1" applyAlignment="1">
      <alignment horizontal="center"/>
    </xf>
    <xf numFmtId="9" fontId="6" fillId="0" borderId="10" xfId="41" applyFont="1" applyFill="1" applyBorder="1"/>
    <xf numFmtId="9" fontId="6" fillId="0" borderId="14" xfId="41" applyFont="1" applyFill="1" applyBorder="1"/>
    <xf numFmtId="3" fontId="3" fillId="0" borderId="0" xfId="72" applyNumberFormat="1"/>
    <xf numFmtId="43" fontId="4" fillId="0" borderId="0" xfId="26" applyAlignment="1">
      <alignment vertical="center"/>
    </xf>
    <xf numFmtId="0" fontId="12" fillId="0" borderId="13" xfId="34" applyFont="1" applyBorder="1"/>
    <xf numFmtId="3" fontId="79" fillId="0" borderId="13" xfId="69" applyNumberFormat="1" applyFont="1" applyBorder="1"/>
    <xf numFmtId="0" fontId="37" fillId="0" borderId="42" xfId="34" applyFont="1" applyBorder="1"/>
    <xf numFmtId="0" fontId="17" fillId="0" borderId="0" xfId="76"/>
    <xf numFmtId="0" fontId="74" fillId="0" borderId="0" xfId="76" applyFont="1" applyAlignment="1">
      <alignment horizontal="center"/>
    </xf>
    <xf numFmtId="0" fontId="88" fillId="0" borderId="0" xfId="76" applyFont="1"/>
    <xf numFmtId="3" fontId="88" fillId="0" borderId="26" xfId="76" applyNumberFormat="1" applyFont="1" applyBorder="1"/>
    <xf numFmtId="0" fontId="17" fillId="0" borderId="0" xfId="76" applyAlignment="1">
      <alignment horizontal="center" vertical="center"/>
    </xf>
    <xf numFmtId="0" fontId="91" fillId="0" borderId="0" xfId="76" applyFont="1" applyAlignment="1">
      <alignment horizontal="center" vertical="center" wrapText="1"/>
    </xf>
    <xf numFmtId="0" fontId="88" fillId="0" borderId="0" xfId="76" applyFont="1" applyAlignment="1">
      <alignment horizontal="center" vertical="center"/>
    </xf>
    <xf numFmtId="0" fontId="17" fillId="0" borderId="0" xfId="79"/>
    <xf numFmtId="0" fontId="11" fillId="0" borderId="0" xfId="77" applyFont="1" applyAlignment="1">
      <alignment horizontal="right"/>
    </xf>
    <xf numFmtId="0" fontId="92" fillId="0" borderId="10" xfId="79" applyFont="1" applyBorder="1"/>
    <xf numFmtId="0" fontId="17" fillId="0" borderId="0" xfId="80"/>
    <xf numFmtId="0" fontId="96" fillId="0" borderId="11" xfId="80" applyFont="1" applyBorder="1" applyAlignment="1">
      <alignment horizontal="center" vertical="center" wrapText="1"/>
    </xf>
    <xf numFmtId="3" fontId="76" fillId="0" borderId="12" xfId="80" applyNumberFormat="1" applyFont="1" applyBorder="1" applyAlignment="1">
      <alignment vertical="center"/>
    </xf>
    <xf numFmtId="0" fontId="0" fillId="0" borderId="12" xfId="0" applyBorder="1" applyAlignment="1">
      <alignment horizontal="left" vertical="center"/>
    </xf>
    <xf numFmtId="3" fontId="17" fillId="0" borderId="0" xfId="80" applyNumberFormat="1"/>
    <xf numFmtId="0" fontId="95" fillId="0" borderId="0" xfId="0" applyFont="1" applyAlignment="1">
      <alignment horizontal="center"/>
    </xf>
    <xf numFmtId="0" fontId="96" fillId="0" borderId="12" xfId="0" applyFont="1" applyBorder="1" applyAlignment="1">
      <alignment horizontal="center" vertical="center" wrapText="1"/>
    </xf>
    <xf numFmtId="0" fontId="96" fillId="0" borderId="11" xfId="80" applyFont="1" applyBorder="1" applyAlignment="1">
      <alignment vertical="center" wrapText="1"/>
    </xf>
    <xf numFmtId="3" fontId="0" fillId="0" borderId="12" xfId="0" applyNumberFormat="1" applyBorder="1" applyAlignment="1">
      <alignment vertical="center"/>
    </xf>
    <xf numFmtId="0" fontId="0" fillId="0" borderId="12" xfId="0" applyBorder="1"/>
    <xf numFmtId="0" fontId="4" fillId="0" borderId="0" xfId="78"/>
    <xf numFmtId="0" fontId="4" fillId="0" borderId="74" xfId="78" applyBorder="1"/>
    <xf numFmtId="0" fontId="15" fillId="0" borderId="74" xfId="77" applyFont="1" applyBorder="1" applyAlignment="1">
      <alignment horizontal="right"/>
    </xf>
    <xf numFmtId="0" fontId="99" fillId="0" borderId="76" xfId="78" applyFont="1" applyBorder="1"/>
    <xf numFmtId="0" fontId="99" fillId="0" borderId="76" xfId="78" applyFont="1" applyBorder="1" applyAlignment="1">
      <alignment horizontal="center"/>
    </xf>
    <xf numFmtId="0" fontId="98" fillId="0" borderId="23" xfId="78" applyFont="1" applyBorder="1"/>
    <xf numFmtId="3" fontId="81" fillId="0" borderId="14" xfId="78" applyNumberFormat="1" applyFont="1" applyBorder="1"/>
    <xf numFmtId="0" fontId="98" fillId="0" borderId="30" xfId="78" applyFont="1" applyBorder="1" applyAlignment="1">
      <alignment horizontal="left"/>
    </xf>
    <xf numFmtId="0" fontId="86" fillId="0" borderId="76" xfId="78" applyFont="1" applyBorder="1"/>
    <xf numFmtId="0" fontId="86" fillId="0" borderId="35" xfId="78" applyFont="1" applyBorder="1"/>
    <xf numFmtId="3" fontId="4" fillId="0" borderId="0" xfId="78" applyNumberFormat="1"/>
    <xf numFmtId="0" fontId="99" fillId="0" borderId="23" xfId="78" applyFont="1" applyBorder="1"/>
    <xf numFmtId="0" fontId="17" fillId="0" borderId="0" xfId="82"/>
    <xf numFmtId="0" fontId="17" fillId="0" borderId="0" xfId="82" applyAlignment="1">
      <alignment vertical="center"/>
    </xf>
    <xf numFmtId="9" fontId="17" fillId="0" borderId="0" xfId="82" applyNumberFormat="1"/>
    <xf numFmtId="3" fontId="14" fillId="14" borderId="11" xfId="0" applyNumberFormat="1" applyFont="1" applyFill="1" applyBorder="1" applyAlignment="1">
      <alignment horizontal="right"/>
    </xf>
    <xf numFmtId="3" fontId="65" fillId="0" borderId="12" xfId="0" applyNumberFormat="1" applyFont="1" applyBorder="1"/>
    <xf numFmtId="3" fontId="100" fillId="0" borderId="12" xfId="0" applyNumberFormat="1" applyFont="1" applyBorder="1"/>
    <xf numFmtId="3" fontId="101" fillId="0" borderId="12" xfId="0" applyNumberFormat="1" applyFont="1" applyBorder="1"/>
    <xf numFmtId="43" fontId="6" fillId="0" borderId="0" xfId="26" applyFont="1" applyAlignment="1">
      <alignment horizontal="right"/>
    </xf>
    <xf numFmtId="0" fontId="12" fillId="0" borderId="12" xfId="0" applyFont="1" applyBorder="1" applyAlignment="1">
      <alignment horizontal="left" vertical="center"/>
    </xf>
    <xf numFmtId="9" fontId="6" fillId="0" borderId="16" xfId="41" applyFont="1" applyFill="1" applyBorder="1"/>
    <xf numFmtId="0" fontId="5" fillId="0" borderId="12" xfId="0" applyFont="1" applyBorder="1" applyAlignment="1">
      <alignment horizontal="left" vertical="top"/>
    </xf>
    <xf numFmtId="3" fontId="5" fillId="0" borderId="22" xfId="0" applyNumberFormat="1" applyFont="1" applyBorder="1" applyAlignment="1">
      <alignment horizontal="right"/>
    </xf>
    <xf numFmtId="0" fontId="76" fillId="0" borderId="0" xfId="71" applyFont="1" applyAlignment="1">
      <alignment horizontal="right"/>
    </xf>
    <xf numFmtId="166" fontId="3" fillId="0" borderId="0" xfId="72" applyNumberFormat="1"/>
    <xf numFmtId="3" fontId="13" fillId="0" borderId="16" xfId="35" applyNumberFormat="1" applyFont="1" applyBorder="1" applyAlignment="1">
      <alignment horizontal="right" vertical="center"/>
    </xf>
    <xf numFmtId="0" fontId="12" fillId="0" borderId="10" xfId="35" applyFont="1" applyBorder="1" applyAlignment="1">
      <alignment horizontal="right" vertical="center"/>
    </xf>
    <xf numFmtId="0" fontId="5" fillId="0" borderId="15" xfId="35" applyFont="1" applyBorder="1" applyAlignment="1">
      <alignment horizontal="right" vertical="center"/>
    </xf>
    <xf numFmtId="3" fontId="6" fillId="0" borderId="10" xfId="35" applyNumberFormat="1" applyFont="1" applyBorder="1" applyAlignment="1">
      <alignment horizontal="right" vertical="center"/>
    </xf>
    <xf numFmtId="3" fontId="9" fillId="0" borderId="10" xfId="35" applyNumberFormat="1" applyFont="1" applyBorder="1" applyAlignment="1">
      <alignment horizontal="right" vertical="center"/>
    </xf>
    <xf numFmtId="3" fontId="5" fillId="0" borderId="15" xfId="35" applyNumberFormat="1" applyFont="1" applyBorder="1" applyAlignment="1">
      <alignment horizontal="right" vertical="center"/>
    </xf>
    <xf numFmtId="3" fontId="5" fillId="0" borderId="14" xfId="35" applyNumberFormat="1" applyFont="1" applyBorder="1" applyAlignment="1">
      <alignment horizontal="right" vertical="center"/>
    </xf>
    <xf numFmtId="3" fontId="6" fillId="0" borderId="29" xfId="35" applyNumberFormat="1" applyFont="1" applyBorder="1" applyAlignment="1">
      <alignment horizontal="right" vertical="center"/>
    </xf>
    <xf numFmtId="3" fontId="5" fillId="0" borderId="29" xfId="35" applyNumberFormat="1" applyFont="1" applyBorder="1" applyAlignment="1">
      <alignment horizontal="right" vertical="center"/>
    </xf>
    <xf numFmtId="3" fontId="6" fillId="0" borderId="16" xfId="35" applyNumberFormat="1" applyFont="1" applyBorder="1" applyAlignment="1">
      <alignment horizontal="right" vertical="center"/>
    </xf>
    <xf numFmtId="3" fontId="12" fillId="0" borderId="16" xfId="35" applyNumberFormat="1" applyFont="1" applyBorder="1" applyAlignment="1">
      <alignment horizontal="right" vertical="center"/>
    </xf>
    <xf numFmtId="3" fontId="5" fillId="0" borderId="30" xfId="35" applyNumberFormat="1" applyFont="1" applyBorder="1" applyAlignment="1">
      <alignment horizontal="right" vertical="center"/>
    </xf>
    <xf numFmtId="0" fontId="12" fillId="0" borderId="29" xfId="35" applyFont="1" applyBorder="1" applyAlignment="1">
      <alignment vertical="center"/>
    </xf>
    <xf numFmtId="0" fontId="15" fillId="0" borderId="14" xfId="35" applyFont="1" applyBorder="1" applyAlignment="1">
      <alignment horizontal="right" vertical="center"/>
    </xf>
    <xf numFmtId="3" fontId="9" fillId="0" borderId="16" xfId="35" applyNumberFormat="1" applyFont="1" applyBorder="1" applyAlignment="1">
      <alignment horizontal="right" vertical="center"/>
    </xf>
    <xf numFmtId="3" fontId="12" fillId="0" borderId="14" xfId="35" applyNumberFormat="1" applyFont="1" applyBorder="1" applyAlignment="1">
      <alignment horizontal="right" vertical="center"/>
    </xf>
    <xf numFmtId="3" fontId="15" fillId="0" borderId="29" xfId="35" applyNumberFormat="1" applyFont="1" applyBorder="1" applyAlignment="1">
      <alignment horizontal="right" vertical="center"/>
    </xf>
    <xf numFmtId="0" fontId="5" fillId="0" borderId="29" xfId="35" applyFont="1" applyBorder="1" applyAlignment="1">
      <alignment vertical="center"/>
    </xf>
    <xf numFmtId="3" fontId="12" fillId="0" borderId="29" xfId="35" applyNumberFormat="1" applyFont="1" applyBorder="1" applyAlignment="1">
      <alignment horizontal="right" vertical="center"/>
    </xf>
    <xf numFmtId="0" fontId="15" fillId="0" borderId="29" xfId="35" applyFont="1" applyBorder="1" applyAlignment="1">
      <alignment vertical="center"/>
    </xf>
    <xf numFmtId="3" fontId="6" fillId="0" borderId="14" xfId="35" applyNumberFormat="1" applyFont="1" applyBorder="1" applyAlignment="1">
      <alignment horizontal="right" vertical="center"/>
    </xf>
    <xf numFmtId="3" fontId="5" fillId="0" borderId="29" xfId="35" applyNumberFormat="1" applyFont="1" applyBorder="1" applyAlignment="1">
      <alignment vertical="center"/>
    </xf>
    <xf numFmtId="3" fontId="15" fillId="0" borderId="30" xfId="35" applyNumberFormat="1" applyFont="1" applyBorder="1" applyAlignment="1">
      <alignment horizontal="right" vertical="center"/>
    </xf>
    <xf numFmtId="3" fontId="12" fillId="0" borderId="16" xfId="35" applyNumberFormat="1" applyFont="1" applyBorder="1" applyAlignment="1" applyProtection="1">
      <alignment horizontal="right" vertical="center"/>
      <protection locked="0"/>
    </xf>
    <xf numFmtId="3" fontId="12" fillId="0" borderId="29" xfId="35" applyNumberFormat="1" applyFont="1" applyBorder="1" applyAlignment="1">
      <alignment vertical="center"/>
    </xf>
    <xf numFmtId="3" fontId="79" fillId="0" borderId="16" xfId="35" applyNumberFormat="1" applyFont="1" applyBorder="1" applyAlignment="1">
      <alignment horizontal="right" vertical="center"/>
    </xf>
    <xf numFmtId="3" fontId="15" fillId="0" borderId="16" xfId="35" applyNumberFormat="1" applyFont="1" applyBorder="1" applyAlignment="1">
      <alignment horizontal="right" vertical="center"/>
    </xf>
    <xf numFmtId="3" fontId="13" fillId="0" borderId="10" xfId="35" applyNumberFormat="1" applyFont="1" applyBorder="1" applyAlignment="1">
      <alignment horizontal="right" vertical="center"/>
    </xf>
    <xf numFmtId="3" fontId="15" fillId="0" borderId="30" xfId="68" applyNumberFormat="1" applyFont="1" applyBorder="1" applyAlignment="1">
      <alignment horizontal="right" vertical="center"/>
    </xf>
    <xf numFmtId="0" fontId="12" fillId="0" borderId="29" xfId="35" applyFont="1" applyBorder="1" applyAlignment="1">
      <alignment horizontal="right" vertical="center"/>
    </xf>
    <xf numFmtId="3" fontId="12" fillId="0" borderId="10" xfId="35" applyNumberFormat="1" applyFont="1" applyBorder="1" applyAlignment="1">
      <alignment horizontal="right" vertical="center"/>
    </xf>
    <xf numFmtId="3" fontId="12" fillId="0" borderId="10" xfId="35" applyNumberFormat="1" applyFont="1" applyBorder="1" applyAlignment="1">
      <alignment vertical="center"/>
    </xf>
    <xf numFmtId="3" fontId="15" fillId="0" borderId="14" xfId="35" applyNumberFormat="1" applyFont="1" applyBorder="1" applyAlignment="1">
      <alignment vertical="center"/>
    </xf>
    <xf numFmtId="3" fontId="12" fillId="0" borderId="23" xfId="35" applyNumberFormat="1" applyFont="1" applyBorder="1" applyAlignment="1">
      <alignment vertical="center"/>
    </xf>
    <xf numFmtId="3" fontId="15" fillId="0" borderId="15" xfId="35" applyNumberFormat="1" applyFont="1" applyBorder="1" applyAlignment="1">
      <alignment horizontal="right" vertical="center"/>
    </xf>
    <xf numFmtId="3" fontId="13" fillId="0" borderId="24" xfId="35" applyNumberFormat="1" applyFont="1" applyBorder="1" applyAlignment="1">
      <alignment horizontal="right" vertical="center"/>
    </xf>
    <xf numFmtId="3" fontId="12" fillId="0" borderId="16" xfId="35" applyNumberFormat="1" applyFont="1" applyBorder="1" applyAlignment="1">
      <alignment vertical="center"/>
    </xf>
    <xf numFmtId="3" fontId="4" fillId="0" borderId="0" xfId="35" applyNumberFormat="1" applyAlignment="1">
      <alignment vertical="center"/>
    </xf>
    <xf numFmtId="0" fontId="16" fillId="0" borderId="41" xfId="0" applyFont="1" applyBorder="1" applyAlignment="1">
      <alignment horizontal="center"/>
    </xf>
    <xf numFmtId="3" fontId="39" fillId="0" borderId="43" xfId="0" applyNumberFormat="1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3" fontId="5" fillId="0" borderId="43" xfId="0" applyNumberFormat="1" applyFont="1" applyBorder="1" applyAlignment="1">
      <alignment horizontal="center"/>
    </xf>
    <xf numFmtId="3" fontId="5" fillId="0" borderId="20" xfId="0" applyNumberFormat="1" applyFont="1" applyBorder="1" applyAlignment="1">
      <alignment horizontal="left"/>
    </xf>
    <xf numFmtId="3" fontId="5" fillId="0" borderId="20" xfId="0" applyNumberFormat="1" applyFont="1" applyBorder="1" applyAlignment="1">
      <alignment horizontal="center"/>
    </xf>
    <xf numFmtId="3" fontId="6" fillId="0" borderId="23" xfId="0" applyNumberFormat="1" applyFont="1" applyBorder="1"/>
    <xf numFmtId="3" fontId="5" fillId="0" borderId="14" xfId="0" applyNumberFormat="1" applyFont="1" applyBorder="1"/>
    <xf numFmtId="9" fontId="15" fillId="0" borderId="14" xfId="41" applyFont="1" applyFill="1" applyBorder="1"/>
    <xf numFmtId="3" fontId="5" fillId="0" borderId="20" xfId="0" applyNumberFormat="1" applyFont="1" applyBorder="1"/>
    <xf numFmtId="0" fontId="5" fillId="0" borderId="26" xfId="0" applyFont="1" applyBorder="1"/>
    <xf numFmtId="3" fontId="6" fillId="0" borderId="20" xfId="0" applyNumberFormat="1" applyFont="1" applyBorder="1"/>
    <xf numFmtId="3" fontId="103" fillId="0" borderId="20" xfId="0" applyNumberFormat="1" applyFont="1" applyBorder="1"/>
    <xf numFmtId="3" fontId="102" fillId="0" borderId="20" xfId="0" applyNumberFormat="1" applyFont="1" applyBorder="1"/>
    <xf numFmtId="3" fontId="13" fillId="0" borderId="20" xfId="0" applyNumberFormat="1" applyFont="1" applyBorder="1"/>
    <xf numFmtId="3" fontId="5" fillId="0" borderId="15" xfId="0" applyNumberFormat="1" applyFont="1" applyBorder="1"/>
    <xf numFmtId="9" fontId="15" fillId="0" borderId="15" xfId="41" applyFont="1" applyFill="1" applyBorder="1"/>
    <xf numFmtId="0" fontId="15" fillId="0" borderId="43" xfId="0" applyFont="1" applyBorder="1"/>
    <xf numFmtId="3" fontId="12" fillId="0" borderId="20" xfId="0" applyNumberFormat="1" applyFont="1" applyBorder="1"/>
    <xf numFmtId="0" fontId="5" fillId="0" borderId="43" xfId="0" applyFont="1" applyBorder="1"/>
    <xf numFmtId="0" fontId="16" fillId="0" borderId="10" xfId="0" applyFont="1" applyBorder="1"/>
    <xf numFmtId="3" fontId="16" fillId="0" borderId="20" xfId="0" applyNumberFormat="1" applyFont="1" applyBorder="1"/>
    <xf numFmtId="3" fontId="14" fillId="0" borderId="20" xfId="0" applyNumberFormat="1" applyFont="1" applyBorder="1"/>
    <xf numFmtId="0" fontId="40" fillId="0" borderId="10" xfId="0" applyFont="1" applyBorder="1"/>
    <xf numFmtId="0" fontId="16" fillId="0" borderId="26" xfId="0" applyFont="1" applyBorder="1"/>
    <xf numFmtId="0" fontId="0" fillId="0" borderId="0" xfId="0" applyAlignment="1">
      <alignment vertical="center"/>
    </xf>
    <xf numFmtId="3" fontId="88" fillId="0" borderId="12" xfId="76" applyNumberFormat="1" applyFont="1" applyBorder="1"/>
    <xf numFmtId="3" fontId="89" fillId="0" borderId="13" xfId="76" applyNumberFormat="1" applyFont="1" applyBorder="1"/>
    <xf numFmtId="3" fontId="88" fillId="0" borderId="18" xfId="76" applyNumberFormat="1" applyFont="1" applyBorder="1"/>
    <xf numFmtId="3" fontId="89" fillId="0" borderId="21" xfId="76" applyNumberFormat="1" applyFont="1" applyBorder="1"/>
    <xf numFmtId="3" fontId="82" fillId="0" borderId="18" xfId="76" applyNumberFormat="1" applyFont="1" applyBorder="1"/>
    <xf numFmtId="3" fontId="82" fillId="0" borderId="12" xfId="76" applyNumberFormat="1" applyFont="1" applyBorder="1"/>
    <xf numFmtId="3" fontId="82" fillId="0" borderId="12" xfId="76" applyNumberFormat="1" applyFont="1" applyBorder="1" applyAlignment="1">
      <alignment vertical="center"/>
    </xf>
    <xf numFmtId="3" fontId="82" fillId="0" borderId="21" xfId="76" applyNumberFormat="1" applyFont="1" applyBorder="1" applyAlignment="1">
      <alignment vertical="center"/>
    </xf>
    <xf numFmtId="3" fontId="82" fillId="0" borderId="11" xfId="76" applyNumberFormat="1" applyFont="1" applyBorder="1" applyAlignment="1">
      <alignment vertical="center"/>
    </xf>
    <xf numFmtId="0" fontId="89" fillId="0" borderId="12" xfId="76" applyFont="1" applyBorder="1"/>
    <xf numFmtId="0" fontId="88" fillId="0" borderId="12" xfId="76" applyFont="1" applyBorder="1"/>
    <xf numFmtId="3" fontId="104" fillId="0" borderId="12" xfId="76" applyNumberFormat="1" applyFont="1" applyBorder="1" applyAlignment="1">
      <alignment vertical="center"/>
    </xf>
    <xf numFmtId="0" fontId="89" fillId="0" borderId="21" xfId="76" applyFont="1" applyBorder="1"/>
    <xf numFmtId="0" fontId="88" fillId="0" borderId="21" xfId="76" applyFont="1" applyBorder="1"/>
    <xf numFmtId="3" fontId="104" fillId="0" borderId="14" xfId="76" applyNumberFormat="1" applyFont="1" applyBorder="1"/>
    <xf numFmtId="0" fontId="0" fillId="0" borderId="0" xfId="0" applyAlignment="1">
      <alignment vertical="center" wrapText="1"/>
    </xf>
    <xf numFmtId="0" fontId="11" fillId="0" borderId="0" xfId="0" applyFont="1"/>
    <xf numFmtId="0" fontId="83" fillId="0" borderId="12" xfId="0" applyFont="1" applyBorder="1" applyAlignment="1">
      <alignment vertical="center" wrapText="1"/>
    </xf>
    <xf numFmtId="0" fontId="74" fillId="0" borderId="12" xfId="0" applyFont="1" applyBorder="1" applyAlignment="1">
      <alignment vertical="center" wrapText="1"/>
    </xf>
    <xf numFmtId="3" fontId="17" fillId="0" borderId="12" xfId="80" applyNumberFormat="1" applyBorder="1" applyAlignment="1">
      <alignment vertical="center"/>
    </xf>
    <xf numFmtId="0" fontId="105" fillId="0" borderId="0" xfId="80" applyFont="1" applyAlignment="1">
      <alignment vertical="center"/>
    </xf>
    <xf numFmtId="0" fontId="17" fillId="0" borderId="12" xfId="80" applyBorder="1" applyAlignment="1">
      <alignment horizontal="left" vertical="center" wrapText="1"/>
    </xf>
    <xf numFmtId="3" fontId="17" fillId="0" borderId="12" xfId="80" applyNumberFormat="1" applyBorder="1" applyAlignment="1">
      <alignment horizontal="right" vertical="center" wrapText="1"/>
    </xf>
    <xf numFmtId="3" fontId="17" fillId="14" borderId="12" xfId="80" applyNumberFormat="1" applyFill="1" applyBorder="1" applyAlignment="1">
      <alignment horizontal="right" vertical="center" wrapText="1"/>
    </xf>
    <xf numFmtId="0" fontId="17" fillId="0" borderId="12" xfId="80" applyBorder="1" applyAlignment="1">
      <alignment vertical="center"/>
    </xf>
    <xf numFmtId="3" fontId="17" fillId="14" borderId="12" xfId="80" applyNumberFormat="1" applyFill="1" applyBorder="1" applyAlignment="1">
      <alignment vertical="center"/>
    </xf>
    <xf numFmtId="3" fontId="17" fillId="0" borderId="12" xfId="80" applyNumberForma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17" fillId="0" borderId="12" xfId="80" applyBorder="1" applyAlignment="1">
      <alignment vertical="center" wrapText="1"/>
    </xf>
    <xf numFmtId="3" fontId="73" fillId="0" borderId="15" xfId="0" applyNumberFormat="1" applyFont="1" applyBorder="1" applyAlignment="1">
      <alignment vertical="center" wrapText="1"/>
    </xf>
    <xf numFmtId="9" fontId="58" fillId="0" borderId="37" xfId="35" applyNumberFormat="1" applyFont="1" applyBorder="1" applyAlignment="1">
      <alignment horizontal="right" vertical="center"/>
    </xf>
    <xf numFmtId="0" fontId="17" fillId="0" borderId="0" xfId="83"/>
    <xf numFmtId="0" fontId="1" fillId="0" borderId="0" xfId="84"/>
    <xf numFmtId="0" fontId="17" fillId="0" borderId="0" xfId="83" applyAlignment="1">
      <alignment horizontal="center"/>
    </xf>
    <xf numFmtId="0" fontId="86" fillId="0" borderId="22" xfId="83" applyFont="1" applyBorder="1"/>
    <xf numFmtId="3" fontId="86" fillId="0" borderId="12" xfId="83" applyNumberFormat="1" applyFont="1" applyBorder="1" applyAlignment="1">
      <alignment horizontal="right"/>
    </xf>
    <xf numFmtId="9" fontId="1" fillId="0" borderId="0" xfId="84" applyNumberFormat="1"/>
    <xf numFmtId="3" fontId="86" fillId="0" borderId="12" xfId="83" applyNumberFormat="1" applyFont="1" applyBorder="1"/>
    <xf numFmtId="3" fontId="86" fillId="0" borderId="22" xfId="83" applyNumberFormat="1" applyFont="1" applyBorder="1"/>
    <xf numFmtId="3" fontId="106" fillId="0" borderId="22" xfId="83" applyNumberFormat="1" applyFont="1" applyBorder="1"/>
    <xf numFmtId="3" fontId="106" fillId="0" borderId="12" xfId="83" applyNumberFormat="1" applyFont="1" applyBorder="1"/>
    <xf numFmtId="3" fontId="86" fillId="0" borderId="22" xfId="83" applyNumberFormat="1" applyFont="1" applyBorder="1" applyAlignment="1">
      <alignment horizontal="right"/>
    </xf>
    <xf numFmtId="3" fontId="86" fillId="0" borderId="13" xfId="83" applyNumberFormat="1" applyFont="1" applyBorder="1" applyAlignment="1">
      <alignment horizontal="right"/>
    </xf>
    <xf numFmtId="0" fontId="84" fillId="0" borderId="0" xfId="83" applyFont="1"/>
    <xf numFmtId="0" fontId="86" fillId="0" borderId="33" xfId="83" applyFont="1" applyBorder="1"/>
    <xf numFmtId="0" fontId="92" fillId="0" borderId="0" xfId="79" applyFont="1"/>
    <xf numFmtId="0" fontId="17" fillId="0" borderId="13" xfId="71" applyBorder="1" applyAlignment="1">
      <alignment vertical="center"/>
    </xf>
    <xf numFmtId="0" fontId="76" fillId="0" borderId="45" xfId="79" applyFont="1" applyBorder="1" applyAlignment="1">
      <alignment horizontal="center"/>
    </xf>
    <xf numFmtId="3" fontId="92" fillId="0" borderId="44" xfId="79" applyNumberFormat="1" applyFont="1" applyBorder="1"/>
    <xf numFmtId="0" fontId="76" fillId="0" borderId="71" xfId="79" applyFont="1" applyBorder="1" applyAlignment="1">
      <alignment horizontal="center"/>
    </xf>
    <xf numFmtId="0" fontId="92" fillId="0" borderId="74" xfId="79" applyFont="1" applyBorder="1"/>
    <xf numFmtId="3" fontId="92" fillId="0" borderId="73" xfId="79" applyNumberFormat="1" applyFont="1" applyBorder="1"/>
    <xf numFmtId="0" fontId="69" fillId="0" borderId="70" xfId="79" applyFont="1" applyBorder="1" applyAlignment="1">
      <alignment horizontal="center" vertical="center"/>
    </xf>
    <xf numFmtId="0" fontId="17" fillId="0" borderId="0" xfId="71" applyAlignment="1">
      <alignment vertical="center"/>
    </xf>
    <xf numFmtId="0" fontId="17" fillId="0" borderId="79" xfId="71" applyBorder="1"/>
    <xf numFmtId="0" fontId="17" fillId="0" borderId="48" xfId="71" applyBorder="1" applyAlignment="1">
      <alignment vertical="center"/>
    </xf>
    <xf numFmtId="0" fontId="17" fillId="0" borderId="46" xfId="71" applyBorder="1" applyAlignment="1">
      <alignment vertical="center"/>
    </xf>
    <xf numFmtId="0" fontId="76" fillId="0" borderId="30" xfId="71" applyFont="1" applyBorder="1" applyAlignment="1">
      <alignment vertical="center"/>
    </xf>
    <xf numFmtId="0" fontId="76" fillId="0" borderId="76" xfId="71" applyFont="1" applyBorder="1" applyAlignment="1">
      <alignment vertical="center"/>
    </xf>
    <xf numFmtId="0" fontId="76" fillId="0" borderId="35" xfId="71" applyFont="1" applyBorder="1" applyAlignment="1">
      <alignment vertical="center"/>
    </xf>
    <xf numFmtId="0" fontId="76" fillId="0" borderId="15" xfId="71" applyFont="1" applyBorder="1" applyAlignment="1">
      <alignment vertical="center"/>
    </xf>
    <xf numFmtId="0" fontId="76" fillId="0" borderId="37" xfId="71" applyFont="1" applyBorder="1" applyAlignment="1">
      <alignment vertical="center"/>
    </xf>
    <xf numFmtId="0" fontId="17" fillId="0" borderId="49" xfId="71" applyBorder="1" applyAlignment="1">
      <alignment horizontal="center" vertical="center"/>
    </xf>
    <xf numFmtId="0" fontId="17" fillId="0" borderId="47" xfId="71" applyBorder="1" applyAlignment="1">
      <alignment horizontal="center" vertical="center"/>
    </xf>
    <xf numFmtId="0" fontId="17" fillId="0" borderId="42" xfId="71" applyBorder="1" applyAlignment="1">
      <alignment horizontal="center" vertical="center"/>
    </xf>
    <xf numFmtId="0" fontId="17" fillId="0" borderId="0" xfId="71" applyAlignment="1">
      <alignment horizontal="center" vertical="center"/>
    </xf>
    <xf numFmtId="0" fontId="5" fillId="0" borderId="52" xfId="0" applyFont="1" applyBorder="1" applyAlignment="1">
      <alignment horizontal="center"/>
    </xf>
    <xf numFmtId="1" fontId="5" fillId="0" borderId="53" xfId="0" applyNumberFormat="1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3" fontId="5" fillId="0" borderId="48" xfId="0" applyNumberFormat="1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6" fillId="0" borderId="48" xfId="0" applyFont="1" applyBorder="1"/>
    <xf numFmtId="0" fontId="12" fillId="0" borderId="80" xfId="0" applyFont="1" applyBorder="1" applyAlignment="1">
      <alignment horizontal="center"/>
    </xf>
    <xf numFmtId="0" fontId="6" fillId="0" borderId="44" xfId="0" applyFont="1" applyBorder="1"/>
    <xf numFmtId="3" fontId="37" fillId="0" borderId="44" xfId="0" applyNumberFormat="1" applyFont="1" applyBorder="1" applyAlignment="1">
      <alignment horizontal="center"/>
    </xf>
    <xf numFmtId="0" fontId="57" fillId="0" borderId="44" xfId="0" applyFont="1" applyBorder="1"/>
    <xf numFmtId="0" fontId="45" fillId="0" borderId="44" xfId="0" applyFont="1" applyBorder="1"/>
    <xf numFmtId="0" fontId="12" fillId="0" borderId="45" xfId="0" applyFont="1" applyBorder="1" applyAlignment="1">
      <alignment horizontal="center"/>
    </xf>
    <xf numFmtId="3" fontId="15" fillId="0" borderId="44" xfId="0" applyNumberFormat="1" applyFont="1" applyBorder="1" applyAlignment="1">
      <alignment horizontal="center"/>
    </xf>
    <xf numFmtId="0" fontId="85" fillId="0" borderId="44" xfId="0" applyFont="1" applyBorder="1"/>
    <xf numFmtId="0" fontId="5" fillId="0" borderId="45" xfId="0" applyFont="1" applyBorder="1" applyAlignment="1">
      <alignment horizontal="center"/>
    </xf>
    <xf numFmtId="0" fontId="5" fillId="0" borderId="81" xfId="0" applyFont="1" applyBorder="1"/>
    <xf numFmtId="3" fontId="12" fillId="0" borderId="44" xfId="0" applyNumberFormat="1" applyFont="1" applyBorder="1" applyAlignment="1">
      <alignment horizontal="center"/>
    </xf>
    <xf numFmtId="0" fontId="45" fillId="0" borderId="44" xfId="0" applyFont="1" applyBorder="1" applyAlignment="1">
      <alignment wrapText="1"/>
    </xf>
    <xf numFmtId="0" fontId="14" fillId="0" borderId="80" xfId="0" applyFont="1" applyBorder="1" applyAlignment="1">
      <alignment horizontal="center"/>
    </xf>
    <xf numFmtId="0" fontId="56" fillId="0" borderId="44" xfId="0" applyFont="1" applyBorder="1"/>
    <xf numFmtId="3" fontId="57" fillId="0" borderId="44" xfId="0" applyNumberFormat="1" applyFont="1" applyBorder="1" applyAlignment="1">
      <alignment horizontal="left"/>
    </xf>
    <xf numFmtId="0" fontId="6" fillId="0" borderId="80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15" fillId="0" borderId="50" xfId="0" applyFont="1" applyBorder="1" applyAlignment="1">
      <alignment horizontal="center"/>
    </xf>
    <xf numFmtId="0" fontId="15" fillId="0" borderId="48" xfId="0" applyFont="1" applyBorder="1"/>
    <xf numFmtId="0" fontId="5" fillId="0" borderId="44" xfId="0" applyFont="1" applyBorder="1"/>
    <xf numFmtId="0" fontId="12" fillId="22" borderId="45" xfId="0" applyFont="1" applyFill="1" applyBorder="1" applyAlignment="1">
      <alignment horizontal="center"/>
    </xf>
    <xf numFmtId="3" fontId="12" fillId="22" borderId="44" xfId="0" applyNumberFormat="1" applyFont="1" applyFill="1" applyBorder="1" applyAlignment="1">
      <alignment horizontal="center"/>
    </xf>
    <xf numFmtId="0" fontId="15" fillId="0" borderId="49" xfId="0" applyFont="1" applyBorder="1" applyAlignment="1">
      <alignment horizontal="center"/>
    </xf>
    <xf numFmtId="0" fontId="5" fillId="0" borderId="48" xfId="0" applyFont="1" applyBorder="1"/>
    <xf numFmtId="0" fontId="5" fillId="0" borderId="80" xfId="0" applyFont="1" applyBorder="1" applyAlignment="1">
      <alignment horizontal="left"/>
    </xf>
    <xf numFmtId="0" fontId="6" fillId="0" borderId="82" xfId="0" applyFont="1" applyBorder="1" applyAlignment="1">
      <alignment horizontal="center"/>
    </xf>
    <xf numFmtId="0" fontId="15" fillId="0" borderId="21" xfId="0" applyFont="1" applyBorder="1"/>
    <xf numFmtId="3" fontId="15" fillId="14" borderId="21" xfId="0" applyNumberFormat="1" applyFont="1" applyFill="1" applyBorder="1"/>
    <xf numFmtId="9" fontId="15" fillId="0" borderId="21" xfId="0" applyNumberFormat="1" applyFont="1" applyBorder="1" applyAlignment="1">
      <alignment horizontal="right"/>
    </xf>
    <xf numFmtId="0" fontId="6" fillId="0" borderId="70" xfId="0" applyFont="1" applyBorder="1"/>
    <xf numFmtId="0" fontId="5" fillId="0" borderId="51" xfId="0" applyFont="1" applyBorder="1" applyAlignment="1">
      <alignment horizontal="center"/>
    </xf>
    <xf numFmtId="0" fontId="11" fillId="0" borderId="11" xfId="0" applyFont="1" applyBorder="1" applyAlignment="1">
      <alignment horizontal="left" vertical="center"/>
    </xf>
    <xf numFmtId="3" fontId="5" fillId="0" borderId="70" xfId="0" applyNumberFormat="1" applyFont="1" applyBorder="1" applyAlignment="1">
      <alignment horizontal="center"/>
    </xf>
    <xf numFmtId="3" fontId="5" fillId="0" borderId="53" xfId="0" applyNumberFormat="1" applyFont="1" applyBorder="1" applyAlignment="1">
      <alignment horizontal="center"/>
    </xf>
    <xf numFmtId="0" fontId="5" fillId="0" borderId="73" xfId="0" applyFont="1" applyBorder="1" applyAlignment="1">
      <alignment horizontal="center"/>
    </xf>
    <xf numFmtId="3" fontId="5" fillId="0" borderId="73" xfId="0" applyNumberFormat="1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3" fontId="15" fillId="14" borderId="15" xfId="0" applyNumberFormat="1" applyFont="1" applyFill="1" applyBorder="1" applyAlignment="1">
      <alignment horizontal="right"/>
    </xf>
    <xf numFmtId="9" fontId="16" fillId="0" borderId="15" xfId="0" applyNumberFormat="1" applyFont="1" applyBorder="1"/>
    <xf numFmtId="0" fontId="5" fillId="0" borderId="50" xfId="0" applyFont="1" applyBorder="1"/>
    <xf numFmtId="0" fontId="12" fillId="0" borderId="45" xfId="0" applyFont="1" applyBorder="1" applyAlignment="1">
      <alignment horizontal="center" vertical="center"/>
    </xf>
    <xf numFmtId="0" fontId="57" fillId="0" borderId="44" xfId="0" applyFont="1" applyBorder="1" applyAlignment="1">
      <alignment wrapText="1"/>
    </xf>
    <xf numFmtId="0" fontId="14" fillId="0" borderId="45" xfId="0" applyFont="1" applyBorder="1" applyAlignment="1">
      <alignment horizontal="center"/>
    </xf>
    <xf numFmtId="3" fontId="12" fillId="0" borderId="81" xfId="0" applyNumberFormat="1" applyFont="1" applyBorder="1" applyAlignment="1">
      <alignment horizontal="center"/>
    </xf>
    <xf numFmtId="0" fontId="6" fillId="0" borderId="8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38" fillId="0" borderId="44" xfId="0" applyFont="1" applyBorder="1"/>
    <xf numFmtId="0" fontId="5" fillId="0" borderId="47" xfId="0" applyFont="1" applyBorder="1" applyAlignment="1">
      <alignment horizontal="center"/>
    </xf>
    <xf numFmtId="0" fontId="15" fillId="0" borderId="46" xfId="0" applyFont="1" applyBorder="1"/>
    <xf numFmtId="0" fontId="15" fillId="0" borderId="44" xfId="0" applyFont="1" applyBorder="1"/>
    <xf numFmtId="0" fontId="15" fillId="0" borderId="50" xfId="0" applyFont="1" applyBorder="1"/>
    <xf numFmtId="0" fontId="6" fillId="0" borderId="45" xfId="0" applyFont="1" applyBorder="1" applyAlignment="1">
      <alignment horizontal="center"/>
    </xf>
    <xf numFmtId="0" fontId="5" fillId="0" borderId="82" xfId="0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0" fontId="15" fillId="0" borderId="82" xfId="0" applyFont="1" applyBorder="1" applyAlignment="1">
      <alignment horizontal="center"/>
    </xf>
    <xf numFmtId="0" fontId="5" fillId="0" borderId="14" xfId="0" applyFont="1" applyBorder="1" applyAlignment="1">
      <alignment horizontal="centerContinuous" vertical="top"/>
    </xf>
    <xf numFmtId="0" fontId="8" fillId="0" borderId="52" xfId="0" applyFont="1" applyBorder="1"/>
    <xf numFmtId="0" fontId="7" fillId="0" borderId="31" xfId="0" applyFont="1" applyBorder="1" applyAlignment="1">
      <alignment horizontal="centerContinuous" vertical="top"/>
    </xf>
    <xf numFmtId="3" fontId="7" fillId="0" borderId="53" xfId="0" applyNumberFormat="1" applyFont="1" applyBorder="1" applyAlignment="1">
      <alignment horizontal="center"/>
    </xf>
    <xf numFmtId="0" fontId="7" fillId="0" borderId="45" xfId="0" applyFont="1" applyBorder="1"/>
    <xf numFmtId="0" fontId="7" fillId="0" borderId="44" xfId="0" applyFont="1" applyBorder="1" applyAlignment="1">
      <alignment horizontal="center"/>
    </xf>
    <xf numFmtId="0" fontId="7" fillId="0" borderId="71" xfId="0" applyFont="1" applyBorder="1"/>
    <xf numFmtId="0" fontId="7" fillId="0" borderId="73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/>
    </xf>
    <xf numFmtId="3" fontId="7" fillId="0" borderId="35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top"/>
    </xf>
    <xf numFmtId="0" fontId="6" fillId="0" borderId="81" xfId="0" applyFont="1" applyBorder="1"/>
    <xf numFmtId="0" fontId="13" fillId="0" borderId="83" xfId="0" applyFont="1" applyBorder="1"/>
    <xf numFmtId="0" fontId="6" fillId="0" borderId="83" xfId="0" applyFont="1" applyBorder="1"/>
    <xf numFmtId="0" fontId="5" fillId="0" borderId="53" xfId="0" applyFont="1" applyBorder="1"/>
    <xf numFmtId="0" fontId="12" fillId="0" borderId="44" xfId="0" applyFont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6" fillId="0" borderId="73" xfId="0" applyFont="1" applyBorder="1" applyAlignment="1">
      <alignment horizontal="left"/>
    </xf>
    <xf numFmtId="0" fontId="5" fillId="0" borderId="84" xfId="0" applyFont="1" applyBorder="1"/>
    <xf numFmtId="0" fontId="15" fillId="0" borderId="81" xfId="0" applyFont="1" applyBorder="1"/>
    <xf numFmtId="0" fontId="16" fillId="0" borderId="45" xfId="0" applyFont="1" applyBorder="1" applyAlignment="1">
      <alignment horizontal="center"/>
    </xf>
    <xf numFmtId="0" fontId="39" fillId="0" borderId="81" xfId="0" applyFont="1" applyBorder="1"/>
    <xf numFmtId="0" fontId="12" fillId="0" borderId="81" xfId="0" applyFont="1" applyBorder="1" applyAlignment="1">
      <alignment horizontal="center"/>
    </xf>
    <xf numFmtId="0" fontId="12" fillId="0" borderId="81" xfId="0" applyFont="1" applyBorder="1" applyAlignment="1">
      <alignment horizontal="center" vertical="center" wrapText="1"/>
    </xf>
    <xf numFmtId="0" fontId="13" fillId="0" borderId="81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/>
    </xf>
    <xf numFmtId="0" fontId="18" fillId="0" borderId="81" xfId="0" applyFont="1" applyBorder="1" applyAlignment="1">
      <alignment vertical="center" wrapText="1"/>
    </xf>
    <xf numFmtId="0" fontId="18" fillId="0" borderId="81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/>
    </xf>
    <xf numFmtId="9" fontId="107" fillId="0" borderId="16" xfId="41" applyFont="1" applyFill="1" applyBorder="1"/>
    <xf numFmtId="165" fontId="5" fillId="0" borderId="0" xfId="0" applyNumberFormat="1" applyFont="1" applyAlignment="1">
      <alignment horizontal="right"/>
    </xf>
    <xf numFmtId="0" fontId="5" fillId="0" borderId="85" xfId="0" applyFont="1" applyBorder="1" applyAlignment="1">
      <alignment horizontal="center"/>
    </xf>
    <xf numFmtId="0" fontId="5" fillId="0" borderId="31" xfId="0" applyFont="1" applyBorder="1"/>
    <xf numFmtId="0" fontId="5" fillId="0" borderId="24" xfId="0" applyFont="1" applyBorder="1" applyAlignment="1">
      <alignment horizontal="left" vertical="center"/>
    </xf>
    <xf numFmtId="0" fontId="5" fillId="0" borderId="50" xfId="0" applyFont="1" applyBorder="1" applyAlignment="1">
      <alignment horizontal="center"/>
    </xf>
    <xf numFmtId="0" fontId="16" fillId="0" borderId="80" xfId="0" applyFont="1" applyBorder="1" applyAlignment="1">
      <alignment horizontal="center"/>
    </xf>
    <xf numFmtId="3" fontId="39" fillId="0" borderId="86" xfId="0" applyNumberFormat="1" applyFont="1" applyBorder="1" applyAlignment="1">
      <alignment horizontal="center"/>
    </xf>
    <xf numFmtId="3" fontId="38" fillId="0" borderId="87" xfId="0" applyNumberFormat="1" applyFont="1" applyBorder="1" applyAlignment="1">
      <alignment horizontal="center"/>
    </xf>
    <xf numFmtId="3" fontId="37" fillId="0" borderId="87" xfId="0" applyNumberFormat="1" applyFont="1" applyBorder="1" applyAlignment="1">
      <alignment horizontal="center"/>
    </xf>
    <xf numFmtId="3" fontId="39" fillId="0" borderId="87" xfId="0" applyNumberFormat="1" applyFont="1" applyBorder="1" applyAlignment="1">
      <alignment horizontal="center"/>
    </xf>
    <xf numFmtId="0" fontId="41" fillId="0" borderId="82" xfId="0" applyFont="1" applyBorder="1" applyAlignment="1">
      <alignment horizontal="center"/>
    </xf>
    <xf numFmtId="3" fontId="39" fillId="0" borderId="83" xfId="0" applyNumberFormat="1" applyFont="1" applyBorder="1" applyAlignment="1">
      <alignment horizontal="center"/>
    </xf>
    <xf numFmtId="3" fontId="5" fillId="0" borderId="87" xfId="0" applyNumberFormat="1" applyFont="1" applyBorder="1" applyAlignment="1">
      <alignment horizontal="center"/>
    </xf>
    <xf numFmtId="3" fontId="38" fillId="0" borderId="88" xfId="0" applyNumberFormat="1" applyFont="1" applyBorder="1" applyAlignment="1">
      <alignment horizontal="center"/>
    </xf>
    <xf numFmtId="3" fontId="39" fillId="0" borderId="89" xfId="0" applyNumberFormat="1" applyFont="1" applyBorder="1" applyAlignment="1">
      <alignment horizontal="center"/>
    </xf>
    <xf numFmtId="3" fontId="39" fillId="0" borderId="50" xfId="0" applyNumberFormat="1" applyFont="1" applyBorder="1" applyAlignment="1">
      <alignment horizontal="center"/>
    </xf>
    <xf numFmtId="3" fontId="38" fillId="0" borderId="50" xfId="0" applyNumberFormat="1" applyFont="1" applyBorder="1" applyAlignment="1">
      <alignment horizontal="center"/>
    </xf>
    <xf numFmtId="3" fontId="39" fillId="0" borderId="48" xfId="0" applyNumberFormat="1" applyFont="1" applyBorder="1" applyAlignment="1">
      <alignment horizontal="center"/>
    </xf>
    <xf numFmtId="3" fontId="39" fillId="0" borderId="46" xfId="0" applyNumberFormat="1" applyFont="1" applyBorder="1" applyAlignment="1">
      <alignment horizontal="center"/>
    </xf>
    <xf numFmtId="0" fontId="16" fillId="0" borderId="82" xfId="0" applyFont="1" applyBorder="1" applyAlignment="1">
      <alignment horizontal="center"/>
    </xf>
    <xf numFmtId="3" fontId="5" fillId="0" borderId="86" xfId="0" applyNumberFormat="1" applyFont="1" applyBorder="1" applyAlignment="1">
      <alignment horizontal="center"/>
    </xf>
    <xf numFmtId="3" fontId="38" fillId="0" borderId="86" xfId="0" applyNumberFormat="1" applyFont="1" applyBorder="1" applyAlignment="1">
      <alignment horizontal="center"/>
    </xf>
    <xf numFmtId="3" fontId="39" fillId="0" borderId="88" xfId="0" applyNumberFormat="1" applyFont="1" applyBorder="1" applyAlignment="1">
      <alignment horizontal="center"/>
    </xf>
    <xf numFmtId="3" fontId="5" fillId="0" borderId="89" xfId="0" applyNumberFormat="1" applyFont="1" applyBorder="1" applyAlignment="1">
      <alignment horizontal="center"/>
    </xf>
    <xf numFmtId="3" fontId="18" fillId="0" borderId="86" xfId="0" applyNumberFormat="1" applyFont="1" applyBorder="1" applyAlignment="1">
      <alignment horizontal="center"/>
    </xf>
    <xf numFmtId="3" fontId="5" fillId="0" borderId="88" xfId="0" applyNumberFormat="1" applyFont="1" applyBorder="1" applyAlignment="1">
      <alignment horizontal="center"/>
    </xf>
    <xf numFmtId="3" fontId="6" fillId="0" borderId="50" xfId="0" applyNumberFormat="1" applyFont="1" applyBorder="1" applyAlignment="1">
      <alignment horizontal="center"/>
    </xf>
    <xf numFmtId="3" fontId="13" fillId="0" borderId="50" xfId="0" applyNumberFormat="1" applyFont="1" applyBorder="1" applyAlignment="1">
      <alignment horizontal="center"/>
    </xf>
    <xf numFmtId="3" fontId="15" fillId="0" borderId="50" xfId="0" applyNumberFormat="1" applyFont="1" applyBorder="1" applyAlignment="1">
      <alignment horizontal="center"/>
    </xf>
    <xf numFmtId="3" fontId="9" fillId="0" borderId="50" xfId="0" applyNumberFormat="1" applyFont="1" applyBorder="1" applyAlignment="1">
      <alignment horizontal="center"/>
    </xf>
    <xf numFmtId="3" fontId="37" fillId="0" borderId="50" xfId="0" applyNumberFormat="1" applyFont="1" applyBorder="1" applyAlignment="1">
      <alignment horizontal="center"/>
    </xf>
    <xf numFmtId="3" fontId="6" fillId="0" borderId="48" xfId="0" applyNumberFormat="1" applyFont="1" applyBorder="1" applyAlignment="1">
      <alignment horizontal="center"/>
    </xf>
    <xf numFmtId="3" fontId="6" fillId="0" borderId="44" xfId="0" applyNumberFormat="1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3" fontId="5" fillId="0" borderId="50" xfId="0" applyNumberFormat="1" applyFont="1" applyBorder="1" applyAlignment="1">
      <alignment horizontal="center"/>
    </xf>
    <xf numFmtId="3" fontId="12" fillId="0" borderId="87" xfId="0" applyNumberFormat="1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3" fontId="6" fillId="0" borderId="86" xfId="0" applyNumberFormat="1" applyFont="1" applyBorder="1" applyAlignment="1">
      <alignment horizontal="center"/>
    </xf>
    <xf numFmtId="3" fontId="9" fillId="0" borderId="86" xfId="0" applyNumberFormat="1" applyFont="1" applyBorder="1" applyAlignment="1">
      <alignment horizontal="center"/>
    </xf>
    <xf numFmtId="3" fontId="18" fillId="0" borderId="48" xfId="0" applyNumberFormat="1" applyFont="1" applyBorder="1" applyAlignment="1">
      <alignment horizontal="center"/>
    </xf>
    <xf numFmtId="3" fontId="13" fillId="0" borderId="73" xfId="0" applyNumberFormat="1" applyFont="1" applyBorder="1" applyAlignment="1">
      <alignment horizontal="center"/>
    </xf>
    <xf numFmtId="3" fontId="13" fillId="0" borderId="48" xfId="0" applyNumberFormat="1" applyFont="1" applyBorder="1" applyAlignment="1">
      <alignment horizontal="center"/>
    </xf>
    <xf numFmtId="3" fontId="12" fillId="0" borderId="48" xfId="0" applyNumberFormat="1" applyFont="1" applyBorder="1" applyAlignment="1">
      <alignment horizontal="center"/>
    </xf>
    <xf numFmtId="3" fontId="5" fillId="0" borderId="79" xfId="0" applyNumberFormat="1" applyFont="1" applyBorder="1" applyAlignment="1">
      <alignment horizontal="center"/>
    </xf>
    <xf numFmtId="3" fontId="40" fillId="0" borderId="50" xfId="0" applyNumberFormat="1" applyFont="1" applyBorder="1" applyAlignment="1">
      <alignment horizontal="center"/>
    </xf>
    <xf numFmtId="3" fontId="40" fillId="0" borderId="48" xfId="0" applyNumberFormat="1" applyFont="1" applyBorder="1" applyAlignment="1">
      <alignment horizontal="center"/>
    </xf>
    <xf numFmtId="3" fontId="14" fillId="0" borderId="50" xfId="0" applyNumberFormat="1" applyFont="1" applyBorder="1" applyAlignment="1">
      <alignment horizontal="center"/>
    </xf>
    <xf numFmtId="3" fontId="41" fillId="0" borderId="73" xfId="0" applyNumberFormat="1" applyFont="1" applyBorder="1" applyAlignment="1">
      <alignment horizontal="center"/>
    </xf>
    <xf numFmtId="0" fontId="16" fillId="0" borderId="71" xfId="0" applyFont="1" applyBorder="1" applyAlignment="1">
      <alignment horizontal="center"/>
    </xf>
    <xf numFmtId="3" fontId="41" fillId="0" borderId="37" xfId="0" applyNumberFormat="1" applyFont="1" applyBorder="1" applyAlignment="1">
      <alignment horizontal="center"/>
    </xf>
    <xf numFmtId="3" fontId="16" fillId="0" borderId="50" xfId="0" applyNumberFormat="1" applyFont="1" applyBorder="1" applyAlignment="1">
      <alignment horizontal="center"/>
    </xf>
    <xf numFmtId="3" fontId="41" fillId="0" borderId="48" xfId="0" applyNumberFormat="1" applyFont="1" applyBorder="1" applyAlignment="1">
      <alignment horizontal="center"/>
    </xf>
    <xf numFmtId="3" fontId="16" fillId="0" borderId="50" xfId="0" applyNumberFormat="1" applyFont="1" applyBorder="1" applyAlignment="1">
      <alignment horizontal="right"/>
    </xf>
    <xf numFmtId="3" fontId="14" fillId="0" borderId="50" xfId="0" applyNumberFormat="1" applyFont="1" applyBorder="1" applyAlignment="1">
      <alignment horizontal="right"/>
    </xf>
    <xf numFmtId="3" fontId="14" fillId="0" borderId="73" xfId="0" applyNumberFormat="1" applyFont="1" applyBorder="1" applyAlignment="1">
      <alignment horizontal="right"/>
    </xf>
    <xf numFmtId="3" fontId="16" fillId="0" borderId="37" xfId="0" applyNumberFormat="1" applyFont="1" applyBorder="1" applyAlignment="1">
      <alignment horizontal="right"/>
    </xf>
    <xf numFmtId="3" fontId="40" fillId="0" borderId="73" xfId="0" applyNumberFormat="1" applyFont="1" applyBorder="1" applyAlignment="1">
      <alignment horizontal="center"/>
    </xf>
    <xf numFmtId="0" fontId="13" fillId="0" borderId="48" xfId="0" applyFont="1" applyBorder="1"/>
    <xf numFmtId="3" fontId="5" fillId="0" borderId="46" xfId="0" applyNumberFormat="1" applyFont="1" applyBorder="1" applyAlignment="1">
      <alignment horizontal="center"/>
    </xf>
    <xf numFmtId="3" fontId="12" fillId="0" borderId="46" xfId="0" applyNumberFormat="1" applyFont="1" applyBorder="1" applyAlignment="1">
      <alignment horizontal="center"/>
    </xf>
    <xf numFmtId="3" fontId="12" fillId="0" borderId="50" xfId="0" applyNumberFormat="1" applyFont="1" applyBorder="1" applyAlignment="1">
      <alignment horizontal="center"/>
    </xf>
    <xf numFmtId="3" fontId="13" fillId="0" borderId="44" xfId="0" applyNumberFormat="1" applyFont="1" applyBorder="1" applyAlignment="1">
      <alignment horizontal="center"/>
    </xf>
    <xf numFmtId="0" fontId="5" fillId="0" borderId="73" xfId="0" applyFont="1" applyBorder="1" applyAlignment="1">
      <alignment horizontal="center" vertical="center"/>
    </xf>
    <xf numFmtId="165" fontId="5" fillId="0" borderId="37" xfId="0" applyNumberFormat="1" applyFont="1" applyBorder="1" applyAlignment="1">
      <alignment horizontal="center"/>
    </xf>
    <xf numFmtId="0" fontId="53" fillId="0" borderId="45" xfId="0" applyFont="1" applyBorder="1" applyAlignment="1">
      <alignment horizontal="center"/>
    </xf>
    <xf numFmtId="0" fontId="53" fillId="0" borderId="71" xfId="0" applyFont="1" applyBorder="1" applyAlignment="1">
      <alignment horizontal="center"/>
    </xf>
    <xf numFmtId="3" fontId="18" fillId="0" borderId="50" xfId="0" applyNumberFormat="1" applyFont="1" applyBorder="1" applyAlignment="1">
      <alignment horizontal="center"/>
    </xf>
    <xf numFmtId="3" fontId="41" fillId="0" borderId="79" xfId="0" applyNumberFormat="1" applyFont="1" applyBorder="1" applyAlignment="1">
      <alignment horizontal="center"/>
    </xf>
    <xf numFmtId="3" fontId="41" fillId="0" borderId="70" xfId="0" applyNumberFormat="1" applyFont="1" applyBorder="1" applyAlignment="1">
      <alignment horizontal="center"/>
    </xf>
    <xf numFmtId="3" fontId="41" fillId="0" borderId="50" xfId="0" applyNumberFormat="1" applyFont="1" applyBorder="1" applyAlignment="1">
      <alignment horizontal="center"/>
    </xf>
    <xf numFmtId="3" fontId="13" fillId="0" borderId="70" xfId="0" applyNumberFormat="1" applyFont="1" applyBorder="1" applyAlignment="1">
      <alignment horizontal="center"/>
    </xf>
    <xf numFmtId="3" fontId="13" fillId="0" borderId="46" xfId="0" applyNumberFormat="1" applyFont="1" applyBorder="1" applyAlignment="1">
      <alignment horizontal="center"/>
    </xf>
    <xf numFmtId="3" fontId="6" fillId="0" borderId="37" xfId="0" applyNumberFormat="1" applyFont="1" applyBorder="1" applyAlignment="1">
      <alignment horizontal="center"/>
    </xf>
    <xf numFmtId="3" fontId="6" fillId="0" borderId="88" xfId="0" applyNumberFormat="1" applyFont="1" applyBorder="1" applyAlignment="1">
      <alignment horizontal="center"/>
    </xf>
    <xf numFmtId="0" fontId="7" fillId="0" borderId="81" xfId="0" applyFont="1" applyBorder="1" applyAlignment="1">
      <alignment horizontal="center"/>
    </xf>
    <xf numFmtId="0" fontId="7" fillId="0" borderId="87" xfId="0" applyFont="1" applyBorder="1"/>
    <xf numFmtId="0" fontId="4" fillId="0" borderId="87" xfId="0" applyFont="1" applyBorder="1"/>
    <xf numFmtId="0" fontId="42" fillId="0" borderId="87" xfId="0" applyFont="1" applyBorder="1" applyAlignment="1">
      <alignment horizontal="center"/>
    </xf>
    <xf numFmtId="0" fontId="4" fillId="0" borderId="48" xfId="0" applyFont="1" applyBorder="1"/>
    <xf numFmtId="0" fontId="7" fillId="0" borderId="86" xfId="0" applyFont="1" applyBorder="1"/>
    <xf numFmtId="0" fontId="42" fillId="0" borderId="48" xfId="0" applyFont="1" applyBorder="1"/>
    <xf numFmtId="0" fontId="0" fillId="0" borderId="87" xfId="0" applyBorder="1" applyAlignment="1">
      <alignment horizontal="center"/>
    </xf>
    <xf numFmtId="0" fontId="4" fillId="0" borderId="87" xfId="0" applyFont="1" applyBorder="1" applyAlignment="1">
      <alignment horizontal="center"/>
    </xf>
    <xf numFmtId="0" fontId="43" fillId="0" borderId="48" xfId="0" applyFont="1" applyBorder="1"/>
    <xf numFmtId="3" fontId="12" fillId="0" borderId="73" xfId="0" applyNumberFormat="1" applyFont="1" applyBorder="1" applyAlignment="1">
      <alignment horizontal="center"/>
    </xf>
    <xf numFmtId="3" fontId="13" fillId="0" borderId="86" xfId="0" applyNumberFormat="1" applyFont="1" applyBorder="1" applyAlignment="1">
      <alignment horizontal="center"/>
    </xf>
    <xf numFmtId="0" fontId="43" fillId="0" borderId="87" xfId="0" applyFont="1" applyBorder="1" applyAlignment="1">
      <alignment horizontal="center"/>
    </xf>
    <xf numFmtId="0" fontId="0" fillId="0" borderId="86" xfId="0" applyBorder="1" applyAlignment="1">
      <alignment horizontal="center"/>
    </xf>
    <xf numFmtId="0" fontId="4" fillId="0" borderId="86" xfId="0" applyFont="1" applyBorder="1" applyAlignment="1">
      <alignment horizontal="center"/>
    </xf>
    <xf numFmtId="3" fontId="15" fillId="0" borderId="86" xfId="0" applyNumberFormat="1" applyFont="1" applyBorder="1" applyAlignment="1">
      <alignment horizontal="center"/>
    </xf>
    <xf numFmtId="3" fontId="15" fillId="0" borderId="48" xfId="0" applyNumberFormat="1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45" fillId="0" borderId="45" xfId="0" applyFont="1" applyBorder="1" applyAlignment="1">
      <alignment horizontal="center"/>
    </xf>
    <xf numFmtId="3" fontId="16" fillId="0" borderId="73" xfId="0" applyNumberFormat="1" applyFont="1" applyBorder="1" applyAlignment="1">
      <alignment horizontal="center"/>
    </xf>
    <xf numFmtId="3" fontId="16" fillId="0" borderId="37" xfId="0" applyNumberFormat="1" applyFont="1" applyBorder="1" applyAlignment="1">
      <alignment horizontal="center"/>
    </xf>
    <xf numFmtId="3" fontId="14" fillId="0" borderId="48" xfId="0" applyNumberFormat="1" applyFont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 wrapText="1"/>
    </xf>
    <xf numFmtId="3" fontId="15" fillId="14" borderId="15" xfId="0" applyNumberFormat="1" applyFont="1" applyFill="1" applyBorder="1" applyAlignment="1">
      <alignment horizontal="right" vertical="center"/>
    </xf>
    <xf numFmtId="9" fontId="15" fillId="14" borderId="15" xfId="41" applyFont="1" applyFill="1" applyBorder="1" applyAlignment="1">
      <alignment horizontal="right" vertical="center"/>
    </xf>
    <xf numFmtId="0" fontId="5" fillId="0" borderId="15" xfId="0" applyFont="1" applyBorder="1" applyAlignment="1">
      <alignment horizontal="center" vertical="top"/>
    </xf>
    <xf numFmtId="9" fontId="12" fillId="0" borderId="48" xfId="0" applyNumberFormat="1" applyFont="1" applyBorder="1"/>
    <xf numFmtId="9" fontId="15" fillId="0" borderId="70" xfId="0" applyNumberFormat="1" applyFont="1" applyBorder="1"/>
    <xf numFmtId="0" fontId="15" fillId="0" borderId="42" xfId="0" applyFont="1" applyBorder="1" applyAlignment="1">
      <alignment horizontal="center"/>
    </xf>
    <xf numFmtId="0" fontId="6" fillId="0" borderId="0" xfId="35" applyFont="1" applyAlignment="1">
      <alignment horizontal="center" vertical="center"/>
    </xf>
    <xf numFmtId="0" fontId="6" fillId="0" borderId="0" xfId="35" applyFont="1" applyAlignment="1">
      <alignment vertical="center"/>
    </xf>
    <xf numFmtId="0" fontId="15" fillId="0" borderId="0" xfId="35" applyFont="1" applyAlignment="1">
      <alignment horizontal="right" vertical="center"/>
    </xf>
    <xf numFmtId="3" fontId="67" fillId="0" borderId="45" xfId="35" applyNumberFormat="1" applyFont="1" applyBorder="1" applyAlignment="1">
      <alignment horizontal="center" vertical="center"/>
    </xf>
    <xf numFmtId="9" fontId="6" fillId="0" borderId="44" xfId="35" applyNumberFormat="1" applyFont="1" applyBorder="1" applyAlignment="1">
      <alignment horizontal="right" vertical="center"/>
    </xf>
    <xf numFmtId="9" fontId="60" fillId="0" borderId="44" xfId="35" applyNumberFormat="1" applyFont="1" applyBorder="1" applyAlignment="1">
      <alignment horizontal="right" vertical="center"/>
    </xf>
    <xf numFmtId="9" fontId="60" fillId="0" borderId="37" xfId="35" applyNumberFormat="1" applyFont="1" applyBorder="1" applyAlignment="1">
      <alignment horizontal="right" vertical="center"/>
    </xf>
    <xf numFmtId="3" fontId="6" fillId="0" borderId="45" xfId="35" applyNumberFormat="1" applyFont="1" applyBorder="1" applyAlignment="1">
      <alignment horizontal="center" vertical="center"/>
    </xf>
    <xf numFmtId="3" fontId="5" fillId="0" borderId="45" xfId="35" applyNumberFormat="1" applyFont="1" applyBorder="1" applyAlignment="1">
      <alignment horizontal="center" vertical="center"/>
    </xf>
    <xf numFmtId="9" fontId="60" fillId="0" borderId="73" xfId="35" applyNumberFormat="1" applyFont="1" applyBorder="1" applyAlignment="1">
      <alignment horizontal="right" vertical="center"/>
    </xf>
    <xf numFmtId="3" fontId="64" fillId="0" borderId="37" xfId="35" applyNumberFormat="1" applyFont="1" applyBorder="1" applyAlignment="1">
      <alignment horizontal="right" vertical="center"/>
    </xf>
    <xf numFmtId="9" fontId="60" fillId="0" borderId="53" xfId="41" applyFont="1" applyFill="1" applyBorder="1" applyAlignment="1">
      <alignment horizontal="right" vertical="center"/>
    </xf>
    <xf numFmtId="3" fontId="9" fillId="0" borderId="45" xfId="35" applyNumberFormat="1" applyFont="1" applyBorder="1" applyAlignment="1">
      <alignment horizontal="center" vertical="center"/>
    </xf>
    <xf numFmtId="0" fontId="5" fillId="0" borderId="45" xfId="35" applyFont="1" applyBorder="1" applyAlignment="1">
      <alignment horizontal="center" vertical="center"/>
    </xf>
    <xf numFmtId="0" fontId="5" fillId="0" borderId="71" xfId="35" applyFont="1" applyBorder="1" applyAlignment="1">
      <alignment horizontal="center" vertical="center"/>
    </xf>
    <xf numFmtId="9" fontId="60" fillId="0" borderId="53" xfId="35" applyNumberFormat="1" applyFont="1" applyBorder="1" applyAlignment="1">
      <alignment horizontal="right" vertical="center"/>
    </xf>
    <xf numFmtId="3" fontId="67" fillId="0" borderId="45" xfId="35" applyNumberFormat="1" applyFont="1" applyBorder="1" applyAlignment="1" applyProtection="1">
      <alignment horizontal="center" vertical="center"/>
      <protection locked="0"/>
    </xf>
    <xf numFmtId="3" fontId="67" fillId="0" borderId="52" xfId="35" applyNumberFormat="1" applyFont="1" applyBorder="1" applyAlignment="1" applyProtection="1">
      <alignment horizontal="center" vertical="center"/>
      <protection locked="0"/>
    </xf>
    <xf numFmtId="0" fontId="67" fillId="0" borderId="80" xfId="35" applyFont="1" applyBorder="1" applyAlignment="1" applyProtection="1">
      <alignment vertical="center"/>
      <protection locked="0"/>
    </xf>
    <xf numFmtId="3" fontId="69" fillId="0" borderId="45" xfId="35" applyNumberFormat="1" applyFont="1" applyBorder="1" applyAlignment="1" applyProtection="1">
      <alignment horizontal="center" vertical="center"/>
      <protection locked="0"/>
    </xf>
    <xf numFmtId="0" fontId="5" fillId="0" borderId="80" xfId="35" applyFont="1" applyBorder="1" applyAlignment="1">
      <alignment horizontal="center" vertical="center"/>
    </xf>
    <xf numFmtId="0" fontId="84" fillId="0" borderId="0" xfId="69" applyFont="1"/>
    <xf numFmtId="3" fontId="54" fillId="0" borderId="0" xfId="69" applyNumberFormat="1" applyFont="1"/>
    <xf numFmtId="3" fontId="108" fillId="0" borderId="0" xfId="35" applyNumberFormat="1" applyFont="1"/>
    <xf numFmtId="0" fontId="109" fillId="0" borderId="0" xfId="0" applyFont="1"/>
    <xf numFmtId="3" fontId="108" fillId="0" borderId="0" xfId="78" applyNumberFormat="1" applyFont="1"/>
    <xf numFmtId="3" fontId="88" fillId="0" borderId="53" xfId="76" applyNumberFormat="1" applyFont="1" applyBorder="1"/>
    <xf numFmtId="3" fontId="88" fillId="0" borderId="48" xfId="76" applyNumberFormat="1" applyFont="1" applyBorder="1"/>
    <xf numFmtId="3" fontId="89" fillId="0" borderId="46" xfId="76" applyNumberFormat="1" applyFont="1" applyBorder="1"/>
    <xf numFmtId="3" fontId="88" fillId="0" borderId="79" xfId="76" applyNumberFormat="1" applyFont="1" applyBorder="1"/>
    <xf numFmtId="3" fontId="89" fillId="0" borderId="70" xfId="76" applyNumberFormat="1" applyFont="1" applyBorder="1"/>
    <xf numFmtId="3" fontId="82" fillId="0" borderId="79" xfId="76" applyNumberFormat="1" applyFont="1" applyBorder="1"/>
    <xf numFmtId="3" fontId="82" fillId="0" borderId="48" xfId="76" applyNumberFormat="1" applyFont="1" applyBorder="1"/>
    <xf numFmtId="3" fontId="82" fillId="0" borderId="48" xfId="76" applyNumberFormat="1" applyFont="1" applyBorder="1" applyAlignment="1">
      <alignment vertical="center"/>
    </xf>
    <xf numFmtId="3" fontId="82" fillId="0" borderId="70" xfId="76" applyNumberFormat="1" applyFont="1" applyBorder="1" applyAlignment="1">
      <alignment vertical="center"/>
    </xf>
    <xf numFmtId="3" fontId="82" fillId="0" borderId="50" xfId="76" applyNumberFormat="1" applyFont="1" applyBorder="1" applyAlignment="1">
      <alignment vertical="center"/>
    </xf>
    <xf numFmtId="3" fontId="104" fillId="0" borderId="48" xfId="76" applyNumberFormat="1" applyFont="1" applyBorder="1" applyAlignment="1">
      <alignment vertical="center"/>
    </xf>
    <xf numFmtId="3" fontId="104" fillId="0" borderId="73" xfId="76" applyNumberFormat="1" applyFont="1" applyBorder="1"/>
    <xf numFmtId="0" fontId="77" fillId="0" borderId="15" xfId="34" applyFont="1" applyBorder="1" applyAlignment="1">
      <alignment vertical="center" wrapText="1"/>
    </xf>
    <xf numFmtId="0" fontId="77" fillId="0" borderId="15" xfId="34" applyFont="1" applyBorder="1" applyAlignment="1">
      <alignment vertical="center"/>
    </xf>
    <xf numFmtId="0" fontId="75" fillId="0" borderId="15" xfId="34" applyFont="1" applyBorder="1" applyAlignment="1">
      <alignment vertical="center" wrapText="1"/>
    </xf>
    <xf numFmtId="0" fontId="15" fillId="0" borderId="0" xfId="34" applyFont="1" applyAlignment="1">
      <alignment vertical="center"/>
    </xf>
    <xf numFmtId="0" fontId="6" fillId="0" borderId="49" xfId="34" applyFont="1" applyBorder="1" applyAlignment="1">
      <alignment vertical="center"/>
    </xf>
    <xf numFmtId="0" fontId="6" fillId="0" borderId="12" xfId="34" applyFont="1" applyBorder="1" applyAlignment="1">
      <alignment vertical="center"/>
    </xf>
    <xf numFmtId="0" fontId="7" fillId="0" borderId="0" xfId="34" applyFont="1" applyAlignment="1">
      <alignment vertical="center"/>
    </xf>
    <xf numFmtId="3" fontId="45" fillId="0" borderId="0" xfId="34" applyNumberFormat="1" applyFont="1" applyAlignment="1">
      <alignment vertical="center"/>
    </xf>
    <xf numFmtId="0" fontId="12" fillId="0" borderId="16" xfId="35" applyFont="1" applyBorder="1" applyAlignment="1">
      <alignment horizontal="right" vertical="center"/>
    </xf>
    <xf numFmtId="0" fontId="108" fillId="0" borderId="0" xfId="35" applyFont="1"/>
    <xf numFmtId="0" fontId="108" fillId="0" borderId="0" xfId="0" applyFont="1"/>
    <xf numFmtId="0" fontId="86" fillId="0" borderId="33" xfId="83" applyFont="1" applyBorder="1" applyAlignment="1">
      <alignment horizontal="left"/>
    </xf>
    <xf numFmtId="0" fontId="12" fillId="0" borderId="16" xfId="35" applyFont="1" applyBorder="1" applyAlignment="1">
      <alignment vertical="center"/>
    </xf>
    <xf numFmtId="9" fontId="12" fillId="0" borderId="53" xfId="35" applyNumberFormat="1" applyFont="1" applyBorder="1" applyAlignment="1">
      <alignment horizontal="right" vertical="center"/>
    </xf>
    <xf numFmtId="0" fontId="13" fillId="0" borderId="16" xfId="35" applyFont="1" applyBorder="1" applyAlignment="1">
      <alignment vertical="center"/>
    </xf>
    <xf numFmtId="9" fontId="12" fillId="0" borderId="44" xfId="35" applyNumberFormat="1" applyFont="1" applyBorder="1" applyAlignment="1">
      <alignment horizontal="right" vertical="center"/>
    </xf>
    <xf numFmtId="0" fontId="12" fillId="0" borderId="10" xfId="35" applyFont="1" applyBorder="1" applyAlignment="1">
      <alignment vertical="center"/>
    </xf>
    <xf numFmtId="0" fontId="12" fillId="0" borderId="14" xfId="35" applyFont="1" applyBorder="1" applyAlignment="1">
      <alignment vertical="center"/>
    </xf>
    <xf numFmtId="0" fontId="15" fillId="0" borderId="15" xfId="35" applyFont="1" applyBorder="1" applyAlignment="1">
      <alignment vertical="center"/>
    </xf>
    <xf numFmtId="9" fontId="15" fillId="0" borderId="37" xfId="35" applyNumberFormat="1" applyFont="1" applyBorder="1" applyAlignment="1">
      <alignment horizontal="right" vertical="center"/>
    </xf>
    <xf numFmtId="9" fontId="12" fillId="0" borderId="37" xfId="35" applyNumberFormat="1" applyFont="1" applyBorder="1" applyAlignment="1">
      <alignment horizontal="right" vertical="center"/>
    </xf>
    <xf numFmtId="0" fontId="11" fillId="0" borderId="29" xfId="35" applyFont="1" applyBorder="1" applyAlignment="1">
      <alignment vertical="center"/>
    </xf>
    <xf numFmtId="3" fontId="15" fillId="0" borderId="14" xfId="35" applyNumberFormat="1" applyFont="1" applyBorder="1" applyAlignment="1">
      <alignment horizontal="right" vertical="center"/>
    </xf>
    <xf numFmtId="0" fontId="15" fillId="0" borderId="30" xfId="35" applyFont="1" applyBorder="1" applyAlignment="1">
      <alignment vertical="center"/>
    </xf>
    <xf numFmtId="0" fontId="12" fillId="0" borderId="26" xfId="34" applyFont="1" applyBorder="1" applyAlignment="1">
      <alignment vertical="center"/>
    </xf>
    <xf numFmtId="0" fontId="12" fillId="0" borderId="10" xfId="34" applyFont="1" applyBorder="1" applyAlignment="1">
      <alignment vertical="center"/>
    </xf>
    <xf numFmtId="0" fontId="12" fillId="0" borderId="14" xfId="34" applyFont="1" applyBorder="1" applyAlignment="1">
      <alignment vertical="center"/>
    </xf>
    <xf numFmtId="9" fontId="12" fillId="0" borderId="73" xfId="35" applyNumberFormat="1" applyFont="1" applyBorder="1" applyAlignment="1">
      <alignment horizontal="right" vertical="center"/>
    </xf>
    <xf numFmtId="0" fontId="4" fillId="0" borderId="29" xfId="68" applyFont="1" applyBorder="1" applyAlignment="1">
      <alignment vertical="center"/>
    </xf>
    <xf numFmtId="0" fontId="12" fillId="0" borderId="15" xfId="34" applyFont="1" applyBorder="1" applyAlignment="1">
      <alignment vertical="center"/>
    </xf>
    <xf numFmtId="0" fontId="11" fillId="0" borderId="29" xfId="68" applyFont="1" applyBorder="1" applyAlignment="1">
      <alignment vertical="center"/>
    </xf>
    <xf numFmtId="0" fontId="77" fillId="0" borderId="30" xfId="68" applyFont="1" applyBorder="1" applyAlignment="1">
      <alignment vertical="center"/>
    </xf>
    <xf numFmtId="0" fontId="12" fillId="0" borderId="16" xfId="68" applyFont="1" applyBorder="1" applyAlignment="1">
      <alignment horizontal="left" vertical="center"/>
    </xf>
    <xf numFmtId="0" fontId="12" fillId="0" borderId="10" xfId="68" applyFont="1" applyBorder="1" applyAlignment="1">
      <alignment horizontal="left" vertical="center"/>
    </xf>
    <xf numFmtId="0" fontId="12" fillId="0" borderId="14" xfId="68" applyFont="1" applyBorder="1" applyAlignment="1">
      <alignment horizontal="left" vertical="center"/>
    </xf>
    <xf numFmtId="0" fontId="15" fillId="0" borderId="14" xfId="68" applyFont="1" applyBorder="1" applyAlignment="1">
      <alignment horizontal="left" vertical="center"/>
    </xf>
    <xf numFmtId="0" fontId="15" fillId="0" borderId="16" xfId="68" applyFont="1" applyBorder="1" applyAlignment="1">
      <alignment horizontal="left" vertical="center"/>
    </xf>
    <xf numFmtId="9" fontId="15" fillId="0" borderId="44" xfId="35" applyNumberFormat="1" applyFont="1" applyBorder="1" applyAlignment="1">
      <alignment horizontal="right" vertical="center"/>
    </xf>
    <xf numFmtId="0" fontId="13" fillId="0" borderId="16" xfId="68" applyFont="1" applyBorder="1" applyAlignment="1">
      <alignment horizontal="left" vertical="center" wrapText="1"/>
    </xf>
    <xf numFmtId="0" fontId="15" fillId="0" borderId="16" xfId="68" applyFont="1" applyBorder="1" applyAlignment="1">
      <alignment horizontal="left" vertical="center" wrapText="1"/>
    </xf>
    <xf numFmtId="0" fontId="15" fillId="0" borderId="30" xfId="68" applyFont="1" applyBorder="1" applyAlignment="1">
      <alignment horizontal="left" vertical="center"/>
    </xf>
    <xf numFmtId="0" fontId="77" fillId="0" borderId="30" xfId="68" applyFont="1" applyBorder="1" applyAlignment="1">
      <alignment horizontal="left" vertical="center"/>
    </xf>
    <xf numFmtId="0" fontId="77" fillId="0" borderId="26" xfId="35" applyFont="1" applyBorder="1" applyAlignment="1" applyProtection="1">
      <alignment vertical="center"/>
      <protection locked="0"/>
    </xf>
    <xf numFmtId="0" fontId="15" fillId="0" borderId="16" xfId="35" applyFont="1" applyBorder="1" applyAlignment="1">
      <alignment horizontal="center" vertical="center"/>
    </xf>
    <xf numFmtId="3" fontId="15" fillId="0" borderId="29" xfId="35" applyNumberFormat="1" applyFont="1" applyBorder="1" applyAlignment="1">
      <alignment vertical="center"/>
    </xf>
    <xf numFmtId="0" fontId="12" fillId="0" borderId="31" xfId="35" applyFont="1" applyBorder="1" applyAlignment="1">
      <alignment vertical="center"/>
    </xf>
    <xf numFmtId="0" fontId="15" fillId="0" borderId="29" xfId="35" applyFont="1" applyBorder="1" applyAlignment="1">
      <alignment horizontal="right" vertical="center"/>
    </xf>
    <xf numFmtId="9" fontId="15" fillId="0" borderId="73" xfId="35" applyNumberFormat="1" applyFont="1" applyBorder="1" applyAlignment="1">
      <alignment horizontal="right" vertical="center"/>
    </xf>
    <xf numFmtId="0" fontId="77" fillId="0" borderId="16" xfId="35" applyFont="1" applyBorder="1" applyAlignment="1" applyProtection="1">
      <alignment vertical="center"/>
      <protection locked="0"/>
    </xf>
    <xf numFmtId="0" fontId="15" fillId="0" borderId="14" xfId="34" applyFont="1" applyBorder="1" applyAlignment="1">
      <alignment vertical="center"/>
    </xf>
    <xf numFmtId="0" fontId="12" fillId="0" borderId="21" xfId="34" applyFont="1" applyBorder="1" applyAlignment="1">
      <alignment vertical="center"/>
    </xf>
    <xf numFmtId="0" fontId="12" fillId="0" borderId="29" xfId="68" applyFont="1" applyBorder="1" applyAlignment="1">
      <alignment horizontal="left" vertical="center"/>
    </xf>
    <xf numFmtId="0" fontId="13" fillId="0" borderId="24" xfId="68" applyFont="1" applyBorder="1" applyAlignment="1">
      <alignment horizontal="left" vertical="center"/>
    </xf>
    <xf numFmtId="9" fontId="12" fillId="0" borderId="79" xfId="35" applyNumberFormat="1" applyFont="1" applyBorder="1" applyAlignment="1">
      <alignment horizontal="right" vertical="center"/>
    </xf>
    <xf numFmtId="0" fontId="12" fillId="0" borderId="29" xfId="34" applyFont="1" applyBorder="1" applyAlignment="1">
      <alignment vertical="center"/>
    </xf>
    <xf numFmtId="9" fontId="15" fillId="0" borderId="53" xfId="35" applyNumberFormat="1" applyFont="1" applyBorder="1" applyAlignment="1">
      <alignment horizontal="right" vertical="center"/>
    </xf>
    <xf numFmtId="9" fontId="54" fillId="0" borderId="10" xfId="0" applyNumberFormat="1" applyFont="1" applyBorder="1"/>
    <xf numFmtId="0" fontId="76" fillId="0" borderId="0" xfId="83" applyFont="1"/>
    <xf numFmtId="0" fontId="76" fillId="0" borderId="90" xfId="83" applyFont="1" applyBorder="1"/>
    <xf numFmtId="0" fontId="17" fillId="0" borderId="78" xfId="83" applyBorder="1"/>
    <xf numFmtId="0" fontId="86" fillId="0" borderId="68" xfId="83" applyFont="1" applyBorder="1"/>
    <xf numFmtId="3" fontId="86" fillId="0" borderId="48" xfId="83" applyNumberFormat="1" applyFont="1" applyBorder="1" applyAlignment="1">
      <alignment horizontal="right"/>
    </xf>
    <xf numFmtId="3" fontId="86" fillId="0" borderId="48" xfId="83" applyNumberFormat="1" applyFont="1" applyBorder="1"/>
    <xf numFmtId="3" fontId="106" fillId="0" borderId="48" xfId="83" applyNumberFormat="1" applyFont="1" applyBorder="1"/>
    <xf numFmtId="3" fontId="86" fillId="0" borderId="46" xfId="83" applyNumberFormat="1" applyFont="1" applyBorder="1" applyAlignment="1">
      <alignment horizontal="right"/>
    </xf>
    <xf numFmtId="0" fontId="86" fillId="0" borderId="68" xfId="83" applyFont="1" applyBorder="1" applyAlignment="1">
      <alignment horizontal="left"/>
    </xf>
    <xf numFmtId="3" fontId="86" fillId="0" borderId="21" xfId="83" applyNumberFormat="1" applyFont="1" applyBorder="1"/>
    <xf numFmtId="3" fontId="86" fillId="0" borderId="70" xfId="83" applyNumberFormat="1" applyFont="1" applyBorder="1"/>
    <xf numFmtId="0" fontId="86" fillId="0" borderId="93" xfId="83" applyFont="1" applyBorder="1"/>
    <xf numFmtId="0" fontId="86" fillId="0" borderId="24" xfId="83" applyFont="1" applyBorder="1"/>
    <xf numFmtId="3" fontId="86" fillId="0" borderId="11" xfId="83" applyNumberFormat="1" applyFont="1" applyBorder="1" applyAlignment="1">
      <alignment horizontal="right"/>
    </xf>
    <xf numFmtId="3" fontId="86" fillId="0" borderId="50" xfId="83" applyNumberFormat="1" applyFont="1" applyBorder="1" applyAlignment="1">
      <alignment horizontal="right"/>
    </xf>
    <xf numFmtId="0" fontId="17" fillId="0" borderId="11" xfId="80" applyBorder="1" applyAlignment="1">
      <alignment horizontal="left" vertical="center" wrapText="1"/>
    </xf>
    <xf numFmtId="3" fontId="17" fillId="0" borderId="11" xfId="80" applyNumberFormat="1" applyBorder="1" applyAlignment="1">
      <alignment horizontal="right" vertical="center" wrapText="1"/>
    </xf>
    <xf numFmtId="0" fontId="17" fillId="0" borderId="52" xfId="80" applyBorder="1"/>
    <xf numFmtId="0" fontId="17" fillId="0" borderId="71" xfId="80" applyBorder="1"/>
    <xf numFmtId="1" fontId="17" fillId="0" borderId="51" xfId="80" applyNumberFormat="1" applyBorder="1" applyAlignment="1">
      <alignment vertical="center"/>
    </xf>
    <xf numFmtId="3" fontId="17" fillId="0" borderId="50" xfId="80" applyNumberFormat="1" applyBorder="1" applyAlignment="1">
      <alignment horizontal="right" vertical="center" wrapText="1"/>
    </xf>
    <xf numFmtId="1" fontId="17" fillId="0" borderId="49" xfId="80" applyNumberFormat="1" applyBorder="1" applyAlignment="1">
      <alignment vertical="center"/>
    </xf>
    <xf numFmtId="3" fontId="17" fillId="0" borderId="48" xfId="80" applyNumberFormat="1" applyBorder="1" applyAlignment="1">
      <alignment horizontal="right" vertical="center" wrapText="1"/>
    </xf>
    <xf numFmtId="0" fontId="17" fillId="0" borderId="49" xfId="80" applyBorder="1" applyAlignment="1">
      <alignment horizontal="right" vertical="center"/>
    </xf>
    <xf numFmtId="1" fontId="17" fillId="0" borderId="49" xfId="80" applyNumberFormat="1" applyBorder="1" applyAlignment="1">
      <alignment horizontal="right" vertical="center"/>
    </xf>
    <xf numFmtId="1" fontId="17" fillId="0" borderId="47" xfId="80" applyNumberFormat="1" applyBorder="1" applyAlignment="1">
      <alignment horizontal="right" vertical="center"/>
    </xf>
    <xf numFmtId="3" fontId="17" fillId="0" borderId="13" xfId="80" applyNumberFormat="1" applyBorder="1" applyAlignment="1">
      <alignment vertical="center"/>
    </xf>
    <xf numFmtId="3" fontId="17" fillId="0" borderId="13" xfId="80" applyNumberFormat="1" applyBorder="1" applyAlignment="1">
      <alignment horizontal="right" vertical="center" wrapText="1"/>
    </xf>
    <xf numFmtId="3" fontId="17" fillId="0" borderId="13" xfId="80" applyNumberFormat="1" applyBorder="1" applyAlignment="1">
      <alignment horizontal="right" vertical="center"/>
    </xf>
    <xf numFmtId="3" fontId="17" fillId="0" borderId="46" xfId="80" applyNumberFormat="1" applyBorder="1" applyAlignment="1">
      <alignment horizontal="right" vertical="center" wrapText="1"/>
    </xf>
    <xf numFmtId="0" fontId="96" fillId="0" borderId="72" xfId="0" applyFont="1" applyBorder="1" applyAlignment="1">
      <alignment horizontal="center" vertical="center" wrapText="1"/>
    </xf>
    <xf numFmtId="0" fontId="96" fillId="0" borderId="18" xfId="80" applyFont="1" applyBorder="1" applyAlignment="1">
      <alignment horizontal="center" vertical="center" wrapText="1"/>
    </xf>
    <xf numFmtId="0" fontId="96" fillId="0" borderId="18" xfId="0" applyFont="1" applyBorder="1" applyAlignment="1">
      <alignment horizontal="center" vertical="center" wrapText="1"/>
    </xf>
    <xf numFmtId="0" fontId="96" fillId="0" borderId="79" xfId="80" applyFont="1" applyBorder="1" applyAlignment="1">
      <alignment horizontal="center" vertical="center" wrapText="1"/>
    </xf>
    <xf numFmtId="0" fontId="96" fillId="0" borderId="49" xfId="0" applyFont="1" applyBorder="1" applyAlignment="1">
      <alignment horizontal="center" vertical="center" wrapText="1"/>
    </xf>
    <xf numFmtId="0" fontId="96" fillId="0" borderId="48" xfId="80" applyFont="1" applyBorder="1" applyAlignment="1">
      <alignment horizontal="center" vertical="center" wrapText="1"/>
    </xf>
    <xf numFmtId="0" fontId="0" fillId="0" borderId="49" xfId="0" applyBorder="1" applyAlignment="1">
      <alignment horizontal="left" vertical="center"/>
    </xf>
    <xf numFmtId="3" fontId="97" fillId="0" borderId="48" xfId="80" applyNumberFormat="1" applyFont="1" applyBorder="1" applyAlignment="1">
      <alignment horizontal="right" vertical="center" wrapText="1"/>
    </xf>
    <xf numFmtId="0" fontId="0" fillId="0" borderId="47" xfId="0" applyBorder="1"/>
    <xf numFmtId="0" fontId="0" fillId="0" borderId="13" xfId="0" applyBorder="1"/>
    <xf numFmtId="0" fontId="0" fillId="0" borderId="46" xfId="0" applyBorder="1"/>
    <xf numFmtId="0" fontId="74" fillId="0" borderId="42" xfId="0" applyFont="1" applyBorder="1" applyAlignment="1">
      <alignment vertical="center"/>
    </xf>
    <xf numFmtId="3" fontId="74" fillId="0" borderId="15" xfId="0" applyNumberFormat="1" applyFont="1" applyBorder="1" applyAlignment="1">
      <alignment vertical="center"/>
    </xf>
    <xf numFmtId="0" fontId="74" fillId="0" borderId="15" xfId="0" applyFont="1" applyBorder="1" applyAlignment="1">
      <alignment vertical="center"/>
    </xf>
    <xf numFmtId="3" fontId="74" fillId="0" borderId="37" xfId="0" applyNumberFormat="1" applyFont="1" applyBorder="1" applyAlignment="1">
      <alignment vertical="center"/>
    </xf>
    <xf numFmtId="0" fontId="16" fillId="0" borderId="31" xfId="0" applyFont="1" applyBorder="1"/>
    <xf numFmtId="3" fontId="16" fillId="0" borderId="26" xfId="0" applyNumberFormat="1" applyFont="1" applyBorder="1" applyAlignment="1">
      <alignment horizontal="right"/>
    </xf>
    <xf numFmtId="9" fontId="5" fillId="0" borderId="26" xfId="0" applyNumberFormat="1" applyFont="1" applyBorder="1" applyAlignment="1">
      <alignment horizontal="right"/>
    </xf>
    <xf numFmtId="3" fontId="16" fillId="0" borderId="53" xfId="0" applyNumberFormat="1" applyFont="1" applyBorder="1" applyAlignment="1">
      <alignment horizontal="center"/>
    </xf>
    <xf numFmtId="3" fontId="16" fillId="0" borderId="18" xfId="0" applyNumberFormat="1" applyFont="1" applyBorder="1" applyAlignment="1">
      <alignment horizontal="right"/>
    </xf>
    <xf numFmtId="3" fontId="14" fillId="0" borderId="79" xfId="0" applyNumberFormat="1" applyFont="1" applyBorder="1" applyAlignment="1">
      <alignment horizontal="center"/>
    </xf>
    <xf numFmtId="3" fontId="45" fillId="0" borderId="0" xfId="34" applyNumberFormat="1" applyFont="1" applyAlignment="1">
      <alignment horizontal="left" vertical="center"/>
    </xf>
    <xf numFmtId="3" fontId="108" fillId="0" borderId="0" xfId="0" applyNumberFormat="1" applyFont="1" applyAlignment="1">
      <alignment horizontal="left"/>
    </xf>
    <xf numFmtId="0" fontId="84" fillId="0" borderId="0" xfId="69" applyFont="1" applyAlignment="1">
      <alignment horizontal="center" vertical="center"/>
    </xf>
    <xf numFmtId="3" fontId="15" fillId="0" borderId="13" xfId="0" applyNumberFormat="1" applyFont="1" applyBorder="1"/>
    <xf numFmtId="0" fontId="12" fillId="0" borderId="11" xfId="34" applyFont="1" applyBorder="1" applyAlignment="1">
      <alignment vertical="center"/>
    </xf>
    <xf numFmtId="3" fontId="12" fillId="0" borderId="11" xfId="35" applyNumberFormat="1" applyFont="1" applyBorder="1" applyAlignment="1">
      <alignment horizontal="right" vertical="center"/>
    </xf>
    <xf numFmtId="9" fontId="12" fillId="0" borderId="11" xfId="35" applyNumberFormat="1" applyFont="1" applyBorder="1" applyAlignment="1">
      <alignment horizontal="right" vertical="center"/>
    </xf>
    <xf numFmtId="0" fontId="11" fillId="0" borderId="41" xfId="35" applyFont="1" applyBorder="1" applyAlignment="1">
      <alignment vertical="center"/>
    </xf>
    <xf numFmtId="0" fontId="12" fillId="0" borderId="13" xfId="34" applyFont="1" applyBorder="1" applyAlignment="1">
      <alignment vertical="center"/>
    </xf>
    <xf numFmtId="3" fontId="12" fillId="0" borderId="13" xfId="35" applyNumberFormat="1" applyFont="1" applyBorder="1" applyAlignment="1">
      <alignment horizontal="right" vertical="center"/>
    </xf>
    <xf numFmtId="9" fontId="12" fillId="0" borderId="13" xfId="35" applyNumberFormat="1" applyFont="1" applyBorder="1" applyAlignment="1">
      <alignment horizontal="right" vertical="center"/>
    </xf>
    <xf numFmtId="0" fontId="15" fillId="0" borderId="41" xfId="35" applyFont="1" applyBorder="1" applyAlignment="1">
      <alignment vertical="center"/>
    </xf>
    <xf numFmtId="9" fontId="12" fillId="0" borderId="15" xfId="0" applyNumberFormat="1" applyFont="1" applyBorder="1" applyAlignment="1">
      <alignment horizontal="right"/>
    </xf>
    <xf numFmtId="0" fontId="86" fillId="0" borderId="94" xfId="83" applyFont="1" applyBorder="1"/>
    <xf numFmtId="0" fontId="86" fillId="0" borderId="36" xfId="83" applyFont="1" applyBorder="1"/>
    <xf numFmtId="3" fontId="86" fillId="0" borderId="13" xfId="83" applyNumberFormat="1" applyFont="1" applyBorder="1"/>
    <xf numFmtId="3" fontId="86" fillId="0" borderId="46" xfId="83" applyNumberFormat="1" applyFont="1" applyBorder="1"/>
    <xf numFmtId="0" fontId="17" fillId="0" borderId="42" xfId="80" applyBorder="1"/>
    <xf numFmtId="0" fontId="76" fillId="0" borderId="15" xfId="80" applyFont="1" applyBorder="1" applyAlignment="1">
      <alignment vertical="center"/>
    </xf>
    <xf numFmtId="3" fontId="76" fillId="0" borderId="15" xfId="80" applyNumberFormat="1" applyFont="1" applyBorder="1" applyAlignment="1">
      <alignment vertical="center"/>
    </xf>
    <xf numFmtId="3" fontId="76" fillId="0" borderId="37" xfId="80" applyNumberFormat="1" applyFont="1" applyBorder="1" applyAlignment="1">
      <alignment vertical="center"/>
    </xf>
    <xf numFmtId="3" fontId="17" fillId="0" borderId="0" xfId="83" applyNumberFormat="1" applyAlignment="1">
      <alignment horizontal="center"/>
    </xf>
    <xf numFmtId="3" fontId="17" fillId="0" borderId="0" xfId="83" applyNumberFormat="1"/>
    <xf numFmtId="3" fontId="94" fillId="0" borderId="0" xfId="83" applyNumberFormat="1" applyFont="1" applyAlignment="1">
      <alignment horizontal="center" vertical="center"/>
    </xf>
    <xf numFmtId="3" fontId="17" fillId="0" borderId="78" xfId="83" applyNumberFormat="1" applyBorder="1"/>
    <xf numFmtId="3" fontId="17" fillId="0" borderId="75" xfId="83" applyNumberFormat="1" applyBorder="1"/>
    <xf numFmtId="3" fontId="76" fillId="0" borderId="84" xfId="83" applyNumberFormat="1" applyFont="1" applyBorder="1" applyAlignment="1">
      <alignment horizontal="right"/>
    </xf>
    <xf numFmtId="3" fontId="81" fillId="0" borderId="21" xfId="83" applyNumberFormat="1" applyFont="1" applyBorder="1" applyAlignment="1">
      <alignment horizontal="center"/>
    </xf>
    <xf numFmtId="3" fontId="81" fillId="0" borderId="70" xfId="83" applyNumberFormat="1" applyFont="1" applyBorder="1" applyAlignment="1">
      <alignment horizontal="center"/>
    </xf>
    <xf numFmtId="3" fontId="86" fillId="0" borderId="33" xfId="83" applyNumberFormat="1" applyFont="1" applyBorder="1" applyAlignment="1">
      <alignment horizontal="right"/>
    </xf>
    <xf numFmtId="3" fontId="86" fillId="0" borderId="22" xfId="83" applyNumberFormat="1" applyFont="1" applyBorder="1" applyAlignment="1">
      <alignment horizontal="left"/>
    </xf>
    <xf numFmtId="3" fontId="1" fillId="0" borderId="0" xfId="84" applyNumberFormat="1"/>
    <xf numFmtId="3" fontId="15" fillId="0" borderId="47" xfId="0" applyNumberFormat="1" applyFont="1" applyBorder="1"/>
    <xf numFmtId="3" fontId="6" fillId="0" borderId="45" xfId="0" applyNumberFormat="1" applyFont="1" applyBorder="1"/>
    <xf numFmtId="0" fontId="90" fillId="0" borderId="0" xfId="80" applyFont="1" applyAlignment="1">
      <alignment horizontal="center" vertical="center"/>
    </xf>
    <xf numFmtId="0" fontId="74" fillId="0" borderId="11" xfId="80" applyFont="1" applyBorder="1" applyAlignment="1">
      <alignment vertical="center"/>
    </xf>
    <xf numFmtId="3" fontId="74" fillId="0" borderId="12" xfId="80" applyNumberFormat="1" applyFont="1" applyBorder="1" applyAlignment="1">
      <alignment vertical="center"/>
    </xf>
    <xf numFmtId="3" fontId="74" fillId="0" borderId="11" xfId="80" applyNumberFormat="1" applyFont="1" applyBorder="1" applyAlignment="1">
      <alignment vertical="center"/>
    </xf>
    <xf numFmtId="0" fontId="74" fillId="0" borderId="12" xfId="80" applyFont="1" applyBorder="1" applyAlignment="1">
      <alignment vertical="center"/>
    </xf>
    <xf numFmtId="3" fontId="83" fillId="0" borderId="12" xfId="80" applyNumberFormat="1" applyFont="1" applyBorder="1" applyAlignment="1">
      <alignment vertical="center"/>
    </xf>
    <xf numFmtId="0" fontId="17" fillId="0" borderId="12" xfId="80" applyBorder="1"/>
    <xf numFmtId="0" fontId="92" fillId="0" borderId="0" xfId="80" applyFont="1"/>
    <xf numFmtId="0" fontId="83" fillId="0" borderId="11" xfId="80" applyFont="1" applyBorder="1" applyAlignment="1">
      <alignment vertical="center"/>
    </xf>
    <xf numFmtId="3" fontId="83" fillId="0" borderId="11" xfId="80" applyNumberFormat="1" applyFont="1" applyBorder="1" applyAlignment="1">
      <alignment vertical="center"/>
    </xf>
    <xf numFmtId="3" fontId="83" fillId="0" borderId="11" xfId="80" applyNumberFormat="1" applyFont="1" applyBorder="1" applyAlignment="1">
      <alignment horizontal="right" vertical="center"/>
    </xf>
    <xf numFmtId="0" fontId="83" fillId="0" borderId="11" xfId="80" applyFont="1" applyBorder="1" applyAlignment="1">
      <alignment vertical="center" wrapText="1"/>
    </xf>
    <xf numFmtId="0" fontId="83" fillId="0" borderId="12" xfId="80" applyFont="1" applyBorder="1" applyAlignment="1">
      <alignment vertical="center"/>
    </xf>
    <xf numFmtId="0" fontId="83" fillId="0" borderId="12" xfId="80" applyFont="1" applyBorder="1" applyAlignment="1">
      <alignment vertical="center" wrapText="1"/>
    </xf>
    <xf numFmtId="0" fontId="17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4" fillId="0" borderId="12" xfId="80" applyFont="1" applyBorder="1" applyAlignment="1">
      <alignment vertical="center" wrapText="1"/>
    </xf>
    <xf numFmtId="0" fontId="74" fillId="0" borderId="21" xfId="80" applyFont="1" applyBorder="1" applyAlignment="1">
      <alignment horizontal="center" vertical="center" wrapText="1"/>
    </xf>
    <xf numFmtId="3" fontId="37" fillId="0" borderId="24" xfId="69" applyNumberFormat="1" applyFont="1" applyFill="1" applyBorder="1"/>
    <xf numFmtId="0" fontId="37" fillId="0" borderId="24" xfId="69" applyFont="1" applyFill="1" applyBorder="1"/>
    <xf numFmtId="3" fontId="79" fillId="0" borderId="11" xfId="69" applyNumberFormat="1" applyFont="1" applyFill="1" applyBorder="1"/>
    <xf numFmtId="3" fontId="79" fillId="0" borderId="22" xfId="69" applyNumberFormat="1" applyFont="1" applyFill="1" applyBorder="1"/>
    <xf numFmtId="3" fontId="37" fillId="0" borderId="22" xfId="0" applyNumberFormat="1" applyFont="1" applyFill="1" applyBorder="1"/>
    <xf numFmtId="0" fontId="37" fillId="0" borderId="22" xfId="69" applyFont="1" applyFill="1" applyBorder="1"/>
    <xf numFmtId="3" fontId="79" fillId="0" borderId="12" xfId="69" applyNumberFormat="1" applyFont="1" applyFill="1" applyBorder="1"/>
    <xf numFmtId="0" fontId="38" fillId="0" borderId="22" xfId="69" applyFont="1" applyFill="1" applyBorder="1"/>
    <xf numFmtId="3" fontId="38" fillId="0" borderId="12" xfId="69" applyNumberFormat="1" applyFont="1" applyFill="1" applyBorder="1"/>
    <xf numFmtId="3" fontId="79" fillId="0" borderId="13" xfId="69" applyNumberFormat="1" applyFont="1" applyFill="1" applyBorder="1"/>
    <xf numFmtId="3" fontId="37" fillId="0" borderId="15" xfId="69" applyNumberFormat="1" applyFont="1" applyFill="1" applyBorder="1"/>
    <xf numFmtId="3" fontId="79" fillId="0" borderId="24" xfId="69" applyNumberFormat="1" applyFont="1" applyFill="1" applyBorder="1"/>
    <xf numFmtId="3" fontId="80" fillId="0" borderId="12" xfId="0" applyNumberFormat="1" applyFont="1" applyFill="1" applyBorder="1"/>
    <xf numFmtId="3" fontId="79" fillId="0" borderId="21" xfId="69" applyNumberFormat="1" applyFont="1" applyFill="1" applyBorder="1"/>
    <xf numFmtId="0" fontId="37" fillId="0" borderId="17" xfId="69" applyFont="1" applyFill="1" applyBorder="1"/>
    <xf numFmtId="3" fontId="79" fillId="0" borderId="28" xfId="69" applyNumberFormat="1" applyFont="1" applyFill="1" applyBorder="1"/>
    <xf numFmtId="0" fontId="37" fillId="0" borderId="16" xfId="69" applyFont="1" applyFill="1" applyBorder="1"/>
    <xf numFmtId="3" fontId="79" fillId="0" borderId="0" xfId="69" applyNumberFormat="1" applyFont="1" applyFill="1"/>
    <xf numFmtId="0" fontId="79" fillId="0" borderId="16" xfId="69" applyFont="1" applyFill="1" applyBorder="1"/>
    <xf numFmtId="0" fontId="79" fillId="0" borderId="0" xfId="69" applyFont="1" applyFill="1"/>
    <xf numFmtId="3" fontId="37" fillId="0" borderId="14" xfId="69" applyNumberFormat="1" applyFont="1" applyFill="1" applyBorder="1"/>
    <xf numFmtId="3" fontId="79" fillId="0" borderId="15" xfId="69" applyNumberFormat="1" applyFont="1" applyFill="1" applyBorder="1"/>
    <xf numFmtId="3" fontId="37" fillId="0" borderId="55" xfId="69" applyNumberFormat="1" applyFont="1" applyFill="1" applyBorder="1"/>
    <xf numFmtId="0" fontId="79" fillId="0" borderId="56" xfId="69" applyFont="1" applyFill="1" applyBorder="1"/>
    <xf numFmtId="0" fontId="79" fillId="0" borderId="57" xfId="69" applyFont="1" applyFill="1" applyBorder="1"/>
    <xf numFmtId="3" fontId="37" fillId="0" borderId="56" xfId="69" applyNumberFormat="1" applyFont="1" applyFill="1" applyBorder="1"/>
    <xf numFmtId="0" fontId="74" fillId="0" borderId="56" xfId="69" applyFont="1" applyFill="1" applyBorder="1" applyAlignment="1">
      <alignment vertical="center"/>
    </xf>
    <xf numFmtId="3" fontId="37" fillId="0" borderId="54" xfId="69" applyNumberFormat="1" applyFont="1" applyFill="1" applyBorder="1"/>
    <xf numFmtId="3" fontId="79" fillId="0" borderId="60" xfId="69" applyNumberFormat="1" applyFont="1" applyFill="1" applyBorder="1"/>
    <xf numFmtId="0" fontId="79" fillId="0" borderId="61" xfId="69" applyFont="1" applyFill="1" applyBorder="1"/>
    <xf numFmtId="0" fontId="79" fillId="0" borderId="62" xfId="69" applyFont="1" applyFill="1" applyBorder="1"/>
    <xf numFmtId="3" fontId="79" fillId="0" borderId="16" xfId="69" applyNumberFormat="1" applyFont="1" applyFill="1" applyBorder="1"/>
    <xf numFmtId="0" fontId="79" fillId="0" borderId="32" xfId="69" applyFont="1" applyFill="1" applyBorder="1"/>
    <xf numFmtId="0" fontId="79" fillId="0" borderId="22" xfId="69" applyFont="1" applyFill="1" applyBorder="1"/>
    <xf numFmtId="0" fontId="79" fillId="0" borderId="24" xfId="69" applyFont="1" applyFill="1" applyBorder="1"/>
    <xf numFmtId="0" fontId="79" fillId="0" borderId="12" xfId="69" applyFont="1" applyFill="1" applyBorder="1"/>
    <xf numFmtId="3" fontId="79" fillId="0" borderId="18" xfId="69" applyNumberFormat="1" applyFont="1" applyFill="1" applyBorder="1"/>
    <xf numFmtId="0" fontId="79" fillId="0" borderId="17" xfId="69" applyFont="1" applyFill="1" applyBorder="1"/>
    <xf numFmtId="0" fontId="79" fillId="0" borderId="28" xfId="69" applyFont="1" applyFill="1" applyBorder="1"/>
    <xf numFmtId="3" fontId="79" fillId="0" borderId="10" xfId="69" applyNumberFormat="1" applyFont="1" applyFill="1" applyBorder="1"/>
    <xf numFmtId="3" fontId="37" fillId="0" borderId="0" xfId="69" applyNumberFormat="1" applyFont="1" applyFill="1"/>
    <xf numFmtId="0" fontId="0" fillId="0" borderId="16" xfId="0" applyFill="1" applyBorder="1"/>
    <xf numFmtId="0" fontId="0" fillId="0" borderId="56" xfId="0" applyFill="1" applyBorder="1"/>
    <xf numFmtId="3" fontId="79" fillId="0" borderId="57" xfId="69" applyNumberFormat="1" applyFont="1" applyFill="1" applyBorder="1"/>
    <xf numFmtId="3" fontId="74" fillId="0" borderId="56" xfId="69" applyNumberFormat="1" applyFont="1" applyFill="1" applyBorder="1" applyAlignment="1">
      <alignment vertical="center"/>
    </xf>
    <xf numFmtId="0" fontId="74" fillId="0" borderId="63" xfId="69" applyFont="1" applyFill="1" applyBorder="1" applyAlignment="1">
      <alignment vertical="center"/>
    </xf>
    <xf numFmtId="3" fontId="74" fillId="0" borderId="54" xfId="69" applyNumberFormat="1" applyFont="1" applyFill="1" applyBorder="1" applyAlignment="1">
      <alignment vertical="center"/>
    </xf>
    <xf numFmtId="3" fontId="79" fillId="0" borderId="11" xfId="69" applyNumberFormat="1" applyFont="1" applyFill="1" applyBorder="1" applyAlignment="1">
      <alignment vertical="center"/>
    </xf>
    <xf numFmtId="0" fontId="79" fillId="0" borderId="12" xfId="34" applyFont="1" applyFill="1" applyBorder="1"/>
    <xf numFmtId="3" fontId="79" fillId="0" borderId="60" xfId="69" applyNumberFormat="1" applyFont="1" applyFill="1" applyBorder="1" applyAlignment="1">
      <alignment vertical="center"/>
    </xf>
    <xf numFmtId="3" fontId="79" fillId="0" borderId="12" xfId="69" applyNumberFormat="1" applyFont="1" applyFill="1" applyBorder="1" applyAlignment="1">
      <alignment vertical="center"/>
    </xf>
    <xf numFmtId="0" fontId="79" fillId="0" borderId="64" xfId="34" applyFont="1" applyFill="1" applyBorder="1"/>
    <xf numFmtId="3" fontId="79" fillId="0" borderId="54" xfId="69" applyNumberFormat="1" applyFont="1" applyFill="1" applyBorder="1"/>
    <xf numFmtId="3" fontId="79" fillId="0" borderId="65" xfId="69" applyNumberFormat="1" applyFont="1" applyFill="1" applyBorder="1"/>
    <xf numFmtId="0" fontId="74" fillId="0" borderId="54" xfId="69" applyFont="1" applyFill="1" applyBorder="1" applyAlignment="1">
      <alignment vertical="center"/>
    </xf>
    <xf numFmtId="3" fontId="37" fillId="0" borderId="59" xfId="69" applyNumberFormat="1" applyFont="1" applyFill="1" applyBorder="1"/>
    <xf numFmtId="3" fontId="79" fillId="0" borderId="67" xfId="69" applyNumberFormat="1" applyFont="1" applyFill="1" applyBorder="1"/>
    <xf numFmtId="0" fontId="79" fillId="0" borderId="67" xfId="69" applyFont="1" applyFill="1" applyBorder="1"/>
    <xf numFmtId="3" fontId="79" fillId="0" borderId="66" xfId="69" applyNumberFormat="1" applyFont="1" applyFill="1" applyBorder="1"/>
    <xf numFmtId="3" fontId="37" fillId="0" borderId="58" xfId="69" applyNumberFormat="1" applyFont="1" applyFill="1" applyBorder="1"/>
    <xf numFmtId="3" fontId="79" fillId="0" borderId="56" xfId="0" applyNumberFormat="1" applyFont="1" applyFill="1" applyBorder="1"/>
    <xf numFmtId="3" fontId="74" fillId="0" borderId="59" xfId="69" applyNumberFormat="1" applyFont="1" applyFill="1" applyBorder="1" applyAlignment="1">
      <alignment vertical="center"/>
    </xf>
    <xf numFmtId="0" fontId="81" fillId="0" borderId="59" xfId="69" applyFont="1" applyFill="1" applyBorder="1" applyAlignment="1">
      <alignment vertical="center"/>
    </xf>
    <xf numFmtId="0" fontId="5" fillId="0" borderId="30" xfId="35" applyFont="1" applyFill="1" applyBorder="1" applyAlignment="1">
      <alignment horizontal="center" vertical="center"/>
    </xf>
    <xf numFmtId="3" fontId="6" fillId="0" borderId="22" xfId="34" applyNumberFormat="1" applyFont="1" applyFill="1" applyBorder="1" applyAlignment="1">
      <alignment vertical="center" wrapText="1"/>
    </xf>
    <xf numFmtId="3" fontId="15" fillId="0" borderId="12" xfId="34" applyNumberFormat="1" applyFont="1" applyFill="1" applyBorder="1" applyAlignment="1">
      <alignment vertical="center" wrapText="1"/>
    </xf>
    <xf numFmtId="3" fontId="6" fillId="0" borderId="12" xfId="34" applyNumberFormat="1" applyFont="1" applyFill="1" applyBorder="1" applyAlignment="1">
      <alignment vertical="center" wrapText="1"/>
    </xf>
    <xf numFmtId="3" fontId="12" fillId="0" borderId="12" xfId="34" applyNumberFormat="1" applyFont="1" applyFill="1" applyBorder="1" applyAlignment="1">
      <alignment vertical="center" wrapText="1"/>
    </xf>
    <xf numFmtId="3" fontId="15" fillId="0" borderId="13" xfId="34" applyNumberFormat="1" applyFont="1" applyFill="1" applyBorder="1" applyAlignment="1">
      <alignment vertical="center" wrapText="1"/>
    </xf>
    <xf numFmtId="3" fontId="15" fillId="0" borderId="15" xfId="34" applyNumberFormat="1" applyFont="1" applyFill="1" applyBorder="1" applyAlignment="1">
      <alignment vertical="center" wrapText="1"/>
    </xf>
    <xf numFmtId="3" fontId="6" fillId="0" borderId="11" xfId="34" applyNumberFormat="1" applyFont="1" applyFill="1" applyBorder="1" applyAlignment="1">
      <alignment vertical="center" wrapText="1"/>
    </xf>
    <xf numFmtId="3" fontId="6" fillId="0" borderId="13" xfId="34" applyNumberFormat="1" applyFont="1" applyFill="1" applyBorder="1" applyAlignment="1">
      <alignment vertical="center" wrapText="1"/>
    </xf>
    <xf numFmtId="3" fontId="77" fillId="0" borderId="15" xfId="34" applyNumberFormat="1" applyFont="1" applyFill="1" applyBorder="1" applyAlignment="1">
      <alignment vertical="center" wrapText="1"/>
    </xf>
    <xf numFmtId="3" fontId="12" fillId="0" borderId="13" xfId="34" applyNumberFormat="1" applyFont="1" applyFill="1" applyBorder="1" applyAlignment="1">
      <alignment vertical="center" wrapText="1"/>
    </xf>
    <xf numFmtId="3" fontId="6" fillId="0" borderId="10" xfId="34" applyNumberFormat="1" applyFont="1" applyFill="1" applyBorder="1" applyAlignment="1">
      <alignment vertical="center" wrapText="1"/>
    </xf>
    <xf numFmtId="0" fontId="6" fillId="0" borderId="11" xfId="34" applyFont="1" applyFill="1" applyBorder="1" applyAlignment="1">
      <alignment vertical="center" wrapText="1"/>
    </xf>
    <xf numFmtId="0" fontId="6" fillId="0" borderId="12" xfId="34" applyFont="1" applyFill="1" applyBorder="1" applyAlignment="1">
      <alignment vertical="center" wrapText="1"/>
    </xf>
    <xf numFmtId="3" fontId="11" fillId="0" borderId="15" xfId="34" applyNumberFormat="1" applyFont="1" applyFill="1" applyBorder="1" applyAlignment="1">
      <alignment vertical="center" wrapText="1"/>
    </xf>
    <xf numFmtId="3" fontId="15" fillId="0" borderId="11" xfId="34" applyNumberFormat="1" applyFont="1" applyFill="1" applyBorder="1" applyAlignment="1">
      <alignment vertical="center" wrapText="1"/>
    </xf>
    <xf numFmtId="3" fontId="12" fillId="0" borderId="11" xfId="34" applyNumberFormat="1" applyFont="1" applyFill="1" applyBorder="1" applyAlignment="1">
      <alignment vertical="center" wrapText="1"/>
    </xf>
    <xf numFmtId="0" fontId="6" fillId="0" borderId="13" xfId="34" applyFont="1" applyFill="1" applyBorder="1" applyAlignment="1">
      <alignment vertical="center" wrapText="1"/>
    </xf>
    <xf numFmtId="0" fontId="15" fillId="0" borderId="15" xfId="34" applyFont="1" applyFill="1" applyBorder="1" applyAlignment="1">
      <alignment vertical="center" wrapText="1"/>
    </xf>
    <xf numFmtId="0" fontId="6" fillId="0" borderId="10" xfId="34" applyFont="1" applyFill="1" applyBorder="1" applyAlignment="1">
      <alignment vertical="center" wrapText="1"/>
    </xf>
    <xf numFmtId="3" fontId="7" fillId="0" borderId="11" xfId="34" applyNumberFormat="1" applyFont="1" applyFill="1" applyBorder="1" applyAlignment="1">
      <alignment vertical="center" wrapText="1"/>
    </xf>
    <xf numFmtId="3" fontId="5" fillId="0" borderId="12" xfId="34" applyNumberFormat="1" applyFont="1" applyFill="1" applyBorder="1" applyAlignment="1">
      <alignment vertical="center" wrapText="1"/>
    </xf>
    <xf numFmtId="3" fontId="5" fillId="0" borderId="15" xfId="34" applyNumberFormat="1" applyFont="1" applyFill="1" applyBorder="1" applyAlignment="1">
      <alignment vertical="center" wrapText="1"/>
    </xf>
    <xf numFmtId="3" fontId="5" fillId="0" borderId="11" xfId="34" applyNumberFormat="1" applyFont="1" applyFill="1" applyBorder="1" applyAlignment="1">
      <alignment vertical="center" wrapText="1"/>
    </xf>
    <xf numFmtId="3" fontId="5" fillId="0" borderId="10" xfId="34" applyNumberFormat="1" applyFont="1" applyFill="1" applyBorder="1" applyAlignment="1">
      <alignment vertical="center" wrapText="1"/>
    </xf>
    <xf numFmtId="3" fontId="6" fillId="0" borderId="24" xfId="0" applyNumberFormat="1" applyFont="1" applyFill="1" applyBorder="1"/>
    <xf numFmtId="3" fontId="5" fillId="0" borderId="12" xfId="0" applyNumberFormat="1" applyFont="1" applyFill="1" applyBorder="1"/>
    <xf numFmtId="3" fontId="6" fillId="0" borderId="11" xfId="0" applyNumberFormat="1" applyFont="1" applyFill="1" applyBorder="1"/>
    <xf numFmtId="3" fontId="5" fillId="0" borderId="11" xfId="0" applyNumberFormat="1" applyFont="1" applyFill="1" applyBorder="1"/>
    <xf numFmtId="3" fontId="6" fillId="0" borderId="12" xfId="0" applyNumberFormat="1" applyFont="1" applyFill="1" applyBorder="1"/>
    <xf numFmtId="3" fontId="12" fillId="0" borderId="12" xfId="0" applyNumberFormat="1" applyFont="1" applyFill="1" applyBorder="1"/>
    <xf numFmtId="3" fontId="15" fillId="0" borderId="11" xfId="0" applyNumberFormat="1" applyFont="1" applyFill="1" applyBorder="1"/>
    <xf numFmtId="3" fontId="5" fillId="0" borderId="13" xfId="0" applyNumberFormat="1" applyFont="1" applyFill="1" applyBorder="1"/>
    <xf numFmtId="3" fontId="15" fillId="0" borderId="12" xfId="0" applyNumberFormat="1" applyFont="1" applyFill="1" applyBorder="1"/>
    <xf numFmtId="3" fontId="13" fillId="0" borderId="12" xfId="0" applyNumberFormat="1" applyFont="1" applyFill="1" applyBorder="1"/>
    <xf numFmtId="3" fontId="10" fillId="0" borderId="12" xfId="0" applyNumberFormat="1" applyFont="1" applyFill="1" applyBorder="1"/>
    <xf numFmtId="3" fontId="6" fillId="0" borderId="13" xfId="0" applyNumberFormat="1" applyFont="1" applyFill="1" applyBorder="1"/>
    <xf numFmtId="3" fontId="13" fillId="0" borderId="21" xfId="0" applyNumberFormat="1" applyFont="1" applyFill="1" applyBorder="1"/>
    <xf numFmtId="3" fontId="11" fillId="0" borderId="15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2" fillId="0" borderId="11" xfId="0" applyNumberFormat="1" applyFont="1" applyFill="1" applyBorder="1"/>
    <xf numFmtId="3" fontId="12" fillId="0" borderId="21" xfId="0" applyNumberFormat="1" applyFont="1" applyFill="1" applyBorder="1"/>
    <xf numFmtId="3" fontId="11" fillId="0" borderId="14" xfId="0" applyNumberFormat="1" applyFont="1" applyFill="1" applyBorder="1" applyAlignment="1">
      <alignment vertical="center"/>
    </xf>
    <xf numFmtId="3" fontId="15" fillId="0" borderId="14" xfId="0" applyNumberFormat="1" applyFont="1" applyFill="1" applyBorder="1"/>
    <xf numFmtId="3" fontId="7" fillId="0" borderId="11" xfId="0" applyNumberFormat="1" applyFont="1" applyFill="1" applyBorder="1"/>
    <xf numFmtId="3" fontId="15" fillId="0" borderId="15" xfId="0" applyNumberFormat="1" applyFont="1" applyFill="1" applyBorder="1"/>
    <xf numFmtId="3" fontId="10" fillId="0" borderId="14" xfId="0" applyNumberFormat="1" applyFont="1" applyFill="1" applyBorder="1"/>
    <xf numFmtId="3" fontId="10" fillId="0" borderId="10" xfId="0" applyNumberFormat="1" applyFont="1" applyFill="1" applyBorder="1"/>
    <xf numFmtId="3" fontId="7" fillId="0" borderId="12" xfId="0" applyNumberFormat="1" applyFont="1" applyFill="1" applyBorder="1"/>
    <xf numFmtId="3" fontId="6" fillId="0" borderId="21" xfId="0" applyNumberFormat="1" applyFont="1" applyFill="1" applyBorder="1"/>
    <xf numFmtId="3" fontId="12" fillId="0" borderId="14" xfId="0" applyNumberFormat="1" applyFont="1" applyFill="1" applyBorder="1"/>
    <xf numFmtId="3" fontId="0" fillId="0" borderId="10" xfId="0" applyNumberFormat="1" applyFill="1" applyBorder="1" applyAlignment="1">
      <alignment vertical="center"/>
    </xf>
    <xf numFmtId="3" fontId="12" fillId="0" borderId="13" xfId="0" applyNumberFormat="1" applyFont="1" applyFill="1" applyBorder="1"/>
    <xf numFmtId="3" fontId="15" fillId="0" borderId="15" xfId="0" applyNumberFormat="1" applyFont="1" applyFill="1" applyBorder="1" applyAlignment="1">
      <alignment vertical="center"/>
    </xf>
    <xf numFmtId="3" fontId="12" fillId="0" borderId="10" xfId="0" applyNumberFormat="1" applyFont="1" applyFill="1" applyBorder="1"/>
    <xf numFmtId="3" fontId="6" fillId="0" borderId="0" xfId="0" applyNumberFormat="1" applyFont="1" applyFill="1"/>
    <xf numFmtId="0" fontId="5" fillId="0" borderId="10" xfId="35" applyFont="1" applyFill="1" applyBorder="1" applyAlignment="1">
      <alignment horizontal="center" vertical="center"/>
    </xf>
    <xf numFmtId="0" fontId="12" fillId="0" borderId="10" xfId="35" applyFont="1" applyFill="1" applyBorder="1" applyAlignment="1">
      <alignment horizontal="right" vertical="center"/>
    </xf>
    <xf numFmtId="0" fontId="5" fillId="0" borderId="15" xfId="35" applyFont="1" applyFill="1" applyBorder="1" applyAlignment="1">
      <alignment horizontal="right" vertical="center"/>
    </xf>
    <xf numFmtId="3" fontId="6" fillId="0" borderId="10" xfId="35" applyNumberFormat="1" applyFont="1" applyFill="1" applyBorder="1" applyAlignment="1">
      <alignment horizontal="right" vertical="center"/>
    </xf>
    <xf numFmtId="3" fontId="9" fillId="0" borderId="10" xfId="35" applyNumberFormat="1" applyFont="1" applyFill="1" applyBorder="1" applyAlignment="1">
      <alignment horizontal="right" vertical="center"/>
    </xf>
    <xf numFmtId="3" fontId="5" fillId="0" borderId="15" xfId="35" applyNumberFormat="1" applyFont="1" applyFill="1" applyBorder="1" applyAlignment="1">
      <alignment horizontal="right" vertical="center"/>
    </xf>
    <xf numFmtId="3" fontId="5" fillId="0" borderId="14" xfId="35" applyNumberFormat="1" applyFont="1" applyFill="1" applyBorder="1" applyAlignment="1">
      <alignment horizontal="right" vertical="center"/>
    </xf>
    <xf numFmtId="3" fontId="6" fillId="0" borderId="29" xfId="35" applyNumberFormat="1" applyFont="1" applyFill="1" applyBorder="1" applyAlignment="1">
      <alignment horizontal="right" vertical="center"/>
    </xf>
    <xf numFmtId="3" fontId="5" fillId="0" borderId="29" xfId="35" applyNumberFormat="1" applyFont="1" applyFill="1" applyBorder="1" applyAlignment="1">
      <alignment horizontal="right" vertical="center"/>
    </xf>
    <xf numFmtId="3" fontId="6" fillId="0" borderId="16" xfId="35" applyNumberFormat="1" applyFont="1" applyFill="1" applyBorder="1" applyAlignment="1">
      <alignment horizontal="right" vertical="center"/>
    </xf>
    <xf numFmtId="3" fontId="12" fillId="0" borderId="16" xfId="35" applyNumberFormat="1" applyFont="1" applyFill="1" applyBorder="1" applyAlignment="1">
      <alignment horizontal="right" vertical="center"/>
    </xf>
    <xf numFmtId="3" fontId="5" fillId="0" borderId="30" xfId="35" applyNumberFormat="1" applyFont="1" applyFill="1" applyBorder="1" applyAlignment="1">
      <alignment horizontal="right" vertical="center"/>
    </xf>
    <xf numFmtId="0" fontId="5" fillId="0" borderId="16" xfId="35" applyFont="1" applyFill="1" applyBorder="1" applyAlignment="1">
      <alignment horizontal="center" vertical="center"/>
    </xf>
    <xf numFmtId="0" fontId="12" fillId="0" borderId="29" xfId="35" applyFont="1" applyFill="1" applyBorder="1" applyAlignment="1">
      <alignment vertical="center"/>
    </xf>
    <xf numFmtId="0" fontId="15" fillId="0" borderId="14" xfId="35" applyFont="1" applyFill="1" applyBorder="1" applyAlignment="1">
      <alignment horizontal="right" vertical="center"/>
    </xf>
    <xf numFmtId="3" fontId="9" fillId="0" borderId="16" xfId="35" applyNumberFormat="1" applyFont="1" applyFill="1" applyBorder="1" applyAlignment="1">
      <alignment horizontal="right" vertical="center"/>
    </xf>
    <xf numFmtId="3" fontId="12" fillId="0" borderId="14" xfId="35" applyNumberFormat="1" applyFont="1" applyFill="1" applyBorder="1" applyAlignment="1">
      <alignment horizontal="right" vertical="center"/>
    </xf>
    <xf numFmtId="3" fontId="15" fillId="0" borderId="29" xfId="35" applyNumberFormat="1" applyFont="1" applyFill="1" applyBorder="1" applyAlignment="1">
      <alignment horizontal="right" vertical="center"/>
    </xf>
    <xf numFmtId="0" fontId="5" fillId="0" borderId="29" xfId="35" applyFont="1" applyFill="1" applyBorder="1" applyAlignment="1">
      <alignment vertical="center"/>
    </xf>
    <xf numFmtId="3" fontId="13" fillId="0" borderId="16" xfId="35" applyNumberFormat="1" applyFont="1" applyFill="1" applyBorder="1" applyAlignment="1">
      <alignment horizontal="right" vertical="center"/>
    </xf>
    <xf numFmtId="3" fontId="12" fillId="0" borderId="29" xfId="35" applyNumberFormat="1" applyFont="1" applyFill="1" applyBorder="1" applyAlignment="1">
      <alignment horizontal="right" vertical="center"/>
    </xf>
    <xf numFmtId="0" fontId="15" fillId="0" borderId="29" xfId="35" applyFont="1" applyFill="1" applyBorder="1" applyAlignment="1">
      <alignment vertical="center"/>
    </xf>
    <xf numFmtId="3" fontId="6" fillId="0" borderId="14" xfId="35" applyNumberFormat="1" applyFont="1" applyFill="1" applyBorder="1" applyAlignment="1">
      <alignment horizontal="right" vertical="center"/>
    </xf>
    <xf numFmtId="3" fontId="5" fillId="0" borderId="29" xfId="35" applyNumberFormat="1" applyFont="1" applyFill="1" applyBorder="1" applyAlignment="1">
      <alignment vertical="center"/>
    </xf>
    <xf numFmtId="3" fontId="15" fillId="0" borderId="30" xfId="35" applyNumberFormat="1" applyFont="1" applyFill="1" applyBorder="1" applyAlignment="1">
      <alignment horizontal="right" vertical="center"/>
    </xf>
    <xf numFmtId="0" fontId="12" fillId="0" borderId="16" xfId="35" applyFont="1" applyFill="1" applyBorder="1" applyAlignment="1">
      <alignment horizontal="right" vertical="center"/>
    </xf>
    <xf numFmtId="3" fontId="79" fillId="0" borderId="16" xfId="35" applyNumberFormat="1" applyFont="1" applyFill="1" applyBorder="1" applyAlignment="1">
      <alignment horizontal="right" vertical="center"/>
    </xf>
    <xf numFmtId="3" fontId="15" fillId="0" borderId="14" xfId="35" applyNumberFormat="1" applyFont="1" applyFill="1" applyBorder="1" applyAlignment="1">
      <alignment horizontal="right" vertical="center"/>
    </xf>
    <xf numFmtId="3" fontId="15" fillId="0" borderId="16" xfId="35" applyNumberFormat="1" applyFont="1" applyFill="1" applyBorder="1" applyAlignment="1">
      <alignment horizontal="right" vertical="center"/>
    </xf>
    <xf numFmtId="3" fontId="13" fillId="0" borderId="10" xfId="35" applyNumberFormat="1" applyFont="1" applyFill="1" applyBorder="1" applyAlignment="1">
      <alignment horizontal="right" vertical="center"/>
    </xf>
    <xf numFmtId="3" fontId="15" fillId="0" borderId="30" xfId="68" applyNumberFormat="1" applyFont="1" applyFill="1" applyBorder="1" applyAlignment="1">
      <alignment horizontal="right" vertical="center"/>
    </xf>
    <xf numFmtId="0" fontId="15" fillId="0" borderId="16" xfId="35" applyFont="1" applyFill="1" applyBorder="1" applyAlignment="1">
      <alignment horizontal="center" vertical="center"/>
    </xf>
    <xf numFmtId="3" fontId="12" fillId="0" borderId="29" xfId="35" applyNumberFormat="1" applyFont="1" applyFill="1" applyBorder="1" applyAlignment="1">
      <alignment vertical="center"/>
    </xf>
    <xf numFmtId="3" fontId="15" fillId="0" borderId="29" xfId="35" applyNumberFormat="1" applyFont="1" applyFill="1" applyBorder="1" applyAlignment="1">
      <alignment vertical="center"/>
    </xf>
    <xf numFmtId="0" fontId="12" fillId="0" borderId="29" xfId="35" applyFont="1" applyFill="1" applyBorder="1" applyAlignment="1">
      <alignment horizontal="right" vertical="center"/>
    </xf>
    <xf numFmtId="0" fontId="15" fillId="0" borderId="29" xfId="35" applyFont="1" applyFill="1" applyBorder="1" applyAlignment="1">
      <alignment horizontal="right" vertical="center"/>
    </xf>
    <xf numFmtId="3" fontId="12" fillId="0" borderId="10" xfId="35" applyNumberFormat="1" applyFont="1" applyFill="1" applyBorder="1" applyAlignment="1">
      <alignment horizontal="right" vertical="center"/>
    </xf>
    <xf numFmtId="3" fontId="12" fillId="0" borderId="16" xfId="35" applyNumberFormat="1" applyFont="1" applyFill="1" applyBorder="1" applyAlignment="1" applyProtection="1">
      <alignment horizontal="right" vertical="center"/>
      <protection locked="0"/>
    </xf>
    <xf numFmtId="3" fontId="12" fillId="0" borderId="10" xfId="35" applyNumberFormat="1" applyFont="1" applyFill="1" applyBorder="1" applyAlignment="1">
      <alignment vertical="center"/>
    </xf>
    <xf numFmtId="3" fontId="15" fillId="0" borderId="14" xfId="35" applyNumberFormat="1" applyFont="1" applyFill="1" applyBorder="1" applyAlignment="1">
      <alignment vertical="center"/>
    </xf>
    <xf numFmtId="3" fontId="12" fillId="0" borderId="11" xfId="35" applyNumberFormat="1" applyFont="1" applyFill="1" applyBorder="1" applyAlignment="1">
      <alignment horizontal="right" vertical="center"/>
    </xf>
    <xf numFmtId="3" fontId="12" fillId="0" borderId="13" xfId="35" applyNumberFormat="1" applyFont="1" applyFill="1" applyBorder="1" applyAlignment="1">
      <alignment horizontal="right" vertical="center"/>
    </xf>
    <xf numFmtId="3" fontId="12" fillId="0" borderId="23" xfId="35" applyNumberFormat="1" applyFont="1" applyFill="1" applyBorder="1" applyAlignment="1">
      <alignment vertical="center"/>
    </xf>
    <xf numFmtId="3" fontId="15" fillId="0" borderId="15" xfId="35" applyNumberFormat="1" applyFont="1" applyFill="1" applyBorder="1" applyAlignment="1">
      <alignment horizontal="right" vertical="center"/>
    </xf>
    <xf numFmtId="3" fontId="13" fillId="0" borderId="24" xfId="35" applyNumberFormat="1" applyFont="1" applyFill="1" applyBorder="1" applyAlignment="1">
      <alignment horizontal="right" vertical="center"/>
    </xf>
    <xf numFmtId="3" fontId="12" fillId="0" borderId="16" xfId="35" applyNumberFormat="1" applyFont="1" applyFill="1" applyBorder="1" applyAlignment="1">
      <alignment vertical="center"/>
    </xf>
    <xf numFmtId="0" fontId="5" fillId="0" borderId="37" xfId="0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/>
    </xf>
    <xf numFmtId="3" fontId="12" fillId="0" borderId="12" xfId="0" applyNumberFormat="1" applyFont="1" applyFill="1" applyBorder="1" applyAlignment="1">
      <alignment horizontal="right"/>
    </xf>
    <xf numFmtId="3" fontId="12" fillId="0" borderId="21" xfId="0" applyNumberFormat="1" applyFont="1" applyFill="1" applyBorder="1" applyAlignment="1">
      <alignment horizontal="right"/>
    </xf>
    <xf numFmtId="3" fontId="15" fillId="0" borderId="11" xfId="0" applyNumberFormat="1" applyFont="1" applyFill="1" applyBorder="1" applyAlignment="1">
      <alignment horizontal="right"/>
    </xf>
    <xf numFmtId="3" fontId="15" fillId="0" borderId="10" xfId="0" applyNumberFormat="1" applyFont="1" applyFill="1" applyBorder="1" applyAlignment="1">
      <alignment horizontal="right"/>
    </xf>
    <xf numFmtId="0" fontId="5" fillId="0" borderId="82" xfId="0" applyFont="1" applyFill="1" applyBorder="1" applyAlignment="1">
      <alignment horizontal="center"/>
    </xf>
    <xf numFmtId="0" fontId="5" fillId="0" borderId="30" xfId="0" applyFont="1" applyFill="1" applyBorder="1"/>
    <xf numFmtId="9" fontId="15" fillId="0" borderId="37" xfId="0" applyNumberFormat="1" applyFont="1" applyFill="1" applyBorder="1"/>
    <xf numFmtId="0" fontId="5" fillId="0" borderId="80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left"/>
    </xf>
    <xf numFmtId="9" fontId="15" fillId="0" borderId="50" xfId="0" applyNumberFormat="1" applyFont="1" applyFill="1" applyBorder="1"/>
    <xf numFmtId="0" fontId="6" fillId="0" borderId="45" xfId="0" applyFont="1" applyFill="1" applyBorder="1" applyAlignment="1">
      <alignment horizontal="center"/>
    </xf>
    <xf numFmtId="0" fontId="6" fillId="0" borderId="11" xfId="0" applyFont="1" applyFill="1" applyBorder="1"/>
    <xf numFmtId="9" fontId="12" fillId="0" borderId="48" xfId="0" applyNumberFormat="1" applyFont="1" applyFill="1" applyBorder="1"/>
    <xf numFmtId="0" fontId="6" fillId="0" borderId="80" xfId="0" applyFont="1" applyFill="1" applyBorder="1" applyAlignment="1">
      <alignment horizontal="center"/>
    </xf>
    <xf numFmtId="0" fontId="6" fillId="0" borderId="24" xfId="0" applyFont="1" applyFill="1" applyBorder="1"/>
    <xf numFmtId="0" fontId="6" fillId="0" borderId="12" xfId="0" applyFont="1" applyFill="1" applyBorder="1"/>
    <xf numFmtId="0" fontId="6" fillId="0" borderId="10" xfId="0" applyFont="1" applyFill="1" applyBorder="1"/>
    <xf numFmtId="9" fontId="12" fillId="0" borderId="70" xfId="0" applyNumberFormat="1" applyFont="1" applyFill="1" applyBorder="1"/>
    <xf numFmtId="0" fontId="5" fillId="0" borderId="52" xfId="0" applyFont="1" applyFill="1" applyBorder="1" applyAlignment="1">
      <alignment horizontal="center"/>
    </xf>
    <xf numFmtId="0" fontId="5" fillId="0" borderId="27" xfId="0" applyFont="1" applyFill="1" applyBorder="1"/>
    <xf numFmtId="0" fontId="5" fillId="0" borderId="14" xfId="0" applyFont="1" applyFill="1" applyBorder="1" applyAlignment="1">
      <alignment horizontal="center"/>
    </xf>
    <xf numFmtId="3" fontId="16" fillId="0" borderId="11" xfId="0" applyNumberFormat="1" applyFont="1" applyFill="1" applyBorder="1" applyAlignment="1">
      <alignment horizontal="right"/>
    </xf>
    <xf numFmtId="3" fontId="14" fillId="0" borderId="11" xfId="0" applyNumberFormat="1" applyFont="1" applyFill="1" applyBorder="1" applyAlignment="1">
      <alignment horizontal="right"/>
    </xf>
    <xf numFmtId="3" fontId="16" fillId="0" borderId="10" xfId="0" applyNumberFormat="1" applyFont="1" applyFill="1" applyBorder="1" applyAlignment="1">
      <alignment horizontal="right"/>
    </xf>
    <xf numFmtId="3" fontId="16" fillId="0" borderId="15" xfId="0" applyNumberFormat="1" applyFont="1" applyFill="1" applyBorder="1" applyAlignment="1">
      <alignment horizontal="right"/>
    </xf>
    <xf numFmtId="3" fontId="14" fillId="0" borderId="21" xfId="0" applyNumberFormat="1" applyFont="1" applyFill="1" applyBorder="1" applyAlignment="1">
      <alignment horizontal="right"/>
    </xf>
    <xf numFmtId="3" fontId="16" fillId="0" borderId="14" xfId="0" applyNumberFormat="1" applyFont="1" applyFill="1" applyBorder="1" applyAlignment="1">
      <alignment horizontal="right"/>
    </xf>
    <xf numFmtId="3" fontId="14" fillId="0" borderId="11" xfId="0" applyNumberFormat="1" applyFont="1" applyFill="1" applyBorder="1" applyAlignment="1">
      <alignment horizontal="right" vertical="center"/>
    </xf>
    <xf numFmtId="3" fontId="16" fillId="0" borderId="12" xfId="0" applyNumberFormat="1" applyFont="1" applyFill="1" applyBorder="1" applyAlignment="1">
      <alignment horizontal="right"/>
    </xf>
    <xf numFmtId="3" fontId="14" fillId="0" borderId="12" xfId="0" applyNumberFormat="1" applyFont="1" applyFill="1" applyBorder="1" applyAlignment="1">
      <alignment horizontal="right"/>
    </xf>
    <xf numFmtId="3" fontId="14" fillId="0" borderId="13" xfId="0" applyNumberFormat="1" applyFont="1" applyFill="1" applyBorder="1" applyAlignment="1">
      <alignment horizontal="right"/>
    </xf>
    <xf numFmtId="3" fontId="14" fillId="0" borderId="14" xfId="0" applyNumberFormat="1" applyFont="1" applyFill="1" applyBorder="1" applyAlignment="1">
      <alignment horizontal="right"/>
    </xf>
    <xf numFmtId="3" fontId="14" fillId="0" borderId="10" xfId="0" applyNumberFormat="1" applyFont="1" applyFill="1" applyBorder="1" applyAlignment="1">
      <alignment horizontal="right"/>
    </xf>
    <xf numFmtId="3" fontId="12" fillId="0" borderId="11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12" fillId="0" borderId="14" xfId="0" applyNumberFormat="1" applyFont="1" applyFill="1" applyBorder="1" applyAlignment="1">
      <alignment horizontal="right"/>
    </xf>
    <xf numFmtId="3" fontId="13" fillId="0" borderId="11" xfId="0" applyNumberFormat="1" applyFont="1" applyFill="1" applyBorder="1" applyAlignment="1">
      <alignment horizontal="right"/>
    </xf>
    <xf numFmtId="3" fontId="13" fillId="0" borderId="21" xfId="0" applyNumberFormat="1" applyFont="1" applyFill="1" applyBorder="1" applyAlignment="1">
      <alignment horizontal="right"/>
    </xf>
    <xf numFmtId="3" fontId="12" fillId="0" borderId="10" xfId="0" applyNumberFormat="1" applyFont="1" applyFill="1" applyBorder="1" applyAlignment="1">
      <alignment horizontal="right"/>
    </xf>
    <xf numFmtId="3" fontId="12" fillId="0" borderId="13" xfId="0" applyNumberFormat="1" applyFont="1" applyFill="1" applyBorder="1" applyAlignment="1">
      <alignment horizontal="right"/>
    </xf>
    <xf numFmtId="3" fontId="13" fillId="0" borderId="10" xfId="0" applyNumberFormat="1" applyFont="1" applyFill="1" applyBorder="1" applyAlignment="1">
      <alignment horizontal="right"/>
    </xf>
    <xf numFmtId="3" fontId="13" fillId="0" borderId="14" xfId="0" applyNumberFormat="1" applyFont="1" applyFill="1" applyBorder="1" applyAlignment="1">
      <alignment horizontal="right"/>
    </xf>
    <xf numFmtId="3" fontId="40" fillId="0" borderId="11" xfId="0" applyNumberFormat="1" applyFont="1" applyFill="1" applyBorder="1" applyAlignment="1">
      <alignment horizontal="right"/>
    </xf>
    <xf numFmtId="3" fontId="40" fillId="0" borderId="21" xfId="0" applyNumberFormat="1" applyFont="1" applyFill="1" applyBorder="1" applyAlignment="1">
      <alignment horizontal="right"/>
    </xf>
    <xf numFmtId="3" fontId="55" fillId="0" borderId="11" xfId="0" applyNumberFormat="1" applyFont="1" applyFill="1" applyBorder="1" applyAlignment="1">
      <alignment horizontal="right"/>
    </xf>
    <xf numFmtId="3" fontId="51" fillId="0" borderId="11" xfId="0" applyNumberFormat="1" applyFont="1" applyFill="1" applyBorder="1" applyAlignment="1">
      <alignment horizontal="right"/>
    </xf>
    <xf numFmtId="3" fontId="9" fillId="0" borderId="11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3" fontId="5" fillId="0" borderId="26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6" fillId="0" borderId="13" xfId="0" applyNumberFormat="1" applyFont="1" applyFill="1" applyBorder="1" applyAlignment="1">
      <alignment horizontal="right"/>
    </xf>
    <xf numFmtId="3" fontId="53" fillId="0" borderId="11" xfId="0" applyNumberFormat="1" applyFont="1" applyFill="1" applyBorder="1" applyAlignment="1">
      <alignment horizontal="right"/>
    </xf>
    <xf numFmtId="3" fontId="45" fillId="0" borderId="12" xfId="0" applyNumberFormat="1" applyFont="1" applyFill="1" applyBorder="1" applyAlignment="1">
      <alignment horizontal="right"/>
    </xf>
    <xf numFmtId="3" fontId="16" fillId="0" borderId="26" xfId="0" applyNumberFormat="1" applyFont="1" applyFill="1" applyBorder="1" applyAlignment="1">
      <alignment horizontal="right"/>
    </xf>
    <xf numFmtId="3" fontId="16" fillId="0" borderId="18" xfId="0" applyNumberFormat="1" applyFont="1" applyFill="1" applyBorder="1" applyAlignment="1">
      <alignment horizontal="right"/>
    </xf>
    <xf numFmtId="3" fontId="15" fillId="0" borderId="15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right" vertical="center"/>
    </xf>
    <xf numFmtId="0" fontId="14" fillId="0" borderId="13" xfId="0" applyFont="1" applyFill="1" applyBorder="1"/>
    <xf numFmtId="0" fontId="5" fillId="0" borderId="71" xfId="0" applyFont="1" applyFill="1" applyBorder="1" applyAlignment="1">
      <alignment horizontal="center"/>
    </xf>
    <xf numFmtId="0" fontId="16" fillId="0" borderId="30" xfId="0" applyFont="1" applyFill="1" applyBorder="1"/>
    <xf numFmtId="0" fontId="5" fillId="0" borderId="16" xfId="0" applyFont="1" applyFill="1" applyBorder="1" applyAlignment="1">
      <alignment horizontal="center"/>
    </xf>
    <xf numFmtId="3" fontId="14" fillId="0" borderId="11" xfId="0" applyNumberFormat="1" applyFont="1" applyFill="1" applyBorder="1"/>
    <xf numFmtId="3" fontId="14" fillId="0" borderId="12" xfId="0" applyNumberFormat="1" applyFont="1" applyFill="1" applyBorder="1"/>
    <xf numFmtId="0" fontId="70" fillId="0" borderId="30" xfId="0" applyFont="1" applyFill="1" applyBorder="1"/>
    <xf numFmtId="3" fontId="7" fillId="0" borderId="15" xfId="0" applyNumberFormat="1" applyFont="1" applyFill="1" applyBorder="1" applyAlignment="1">
      <alignment horizontal="center" vertical="center"/>
    </xf>
    <xf numFmtId="3" fontId="5" fillId="0" borderId="20" xfId="0" applyNumberFormat="1" applyFont="1" applyFill="1" applyBorder="1" applyAlignment="1">
      <alignment horizontal="center"/>
    </xf>
    <xf numFmtId="3" fontId="6" fillId="0" borderId="23" xfId="0" applyNumberFormat="1" applyFont="1" applyFill="1" applyBorder="1"/>
    <xf numFmtId="3" fontId="5" fillId="0" borderId="14" xfId="0" applyNumberFormat="1" applyFont="1" applyFill="1" applyBorder="1"/>
    <xf numFmtId="3" fontId="5" fillId="0" borderId="20" xfId="0" applyNumberFormat="1" applyFont="1" applyFill="1" applyBorder="1"/>
    <xf numFmtId="3" fontId="6" fillId="0" borderId="20" xfId="0" applyNumberFormat="1" applyFont="1" applyFill="1" applyBorder="1"/>
    <xf numFmtId="3" fontId="102" fillId="0" borderId="20" xfId="0" applyNumberFormat="1" applyFont="1" applyFill="1" applyBorder="1"/>
    <xf numFmtId="3" fontId="6" fillId="0" borderId="10" xfId="0" applyNumberFormat="1" applyFont="1" applyFill="1" applyBorder="1"/>
    <xf numFmtId="3" fontId="13" fillId="0" borderId="10" xfId="0" applyNumberFormat="1" applyFont="1" applyFill="1" applyBorder="1"/>
    <xf numFmtId="3" fontId="103" fillId="0" borderId="20" xfId="0" applyNumberFormat="1" applyFont="1" applyFill="1" applyBorder="1"/>
    <xf numFmtId="3" fontId="13" fillId="0" borderId="20" xfId="0" applyNumberFormat="1" applyFont="1" applyFill="1" applyBorder="1"/>
    <xf numFmtId="3" fontId="5" fillId="0" borderId="15" xfId="0" applyNumberFormat="1" applyFont="1" applyFill="1" applyBorder="1"/>
    <xf numFmtId="3" fontId="12" fillId="0" borderId="20" xfId="0" applyNumberFormat="1" applyFont="1" applyFill="1" applyBorder="1"/>
    <xf numFmtId="3" fontId="16" fillId="0" borderId="20" xfId="0" applyNumberFormat="1" applyFont="1" applyFill="1" applyBorder="1"/>
    <xf numFmtId="3" fontId="14" fillId="0" borderId="20" xfId="0" applyNumberFormat="1" applyFont="1" applyFill="1" applyBorder="1"/>
    <xf numFmtId="3" fontId="16" fillId="0" borderId="15" xfId="0" applyNumberFormat="1" applyFont="1" applyFill="1" applyBorder="1"/>
    <xf numFmtId="3" fontId="14" fillId="0" borderId="10" xfId="0" applyNumberFormat="1" applyFont="1" applyFill="1" applyBorder="1"/>
    <xf numFmtId="3" fontId="15" fillId="0" borderId="15" xfId="0" applyNumberFormat="1" applyFont="1" applyFill="1" applyBorder="1" applyAlignment="1">
      <alignment horizontal="right" vertical="center"/>
    </xf>
    <xf numFmtId="3" fontId="5" fillId="0" borderId="29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22" xfId="0" applyNumberFormat="1" applyFont="1" applyFill="1" applyBorder="1" applyAlignment="1">
      <alignment horizontal="right"/>
    </xf>
    <xf numFmtId="3" fontId="12" fillId="0" borderId="16" xfId="0" applyNumberFormat="1" applyFont="1" applyFill="1" applyBorder="1" applyAlignment="1">
      <alignment horizontal="right"/>
    </xf>
    <xf numFmtId="3" fontId="52" fillId="0" borderId="10" xfId="0" applyNumberFormat="1" applyFont="1" applyFill="1" applyBorder="1" applyAlignment="1">
      <alignment horizontal="right"/>
    </xf>
    <xf numFmtId="3" fontId="15" fillId="0" borderId="10" xfId="0" applyNumberFormat="1" applyFont="1" applyFill="1" applyBorder="1"/>
    <xf numFmtId="3" fontId="0" fillId="0" borderId="10" xfId="0" applyNumberFormat="1" applyFill="1" applyBorder="1"/>
    <xf numFmtId="3" fontId="15" fillId="0" borderId="21" xfId="0" applyNumberFormat="1" applyFont="1" applyFill="1" applyBorder="1"/>
    <xf numFmtId="3" fontId="5" fillId="0" borderId="14" xfId="0" applyNumberFormat="1" applyFont="1" applyFill="1" applyBorder="1" applyAlignment="1">
      <alignment horizontal="center"/>
    </xf>
    <xf numFmtId="9" fontId="6" fillId="0" borderId="10" xfId="0" applyNumberFormat="1" applyFont="1" applyFill="1" applyBorder="1"/>
    <xf numFmtId="3" fontId="6" fillId="0" borderId="10" xfId="0" applyNumberFormat="1" applyFont="1" applyFill="1" applyBorder="1" applyAlignment="1">
      <alignment vertical="center"/>
    </xf>
    <xf numFmtId="3" fontId="5" fillId="0" borderId="10" xfId="0" applyNumberFormat="1" applyFont="1" applyFill="1" applyBorder="1"/>
    <xf numFmtId="0" fontId="74" fillId="0" borderId="15" xfId="78" applyFont="1" applyBorder="1" applyAlignment="1">
      <alignment horizontal="center"/>
    </xf>
    <xf numFmtId="0" fontId="74" fillId="0" borderId="37" xfId="78" applyFont="1" applyBorder="1" applyAlignment="1">
      <alignment horizontal="center"/>
    </xf>
    <xf numFmtId="0" fontId="98" fillId="0" borderId="41" xfId="78" applyFont="1" applyBorder="1"/>
    <xf numFmtId="0" fontId="99" fillId="0" borderId="43" xfId="78" applyFont="1" applyBorder="1"/>
    <xf numFmtId="0" fontId="98" fillId="0" borderId="82" xfId="78" applyFont="1" applyBorder="1" applyAlignment="1">
      <alignment vertical="center"/>
    </xf>
    <xf numFmtId="3" fontId="81" fillId="0" borderId="83" xfId="78" applyNumberFormat="1" applyFont="1" applyBorder="1"/>
    <xf numFmtId="0" fontId="98" fillId="0" borderId="82" xfId="78" applyFont="1" applyBorder="1"/>
    <xf numFmtId="0" fontId="15" fillId="0" borderId="0" xfId="0" applyFont="1" applyBorder="1" applyAlignment="1">
      <alignment horizontal="right"/>
    </xf>
    <xf numFmtId="0" fontId="11" fillId="0" borderId="0" xfId="0" applyFont="1" applyAlignment="1">
      <alignment horizontal="right" vertical="center"/>
    </xf>
    <xf numFmtId="0" fontId="74" fillId="0" borderId="72" xfId="0" quotePrefix="1" applyFont="1" applyBorder="1" applyAlignment="1">
      <alignment horizontal="center" vertical="center"/>
    </xf>
    <xf numFmtId="0" fontId="74" fillId="0" borderId="18" xfId="0" applyFont="1" applyBorder="1" applyAlignment="1">
      <alignment vertical="center" wrapText="1"/>
    </xf>
    <xf numFmtId="3" fontId="74" fillId="0" borderId="79" xfId="0" applyNumberFormat="1" applyFont="1" applyBorder="1" applyAlignment="1">
      <alignment vertical="center"/>
    </xf>
    <xf numFmtId="0" fontId="83" fillId="0" borderId="49" xfId="0" applyFont="1" applyBorder="1" applyAlignment="1">
      <alignment horizontal="center" vertical="center"/>
    </xf>
    <xf numFmtId="3" fontId="83" fillId="0" borderId="48" xfId="0" applyNumberFormat="1" applyFont="1" applyBorder="1" applyAlignment="1">
      <alignment vertical="center"/>
    </xf>
    <xf numFmtId="0" fontId="74" fillId="0" borderId="49" xfId="0" quotePrefix="1" applyFont="1" applyBorder="1" applyAlignment="1">
      <alignment horizontal="center" vertical="center"/>
    </xf>
    <xf numFmtId="3" fontId="74" fillId="0" borderId="48" xfId="0" applyNumberFormat="1" applyFont="1" applyBorder="1" applyAlignment="1">
      <alignment vertical="center"/>
    </xf>
    <xf numFmtId="3" fontId="83" fillId="0" borderId="49" xfId="0" applyNumberFormat="1" applyFont="1" applyBorder="1" applyAlignment="1">
      <alignment horizontal="center" vertical="center"/>
    </xf>
    <xf numFmtId="0" fontId="83" fillId="0" borderId="49" xfId="0" quotePrefix="1" applyFont="1" applyBorder="1" applyAlignment="1">
      <alignment horizontal="center" vertical="center"/>
    </xf>
    <xf numFmtId="0" fontId="83" fillId="0" borderId="47" xfId="0" applyFont="1" applyBorder="1" applyAlignment="1">
      <alignment horizontal="center" vertical="center"/>
    </xf>
    <xf numFmtId="0" fontId="83" fillId="0" borderId="13" xfId="0" applyFont="1" applyBorder="1" applyAlignment="1">
      <alignment vertical="center" wrapText="1"/>
    </xf>
    <xf numFmtId="3" fontId="83" fillId="0" borderId="46" xfId="0" applyNumberFormat="1" applyFont="1" applyBorder="1" applyAlignment="1">
      <alignment vertical="center"/>
    </xf>
    <xf numFmtId="3" fontId="74" fillId="0" borderId="95" xfId="0" applyNumberFormat="1" applyFont="1" applyBorder="1" applyAlignment="1">
      <alignment vertical="center"/>
    </xf>
    <xf numFmtId="0" fontId="74" fillId="0" borderId="27" xfId="80" applyFont="1" applyBorder="1" applyAlignment="1">
      <alignment horizontal="center" vertical="center" wrapText="1"/>
    </xf>
    <xf numFmtId="0" fontId="74" fillId="0" borderId="100" xfId="80" applyFont="1" applyBorder="1" applyAlignment="1">
      <alignment horizontal="center" vertical="center" wrapText="1"/>
    </xf>
    <xf numFmtId="1" fontId="76" fillId="0" borderId="51" xfId="80" applyNumberFormat="1" applyFont="1" applyBorder="1" applyAlignment="1">
      <alignment horizontal="center" vertical="center"/>
    </xf>
    <xf numFmtId="3" fontId="74" fillId="0" borderId="50" xfId="80" applyNumberFormat="1" applyFont="1" applyBorder="1" applyAlignment="1">
      <alignment vertical="center"/>
    </xf>
    <xf numFmtId="1" fontId="76" fillId="0" borderId="49" xfId="80" applyNumberFormat="1" applyFont="1" applyBorder="1" applyAlignment="1">
      <alignment horizontal="center" vertical="center"/>
    </xf>
    <xf numFmtId="0" fontId="17" fillId="0" borderId="48" xfId="80" applyBorder="1"/>
    <xf numFmtId="3" fontId="74" fillId="0" borderId="48" xfId="80" applyNumberFormat="1" applyFont="1" applyBorder="1" applyAlignment="1">
      <alignment vertical="center"/>
    </xf>
    <xf numFmtId="0" fontId="76" fillId="0" borderId="49" xfId="80" applyFont="1" applyBorder="1"/>
    <xf numFmtId="3" fontId="76" fillId="0" borderId="48" xfId="80" applyNumberFormat="1" applyFont="1" applyBorder="1" applyAlignment="1">
      <alignment vertical="center"/>
    </xf>
    <xf numFmtId="1" fontId="17" fillId="0" borderId="49" xfId="80" applyNumberFormat="1" applyBorder="1" applyAlignment="1">
      <alignment horizontal="center" vertical="center"/>
    </xf>
    <xf numFmtId="3" fontId="81" fillId="0" borderId="48" xfId="80" applyNumberFormat="1" applyFont="1" applyBorder="1" applyAlignment="1">
      <alignment vertical="center"/>
    </xf>
    <xf numFmtId="1" fontId="76" fillId="0" borderId="47" xfId="80" applyNumberFormat="1" applyFont="1" applyBorder="1" applyAlignment="1">
      <alignment horizontal="center" vertical="center"/>
    </xf>
    <xf numFmtId="0" fontId="74" fillId="0" borderId="13" xfId="80" applyFont="1" applyBorder="1" applyAlignment="1">
      <alignment vertical="center"/>
    </xf>
    <xf numFmtId="3" fontId="83" fillId="0" borderId="13" xfId="80" applyNumberFormat="1" applyFont="1" applyBorder="1" applyAlignment="1">
      <alignment vertical="center"/>
    </xf>
    <xf numFmtId="0" fontId="17" fillId="0" borderId="46" xfId="80" applyBorder="1"/>
    <xf numFmtId="1" fontId="76" fillId="0" borderId="71" xfId="80" applyNumberFormat="1" applyFont="1" applyBorder="1" applyAlignment="1">
      <alignment horizontal="center" vertical="center"/>
    </xf>
    <xf numFmtId="0" fontId="74" fillId="0" borderId="14" xfId="80" applyFont="1" applyBorder="1" applyAlignment="1">
      <alignment vertical="center"/>
    </xf>
    <xf numFmtId="3" fontId="83" fillId="0" borderId="14" xfId="80" applyNumberFormat="1" applyFont="1" applyBorder="1" applyAlignment="1">
      <alignment vertical="center"/>
    </xf>
    <xf numFmtId="0" fontId="17" fillId="0" borderId="73" xfId="80" applyBorder="1"/>
    <xf numFmtId="1" fontId="76" fillId="0" borderId="42" xfId="80" applyNumberFormat="1" applyFont="1" applyBorder="1" applyAlignment="1">
      <alignment horizontal="center" vertical="center"/>
    </xf>
    <xf numFmtId="0" fontId="82" fillId="0" borderId="15" xfId="80" applyFont="1" applyBorder="1" applyAlignment="1">
      <alignment vertical="center"/>
    </xf>
    <xf numFmtId="3" fontId="74" fillId="0" borderId="15" xfId="80" applyNumberFormat="1" applyFont="1" applyBorder="1" applyAlignment="1">
      <alignment vertical="center"/>
    </xf>
    <xf numFmtId="3" fontId="74" fillId="0" borderId="37" xfId="80" applyNumberFormat="1" applyFont="1" applyBorder="1" applyAlignment="1">
      <alignment vertical="center"/>
    </xf>
    <xf numFmtId="0" fontId="69" fillId="0" borderId="92" xfId="79" applyFont="1" applyBorder="1" applyAlignment="1">
      <alignment horizontal="center" vertical="center"/>
    </xf>
    <xf numFmtId="0" fontId="93" fillId="0" borderId="20" xfId="79" applyFont="1" applyBorder="1"/>
    <xf numFmtId="0" fontId="93" fillId="0" borderId="23" xfId="79" applyFont="1" applyBorder="1"/>
    <xf numFmtId="0" fontId="69" fillId="0" borderId="69" xfId="79" applyFont="1" applyBorder="1" applyAlignment="1">
      <alignment horizontal="center" vertical="center"/>
    </xf>
    <xf numFmtId="0" fontId="92" fillId="0" borderId="45" xfId="79" applyFont="1" applyBorder="1"/>
    <xf numFmtId="0" fontId="92" fillId="0" borderId="71" xfId="79" applyFont="1" applyBorder="1"/>
    <xf numFmtId="49" fontId="5" fillId="0" borderId="13" xfId="34" applyNumberFormat="1" applyFont="1" applyFill="1" applyBorder="1" applyAlignment="1">
      <alignment horizontal="center" vertical="center" wrapText="1"/>
    </xf>
    <xf numFmtId="49" fontId="5" fillId="0" borderId="54" xfId="34" applyNumberFormat="1" applyFont="1" applyFill="1" applyBorder="1" applyAlignment="1">
      <alignment horizontal="center" vertical="center" wrapText="1"/>
    </xf>
    <xf numFmtId="0" fontId="76" fillId="0" borderId="0" xfId="69" applyFont="1" applyAlignment="1">
      <alignment horizontal="center"/>
    </xf>
    <xf numFmtId="0" fontId="76" fillId="0" borderId="0" xfId="69" applyFont="1" applyAlignment="1">
      <alignment horizontal="center" vertical="center" wrapText="1"/>
    </xf>
    <xf numFmtId="0" fontId="76" fillId="0" borderId="13" xfId="69" applyFont="1" applyBorder="1" applyAlignment="1">
      <alignment horizontal="center" vertical="center" wrapText="1"/>
    </xf>
    <xf numFmtId="0" fontId="76" fillId="0" borderId="54" xfId="69" applyFont="1" applyBorder="1" applyAlignment="1">
      <alignment horizontal="center" vertical="center" wrapText="1"/>
    </xf>
    <xf numFmtId="49" fontId="5" fillId="0" borderId="13" xfId="34" applyNumberFormat="1" applyFont="1" applyBorder="1" applyAlignment="1">
      <alignment horizontal="center" vertical="center" wrapText="1"/>
    </xf>
    <xf numFmtId="49" fontId="5" fillId="0" borderId="54" xfId="34" applyNumberFormat="1" applyFont="1" applyBorder="1" applyAlignment="1">
      <alignment horizontal="center" vertical="center" wrapText="1"/>
    </xf>
    <xf numFmtId="0" fontId="76" fillId="0" borderId="13" xfId="69" applyFont="1" applyFill="1" applyBorder="1" applyAlignment="1">
      <alignment horizontal="center" vertical="center" wrapText="1"/>
    </xf>
    <xf numFmtId="0" fontId="76" fillId="0" borderId="54" xfId="69" applyFont="1" applyFill="1" applyBorder="1" applyAlignment="1">
      <alignment horizontal="center" vertical="center" wrapText="1"/>
    </xf>
    <xf numFmtId="0" fontId="5" fillId="0" borderId="0" xfId="34" applyFont="1" applyAlignment="1">
      <alignment horizontal="center"/>
    </xf>
    <xf numFmtId="0" fontId="5" fillId="0" borderId="52" xfId="35" applyFont="1" applyBorder="1" applyAlignment="1">
      <alignment horizontal="center" vertical="center"/>
    </xf>
    <xf numFmtId="0" fontId="17" fillId="0" borderId="45" xfId="68" applyBorder="1" applyAlignment="1">
      <alignment horizontal="center" vertical="center"/>
    </xf>
    <xf numFmtId="0" fontId="17" fillId="0" borderId="71" xfId="68" applyBorder="1" applyAlignment="1">
      <alignment horizontal="center" vertical="center"/>
    </xf>
    <xf numFmtId="0" fontId="5" fillId="0" borderId="26" xfId="35" applyFont="1" applyBorder="1" applyAlignment="1">
      <alignment horizontal="center" vertical="center"/>
    </xf>
    <xf numFmtId="0" fontId="17" fillId="0" borderId="10" xfId="68" applyBorder="1" applyAlignment="1">
      <alignment horizontal="center" vertical="center"/>
    </xf>
    <xf numFmtId="0" fontId="17" fillId="0" borderId="14" xfId="68" applyBorder="1" applyAlignment="1">
      <alignment horizontal="center" vertical="center"/>
    </xf>
    <xf numFmtId="49" fontId="5" fillId="0" borderId="26" xfId="34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1" fillId="0" borderId="53" xfId="35" applyFont="1" applyBorder="1" applyAlignment="1">
      <alignment horizontal="center" vertical="center" wrapText="1"/>
    </xf>
    <xf numFmtId="0" fontId="11" fillId="0" borderId="44" xfId="35" applyFont="1" applyBorder="1" applyAlignment="1">
      <alignment horizontal="center" vertical="center" wrapText="1"/>
    </xf>
    <xf numFmtId="0" fontId="11" fillId="0" borderId="73" xfId="35" applyFont="1" applyBorder="1" applyAlignment="1">
      <alignment horizontal="center" vertical="center" wrapText="1"/>
    </xf>
    <xf numFmtId="49" fontId="5" fillId="0" borderId="26" xfId="34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5" fillId="0" borderId="0" xfId="35" applyFont="1" applyAlignment="1">
      <alignment horizontal="center" vertical="center"/>
    </xf>
    <xf numFmtId="0" fontId="4" fillId="0" borderId="0" xfId="35" applyAlignment="1">
      <alignment vertical="center"/>
    </xf>
    <xf numFmtId="2" fontId="5" fillId="0" borderId="0" xfId="35" applyNumberFormat="1" applyFont="1" applyAlignment="1">
      <alignment horizontal="center" vertical="center"/>
    </xf>
    <xf numFmtId="2" fontId="4" fillId="0" borderId="0" xfId="35" applyNumberForma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5" fillId="0" borderId="79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10" xfId="34" applyNumberFormat="1" applyFont="1" applyBorder="1" applyAlignment="1">
      <alignment horizontal="center" vertical="center" wrapText="1"/>
    </xf>
    <xf numFmtId="49" fontId="5" fillId="0" borderId="14" xfId="34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5" fillId="0" borderId="0" xfId="0" applyFont="1" applyAlignment="1">
      <alignment horizontal="center"/>
    </xf>
    <xf numFmtId="2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86" fillId="0" borderId="68" xfId="83" applyFont="1" applyBorder="1" applyAlignment="1">
      <alignment horizontal="left"/>
    </xf>
    <xf numFmtId="0" fontId="86" fillId="0" borderId="33" xfId="83" applyFont="1" applyBorder="1" applyAlignment="1">
      <alignment horizontal="left"/>
    </xf>
    <xf numFmtId="0" fontId="86" fillId="0" borderId="91" xfId="83" applyFont="1" applyBorder="1" applyAlignment="1">
      <alignment horizontal="left"/>
    </xf>
    <xf numFmtId="0" fontId="86" fillId="0" borderId="92" xfId="83" applyFont="1" applyBorder="1" applyAlignment="1">
      <alignment horizontal="left"/>
    </xf>
    <xf numFmtId="0" fontId="106" fillId="0" borderId="68" xfId="83" applyFont="1" applyBorder="1" applyAlignment="1">
      <alignment horizontal="left"/>
    </xf>
    <xf numFmtId="0" fontId="106" fillId="0" borderId="33" xfId="83" applyFont="1" applyBorder="1" applyAlignment="1">
      <alignment horizontal="left"/>
    </xf>
    <xf numFmtId="0" fontId="76" fillId="0" borderId="0" xfId="83" applyFont="1" applyAlignment="1">
      <alignment horizontal="center"/>
    </xf>
    <xf numFmtId="0" fontId="11" fillId="0" borderId="0" xfId="84" applyFont="1" applyAlignment="1">
      <alignment horizontal="center"/>
    </xf>
    <xf numFmtId="0" fontId="81" fillId="0" borderId="91" xfId="83" applyFont="1" applyBorder="1"/>
    <xf numFmtId="0" fontId="1" fillId="0" borderId="92" xfId="84" applyBorder="1"/>
    <xf numFmtId="0" fontId="82" fillId="14" borderId="53" xfId="76" applyFont="1" applyFill="1" applyBorder="1" applyAlignment="1">
      <alignment horizontal="center" vertical="center" wrapText="1"/>
    </xf>
    <xf numFmtId="0" fontId="82" fillId="14" borderId="73" xfId="76" applyFont="1" applyFill="1" applyBorder="1" applyAlignment="1">
      <alignment horizontal="center" vertical="center" wrapText="1"/>
    </xf>
    <xf numFmtId="0" fontId="88" fillId="0" borderId="12" xfId="76" applyFont="1" applyBorder="1" applyAlignment="1">
      <alignment horizontal="left"/>
    </xf>
    <xf numFmtId="0" fontId="88" fillId="0" borderId="22" xfId="76" applyFont="1" applyBorder="1" applyAlignment="1">
      <alignment horizontal="left"/>
    </xf>
    <xf numFmtId="0" fontId="88" fillId="0" borderId="64" xfId="76" applyFont="1" applyBorder="1" applyAlignment="1">
      <alignment horizontal="left"/>
    </xf>
    <xf numFmtId="0" fontId="88" fillId="0" borderId="33" xfId="76" applyFont="1" applyBorder="1" applyAlignment="1">
      <alignment horizontal="left"/>
    </xf>
    <xf numFmtId="0" fontId="90" fillId="0" borderId="85" xfId="76" applyFont="1" applyBorder="1" applyAlignment="1">
      <alignment horizontal="center" vertical="center" wrapText="1"/>
    </xf>
    <xf numFmtId="0" fontId="90" fillId="0" borderId="75" xfId="76" applyFont="1" applyBorder="1" applyAlignment="1">
      <alignment horizontal="center" vertical="center" wrapText="1"/>
    </xf>
    <xf numFmtId="0" fontId="90" fillId="0" borderId="34" xfId="76" applyFont="1" applyBorder="1" applyAlignment="1">
      <alignment horizontal="center" vertical="center" wrapText="1"/>
    </xf>
    <xf numFmtId="0" fontId="90" fillId="0" borderId="80" xfId="76" applyFont="1" applyBorder="1" applyAlignment="1">
      <alignment horizontal="center" vertical="center" wrapText="1"/>
    </xf>
    <xf numFmtId="0" fontId="90" fillId="0" borderId="0" xfId="76" applyFont="1" applyAlignment="1">
      <alignment horizontal="center" vertical="center" wrapText="1"/>
    </xf>
    <xf numFmtId="0" fontId="90" fillId="0" borderId="20" xfId="76" applyFont="1" applyBorder="1" applyAlignment="1">
      <alignment horizontal="center" vertical="center" wrapText="1"/>
    </xf>
    <xf numFmtId="0" fontId="90" fillId="0" borderId="82" xfId="76" applyFont="1" applyBorder="1" applyAlignment="1">
      <alignment horizontal="center" vertical="center" wrapText="1"/>
    </xf>
    <xf numFmtId="0" fontId="90" fillId="0" borderId="74" xfId="76" applyFont="1" applyBorder="1" applyAlignment="1">
      <alignment horizontal="center" vertical="center" wrapText="1"/>
    </xf>
    <xf numFmtId="0" fontId="90" fillId="0" borderId="23" xfId="76" applyFont="1" applyBorder="1" applyAlignment="1">
      <alignment horizontal="center" vertical="center" wrapText="1"/>
    </xf>
    <xf numFmtId="0" fontId="88" fillId="0" borderId="26" xfId="76" applyFont="1" applyBorder="1" applyAlignment="1">
      <alignment horizontal="center" vertical="center"/>
    </xf>
    <xf numFmtId="0" fontId="88" fillId="0" borderId="10" xfId="76" applyFont="1" applyBorder="1" applyAlignment="1">
      <alignment horizontal="center" vertical="center"/>
    </xf>
    <xf numFmtId="0" fontId="88" fillId="0" borderId="14" xfId="76" applyFont="1" applyBorder="1" applyAlignment="1">
      <alignment horizontal="center" vertical="center"/>
    </xf>
    <xf numFmtId="0" fontId="88" fillId="0" borderId="18" xfId="76" applyFont="1" applyBorder="1" applyAlignment="1">
      <alignment horizontal="left"/>
    </xf>
    <xf numFmtId="0" fontId="88" fillId="0" borderId="21" xfId="76" applyFont="1" applyBorder="1" applyAlignment="1">
      <alignment horizontal="left"/>
    </xf>
    <xf numFmtId="0" fontId="88" fillId="0" borderId="11" xfId="76" applyFont="1" applyBorder="1" applyAlignment="1">
      <alignment horizontal="left"/>
    </xf>
    <xf numFmtId="0" fontId="88" fillId="0" borderId="85" xfId="76" applyFont="1" applyBorder="1" applyAlignment="1">
      <alignment horizontal="center" vertical="center"/>
    </xf>
    <xf numFmtId="0" fontId="17" fillId="0" borderId="80" xfId="76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88" fillId="0" borderId="31" xfId="76" applyFont="1" applyBorder="1" applyAlignment="1">
      <alignment horizontal="center" vertical="center" wrapText="1"/>
    </xf>
    <xf numFmtId="0" fontId="88" fillId="0" borderId="34" xfId="76" applyFont="1" applyBorder="1" applyAlignment="1">
      <alignment horizontal="center" vertical="center" wrapText="1"/>
    </xf>
    <xf numFmtId="0" fontId="88" fillId="0" borderId="16" xfId="76" applyFont="1" applyBorder="1" applyAlignment="1">
      <alignment horizontal="center" vertical="center" wrapText="1"/>
    </xf>
    <xf numFmtId="0" fontId="88" fillId="0" borderId="20" xfId="76" applyFont="1" applyBorder="1" applyAlignment="1">
      <alignment horizontal="center" vertical="center" wrapText="1"/>
    </xf>
    <xf numFmtId="0" fontId="17" fillId="0" borderId="16" xfId="76" applyBorder="1" applyAlignment="1">
      <alignment horizontal="center" vertical="center" wrapText="1"/>
    </xf>
    <xf numFmtId="0" fontId="17" fillId="0" borderId="20" xfId="76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88" fillId="0" borderId="13" xfId="76" applyFont="1" applyBorder="1" applyAlignment="1">
      <alignment horizontal="center" vertical="center"/>
    </xf>
    <xf numFmtId="0" fontId="89" fillId="0" borderId="21" xfId="76" applyFont="1" applyBorder="1" applyAlignment="1">
      <alignment horizontal="left"/>
    </xf>
    <xf numFmtId="0" fontId="0" fillId="0" borderId="80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88" fillId="0" borderId="31" xfId="76" applyFont="1" applyBorder="1" applyAlignment="1">
      <alignment horizontal="left"/>
    </xf>
    <xf numFmtId="0" fontId="88" fillId="0" borderId="75" xfId="76" applyFont="1" applyBorder="1" applyAlignment="1">
      <alignment horizontal="left"/>
    </xf>
    <xf numFmtId="0" fontId="88" fillId="0" borderId="34" xfId="76" applyFont="1" applyBorder="1" applyAlignment="1">
      <alignment horizontal="left"/>
    </xf>
    <xf numFmtId="0" fontId="88" fillId="0" borderId="17" xfId="76" applyFont="1" applyBorder="1" applyAlignment="1">
      <alignment horizontal="left"/>
    </xf>
    <xf numFmtId="0" fontId="88" fillId="0" borderId="28" xfId="76" applyFont="1" applyBorder="1" applyAlignment="1">
      <alignment horizontal="left"/>
    </xf>
    <xf numFmtId="0" fontId="88" fillId="0" borderId="36" xfId="76" applyFont="1" applyBorder="1" applyAlignment="1">
      <alignment horizontal="left"/>
    </xf>
    <xf numFmtId="0" fontId="89" fillId="0" borderId="17" xfId="76" applyFont="1" applyBorder="1" applyAlignment="1">
      <alignment horizontal="left"/>
    </xf>
    <xf numFmtId="0" fontId="89" fillId="0" borderId="28" xfId="76" applyFont="1" applyBorder="1" applyAlignment="1">
      <alignment horizontal="left"/>
    </xf>
    <xf numFmtId="0" fontId="89" fillId="0" borderId="36" xfId="76" applyFont="1" applyBorder="1" applyAlignment="1">
      <alignment horizontal="left"/>
    </xf>
    <xf numFmtId="0" fontId="76" fillId="0" borderId="0" xfId="76" applyFont="1" applyAlignment="1">
      <alignment horizontal="center"/>
    </xf>
    <xf numFmtId="0" fontId="74" fillId="0" borderId="0" xfId="76" applyFont="1" applyAlignment="1">
      <alignment horizontal="center" vertical="center" wrapText="1"/>
    </xf>
    <xf numFmtId="0" fontId="82" fillId="0" borderId="52" xfId="76" applyFont="1" applyBorder="1" applyAlignment="1">
      <alignment horizontal="center" vertical="center"/>
    </xf>
    <xf numFmtId="0" fontId="82" fillId="0" borderId="51" xfId="76" applyFont="1" applyBorder="1" applyAlignment="1">
      <alignment horizontal="center" vertical="center"/>
    </xf>
    <xf numFmtId="0" fontId="82" fillId="0" borderId="31" xfId="76" applyFont="1" applyBorder="1" applyAlignment="1">
      <alignment horizontal="center" vertical="center"/>
    </xf>
    <xf numFmtId="0" fontId="82" fillId="0" borderId="34" xfId="76" applyFont="1" applyBorder="1" applyAlignment="1">
      <alignment horizontal="center" vertical="center"/>
    </xf>
    <xf numFmtId="0" fontId="82" fillId="0" borderId="24" xfId="76" applyFont="1" applyBorder="1" applyAlignment="1">
      <alignment horizontal="center" vertical="center"/>
    </xf>
    <xf numFmtId="0" fontId="82" fillId="0" borderId="32" xfId="76" applyFont="1" applyBorder="1" applyAlignment="1">
      <alignment horizontal="center" vertical="center"/>
    </xf>
    <xf numFmtId="0" fontId="82" fillId="0" borderId="75" xfId="76" applyFont="1" applyBorder="1" applyAlignment="1">
      <alignment horizontal="center" vertical="center"/>
    </xf>
    <xf numFmtId="0" fontId="82" fillId="0" borderId="29" xfId="76" applyFont="1" applyBorder="1" applyAlignment="1">
      <alignment horizontal="center" vertical="center"/>
    </xf>
    <xf numFmtId="0" fontId="82" fillId="0" borderId="74" xfId="76" applyFont="1" applyBorder="1" applyAlignment="1">
      <alignment horizontal="center" vertical="center"/>
    </xf>
    <xf numFmtId="0" fontId="82" fillId="0" borderId="23" xfId="76" applyFont="1" applyBorder="1" applyAlignment="1">
      <alignment horizontal="center" vertical="center"/>
    </xf>
    <xf numFmtId="0" fontId="82" fillId="14" borderId="26" xfId="76" applyFont="1" applyFill="1" applyBorder="1" applyAlignment="1">
      <alignment horizontal="center" vertical="center" wrapText="1"/>
    </xf>
    <xf numFmtId="0" fontId="82" fillId="14" borderId="14" xfId="76" applyFont="1" applyFill="1" applyBorder="1" applyAlignment="1">
      <alignment horizontal="center" vertical="center" wrapText="1"/>
    </xf>
    <xf numFmtId="0" fontId="76" fillId="0" borderId="0" xfId="71" applyFont="1" applyAlignment="1">
      <alignment horizontal="center"/>
    </xf>
    <xf numFmtId="0" fontId="11" fillId="0" borderId="0" xfId="73" applyFont="1" applyAlignment="1">
      <alignment horizontal="center"/>
    </xf>
    <xf numFmtId="0" fontId="17" fillId="0" borderId="0" xfId="71"/>
    <xf numFmtId="0" fontId="76" fillId="0" borderId="52" xfId="71" applyFont="1" applyBorder="1" applyAlignment="1">
      <alignment horizontal="center" vertical="center"/>
    </xf>
    <xf numFmtId="0" fontId="76" fillId="0" borderId="45" xfId="71" applyFont="1" applyBorder="1" applyAlignment="1">
      <alignment horizontal="center" vertical="center"/>
    </xf>
    <xf numFmtId="0" fontId="76" fillId="0" borderId="51" xfId="71" applyFont="1" applyBorder="1" applyAlignment="1">
      <alignment horizontal="center" vertical="center"/>
    </xf>
    <xf numFmtId="0" fontId="76" fillId="0" borderId="31" xfId="71" applyFont="1" applyBorder="1" applyAlignment="1">
      <alignment horizontal="center" vertical="center" wrapText="1"/>
    </xf>
    <xf numFmtId="0" fontId="76" fillId="0" borderId="75" xfId="71" applyFont="1" applyBorder="1" applyAlignment="1">
      <alignment horizontal="center" vertical="center" wrapText="1"/>
    </xf>
    <xf numFmtId="0" fontId="76" fillId="0" borderId="34" xfId="71" applyFont="1" applyBorder="1" applyAlignment="1">
      <alignment horizontal="center" vertical="center" wrapText="1"/>
    </xf>
    <xf numFmtId="0" fontId="76" fillId="0" borderId="16" xfId="71" applyFont="1" applyBorder="1" applyAlignment="1">
      <alignment horizontal="center" vertical="center" wrapText="1"/>
    </xf>
    <xf numFmtId="0" fontId="76" fillId="0" borderId="0" xfId="71" applyFont="1" applyAlignment="1">
      <alignment horizontal="center" vertical="center" wrapText="1"/>
    </xf>
    <xf numFmtId="0" fontId="76" fillId="0" borderId="20" xfId="71" applyFont="1" applyBorder="1" applyAlignment="1">
      <alignment horizontal="center" vertical="center" wrapText="1"/>
    </xf>
    <xf numFmtId="0" fontId="17" fillId="0" borderId="24" xfId="71" applyBorder="1" applyAlignment="1">
      <alignment horizontal="center" wrapText="1"/>
    </xf>
    <xf numFmtId="0" fontId="17" fillId="0" borderId="19" xfId="71" applyBorder="1" applyAlignment="1">
      <alignment horizontal="center" wrapText="1"/>
    </xf>
    <xf numFmtId="0" fontId="17" fillId="0" borderId="32" xfId="71" applyBorder="1" applyAlignment="1">
      <alignment horizontal="center" wrapText="1"/>
    </xf>
    <xf numFmtId="0" fontId="76" fillId="0" borderId="26" xfId="71" applyFont="1" applyBorder="1" applyAlignment="1">
      <alignment horizontal="center" vertical="center" wrapText="1"/>
    </xf>
    <xf numFmtId="0" fontId="17" fillId="0" borderId="10" xfId="71" applyBorder="1" applyAlignment="1">
      <alignment horizontal="center" wrapText="1"/>
    </xf>
    <xf numFmtId="0" fontId="17" fillId="0" borderId="11" xfId="71" applyBorder="1" applyAlignment="1">
      <alignment horizontal="center" wrapText="1"/>
    </xf>
    <xf numFmtId="0" fontId="76" fillId="0" borderId="27" xfId="71" applyFont="1" applyBorder="1" applyAlignment="1">
      <alignment horizontal="center"/>
    </xf>
    <xf numFmtId="0" fontId="76" fillId="0" borderId="78" xfId="71" applyFont="1" applyBorder="1" applyAlignment="1">
      <alignment horizontal="center"/>
    </xf>
    <xf numFmtId="0" fontId="17" fillId="0" borderId="78" xfId="71" applyBorder="1" applyAlignment="1">
      <alignment horizontal="center"/>
    </xf>
    <xf numFmtId="0" fontId="76" fillId="0" borderId="22" xfId="71" applyFont="1" applyBorder="1" applyAlignment="1">
      <alignment horizontal="center"/>
    </xf>
    <xf numFmtId="0" fontId="76" fillId="0" borderId="64" xfId="71" applyFont="1" applyBorder="1" applyAlignment="1">
      <alignment horizontal="center"/>
    </xf>
    <xf numFmtId="0" fontId="76" fillId="0" borderId="33" xfId="71" applyFont="1" applyBorder="1" applyAlignment="1">
      <alignment horizontal="center"/>
    </xf>
    <xf numFmtId="0" fontId="17" fillId="0" borderId="46" xfId="71" applyBorder="1" applyAlignment="1">
      <alignment horizontal="center" vertical="center" wrapText="1"/>
    </xf>
    <xf numFmtId="0" fontId="17" fillId="0" borderId="44" xfId="71" applyBorder="1" applyAlignment="1">
      <alignment horizontal="center" vertical="center" wrapText="1"/>
    </xf>
    <xf numFmtId="0" fontId="17" fillId="0" borderId="50" xfId="71" applyBorder="1" applyAlignment="1">
      <alignment horizontal="center" vertical="center" wrapText="1"/>
    </xf>
    <xf numFmtId="0" fontId="17" fillId="0" borderId="13" xfId="71" applyBorder="1" applyAlignment="1">
      <alignment horizontal="center" vertical="center" wrapText="1"/>
    </xf>
    <xf numFmtId="0" fontId="17" fillId="0" borderId="11" xfId="71" applyBorder="1" applyAlignment="1">
      <alignment horizontal="center" vertical="center" wrapText="1"/>
    </xf>
    <xf numFmtId="0" fontId="17" fillId="0" borderId="0" xfId="71" applyAlignment="1">
      <alignment horizontal="center" vertical="center" wrapText="1"/>
    </xf>
    <xf numFmtId="0" fontId="17" fillId="0" borderId="19" xfId="71" applyBorder="1" applyAlignment="1">
      <alignment horizontal="center" vertical="center" wrapText="1"/>
    </xf>
    <xf numFmtId="0" fontId="17" fillId="0" borderId="47" xfId="71" applyBorder="1" applyAlignment="1">
      <alignment horizontal="center" vertical="center"/>
    </xf>
    <xf numFmtId="0" fontId="17" fillId="0" borderId="51" xfId="71" applyBorder="1" applyAlignment="1">
      <alignment horizontal="center" vertical="center"/>
    </xf>
    <xf numFmtId="0" fontId="76" fillId="0" borderId="17" xfId="71" applyFont="1" applyBorder="1" applyAlignment="1">
      <alignment vertical="center"/>
    </xf>
    <xf numFmtId="0" fontId="76" fillId="0" borderId="28" xfId="71" applyFont="1" applyBorder="1" applyAlignment="1">
      <alignment vertical="center"/>
    </xf>
    <xf numFmtId="0" fontId="76" fillId="0" borderId="36" xfId="71" applyFont="1" applyBorder="1" applyAlignment="1">
      <alignment vertical="center"/>
    </xf>
    <xf numFmtId="0" fontId="76" fillId="0" borderId="24" xfId="71" applyFont="1" applyBorder="1" applyAlignment="1">
      <alignment vertical="center"/>
    </xf>
    <xf numFmtId="0" fontId="76" fillId="0" borderId="19" xfId="71" applyFont="1" applyBorder="1" applyAlignment="1">
      <alignment vertical="center"/>
    </xf>
    <xf numFmtId="0" fontId="76" fillId="0" borderId="32" xfId="71" applyFont="1" applyBorder="1" applyAlignment="1">
      <alignment vertical="center"/>
    </xf>
    <xf numFmtId="0" fontId="17" fillId="0" borderId="13" xfId="71" applyBorder="1" applyAlignment="1">
      <alignment horizontal="right" vertical="center"/>
    </xf>
    <xf numFmtId="0" fontId="17" fillId="0" borderId="11" xfId="71" applyBorder="1" applyAlignment="1">
      <alignment horizontal="right" vertical="center"/>
    </xf>
    <xf numFmtId="49" fontId="86" fillId="0" borderId="22" xfId="72" applyNumberFormat="1" applyFont="1" applyBorder="1" applyAlignment="1">
      <alignment horizontal="left" vertical="center"/>
    </xf>
    <xf numFmtId="49" fontId="86" fillId="0" borderId="64" xfId="72" applyNumberFormat="1" applyFont="1" applyBorder="1" applyAlignment="1">
      <alignment horizontal="left" vertical="center"/>
    </xf>
    <xf numFmtId="49" fontId="86" fillId="0" borderId="33" xfId="72" applyNumberFormat="1" applyFont="1" applyBorder="1" applyAlignment="1">
      <alignment horizontal="left" vertical="center"/>
    </xf>
    <xf numFmtId="49" fontId="86" fillId="0" borderId="17" xfId="72" applyNumberFormat="1" applyFont="1" applyBorder="1" applyAlignment="1">
      <alignment horizontal="left" vertical="center"/>
    </xf>
    <xf numFmtId="49" fontId="86" fillId="0" borderId="28" xfId="72" applyNumberFormat="1" applyFont="1" applyBorder="1" applyAlignment="1">
      <alignment horizontal="left" vertical="center"/>
    </xf>
    <xf numFmtId="49" fontId="86" fillId="0" borderId="36" xfId="72" applyNumberFormat="1" applyFont="1" applyBorder="1" applyAlignment="1">
      <alignment horizontal="left" vertical="center"/>
    </xf>
    <xf numFmtId="0" fontId="17" fillId="0" borderId="46" xfId="71" applyBorder="1" applyAlignment="1">
      <alignment horizontal="right" vertical="center"/>
    </xf>
    <xf numFmtId="0" fontId="17" fillId="0" borderId="50" xfId="71" applyBorder="1" applyAlignment="1">
      <alignment horizontal="right" vertical="center"/>
    </xf>
    <xf numFmtId="0" fontId="17" fillId="0" borderId="26" xfId="71" applyBorder="1" applyAlignment="1">
      <alignment horizontal="right" vertical="center"/>
    </xf>
    <xf numFmtId="0" fontId="17" fillId="0" borderId="53" xfId="71" applyBorder="1" applyAlignment="1">
      <alignment horizontal="right" vertical="center"/>
    </xf>
    <xf numFmtId="0" fontId="17" fillId="0" borderId="45" xfId="71" applyBorder="1" applyAlignment="1">
      <alignment horizontal="center" vertical="center"/>
    </xf>
    <xf numFmtId="0" fontId="17" fillId="0" borderId="17" xfId="71" applyBorder="1" applyAlignment="1">
      <alignment horizontal="left" vertical="center"/>
    </xf>
    <xf numFmtId="0" fontId="17" fillId="0" borderId="28" xfId="71" applyBorder="1" applyAlignment="1">
      <alignment horizontal="left" vertical="center"/>
    </xf>
    <xf numFmtId="0" fontId="17" fillId="0" borderId="36" xfId="71" applyBorder="1" applyAlignment="1">
      <alignment horizontal="left" vertical="center"/>
    </xf>
    <xf numFmtId="0" fontId="17" fillId="0" borderId="24" xfId="71" applyBorder="1" applyAlignment="1">
      <alignment horizontal="left" vertical="center"/>
    </xf>
    <xf numFmtId="0" fontId="17" fillId="0" borderId="19" xfId="71" applyBorder="1" applyAlignment="1">
      <alignment horizontal="left" vertical="center"/>
    </xf>
    <xf numFmtId="0" fontId="17" fillId="0" borderId="32" xfId="71" applyBorder="1" applyAlignment="1">
      <alignment horizontal="left" vertical="center"/>
    </xf>
    <xf numFmtId="0" fontId="17" fillId="0" borderId="52" xfId="71" applyBorder="1" applyAlignment="1">
      <alignment horizontal="center" vertical="center"/>
    </xf>
    <xf numFmtId="0" fontId="17" fillId="0" borderId="31" xfId="71" applyBorder="1" applyAlignment="1">
      <alignment horizontal="left" vertical="center"/>
    </xf>
    <xf numFmtId="0" fontId="17" fillId="0" borderId="75" xfId="71" applyBorder="1" applyAlignment="1">
      <alignment horizontal="left" vertical="center"/>
    </xf>
    <xf numFmtId="0" fontId="17" fillId="0" borderId="34" xfId="71" applyBorder="1" applyAlignment="1">
      <alignment horizontal="left" vertical="center"/>
    </xf>
    <xf numFmtId="0" fontId="17" fillId="0" borderId="17" xfId="71" applyBorder="1" applyAlignment="1">
      <alignment horizontal="left" vertical="center" wrapText="1"/>
    </xf>
    <xf numFmtId="0" fontId="17" fillId="0" borderId="28" xfId="71" applyBorder="1" applyAlignment="1">
      <alignment horizontal="left" vertical="center" wrapText="1"/>
    </xf>
    <xf numFmtId="0" fontId="17" fillId="0" borderId="36" xfId="71" applyBorder="1" applyAlignment="1">
      <alignment horizontal="left" vertical="center" wrapText="1"/>
    </xf>
    <xf numFmtId="0" fontId="17" fillId="0" borderId="24" xfId="71" applyBorder="1" applyAlignment="1">
      <alignment horizontal="left" vertical="center" wrapText="1"/>
    </xf>
    <xf numFmtId="0" fontId="17" fillId="0" borderId="19" xfId="71" applyBorder="1" applyAlignment="1">
      <alignment horizontal="left" vertical="center" wrapText="1"/>
    </xf>
    <xf numFmtId="0" fontId="17" fillId="0" borderId="32" xfId="71" applyBorder="1" applyAlignment="1">
      <alignment horizontal="left" vertical="center" wrapText="1"/>
    </xf>
    <xf numFmtId="0" fontId="76" fillId="0" borderId="26" xfId="71" applyFont="1" applyBorder="1" applyAlignment="1">
      <alignment horizontal="right" vertical="center"/>
    </xf>
    <xf numFmtId="0" fontId="76" fillId="0" borderId="14" xfId="71" applyFont="1" applyBorder="1" applyAlignment="1">
      <alignment horizontal="right" vertical="center"/>
    </xf>
    <xf numFmtId="0" fontId="76" fillId="0" borderId="53" xfId="71" applyFont="1" applyBorder="1" applyAlignment="1">
      <alignment horizontal="right" vertical="center"/>
    </xf>
    <xf numFmtId="0" fontId="76" fillId="0" borderId="73" xfId="71" applyFont="1" applyBorder="1" applyAlignment="1">
      <alignment horizontal="right" vertical="center"/>
    </xf>
    <xf numFmtId="0" fontId="17" fillId="0" borderId="16" xfId="71" applyBorder="1" applyAlignment="1">
      <alignment horizontal="left" vertical="center" wrapText="1"/>
    </xf>
    <xf numFmtId="0" fontId="17" fillId="0" borderId="0" xfId="71" applyAlignment="1">
      <alignment horizontal="left" vertical="center" wrapText="1"/>
    </xf>
    <xf numFmtId="0" fontId="17" fillId="0" borderId="20" xfId="71" applyBorder="1" applyAlignment="1">
      <alignment horizontal="left" vertical="center" wrapText="1"/>
    </xf>
    <xf numFmtId="0" fontId="17" fillId="0" borderId="10" xfId="71" applyBorder="1" applyAlignment="1">
      <alignment horizontal="right" vertical="center"/>
    </xf>
    <xf numFmtId="3" fontId="76" fillId="0" borderId="10" xfId="71" applyNumberFormat="1" applyFont="1" applyBorder="1" applyAlignment="1">
      <alignment horizontal="right" vertical="center"/>
    </xf>
    <xf numFmtId="3" fontId="76" fillId="0" borderId="14" xfId="71" applyNumberFormat="1" applyFont="1" applyBorder="1" applyAlignment="1">
      <alignment horizontal="right" vertical="center"/>
    </xf>
    <xf numFmtId="3" fontId="76" fillId="0" borderId="44" xfId="71" applyNumberFormat="1" applyFont="1" applyBorder="1" applyAlignment="1">
      <alignment horizontal="right" vertical="center"/>
    </xf>
    <xf numFmtId="3" fontId="76" fillId="0" borderId="73" xfId="71" applyNumberFormat="1" applyFont="1" applyBorder="1" applyAlignment="1">
      <alignment horizontal="right" vertical="center"/>
    </xf>
    <xf numFmtId="0" fontId="17" fillId="0" borderId="45" xfId="71" applyBorder="1" applyAlignment="1">
      <alignment vertical="center"/>
    </xf>
    <xf numFmtId="0" fontId="17" fillId="0" borderId="71" xfId="71" applyBorder="1" applyAlignment="1">
      <alignment vertical="center"/>
    </xf>
    <xf numFmtId="0" fontId="76" fillId="0" borderId="16" xfId="71" applyFont="1" applyBorder="1" applyAlignment="1">
      <alignment vertical="center"/>
    </xf>
    <xf numFmtId="0" fontId="76" fillId="0" borderId="0" xfId="71" applyFont="1" applyAlignment="1">
      <alignment vertical="center"/>
    </xf>
    <xf numFmtId="0" fontId="76" fillId="0" borderId="20" xfId="71" applyFont="1" applyBorder="1" applyAlignment="1">
      <alignment vertical="center"/>
    </xf>
    <xf numFmtId="0" fontId="76" fillId="0" borderId="29" xfId="71" applyFont="1" applyBorder="1" applyAlignment="1">
      <alignment vertical="center"/>
    </xf>
    <xf numFmtId="0" fontId="76" fillId="0" borderId="74" xfId="71" applyFont="1" applyBorder="1" applyAlignment="1">
      <alignment vertical="center"/>
    </xf>
    <xf numFmtId="0" fontId="76" fillId="0" borderId="23" xfId="71" applyFont="1" applyBorder="1" applyAlignment="1">
      <alignment vertical="center"/>
    </xf>
    <xf numFmtId="0" fontId="17" fillId="0" borderId="44" xfId="71" applyBorder="1" applyAlignment="1">
      <alignment horizontal="right" vertical="center"/>
    </xf>
    <xf numFmtId="0" fontId="17" fillId="0" borderId="52" xfId="71" applyBorder="1" applyAlignment="1">
      <alignment vertical="center"/>
    </xf>
    <xf numFmtId="0" fontId="76" fillId="0" borderId="29" xfId="71" applyFont="1" applyBorder="1" applyAlignment="1">
      <alignment horizontal="center" vertical="center" wrapText="1"/>
    </xf>
    <xf numFmtId="0" fontId="76" fillId="0" borderId="74" xfId="71" applyFont="1" applyBorder="1" applyAlignment="1">
      <alignment horizontal="center" vertical="center" wrapText="1"/>
    </xf>
    <xf numFmtId="0" fontId="76" fillId="0" borderId="23" xfId="71" applyFont="1" applyBorder="1" applyAlignment="1">
      <alignment horizontal="center" vertical="center" wrapText="1"/>
    </xf>
    <xf numFmtId="0" fontId="78" fillId="0" borderId="0" xfId="78" applyFont="1" applyAlignment="1">
      <alignment horizontal="center" vertical="center"/>
    </xf>
    <xf numFmtId="0" fontId="76" fillId="0" borderId="0" xfId="79" applyFont="1" applyAlignment="1">
      <alignment horizontal="center" vertical="center"/>
    </xf>
    <xf numFmtId="0" fontId="76" fillId="0" borderId="52" xfId="79" applyFont="1" applyBorder="1" applyAlignment="1">
      <alignment horizontal="center" vertical="center"/>
    </xf>
    <xf numFmtId="0" fontId="76" fillId="0" borderId="71" xfId="79" applyFont="1" applyBorder="1" applyAlignment="1">
      <alignment horizontal="center" vertical="center"/>
    </xf>
    <xf numFmtId="0" fontId="69" fillId="0" borderId="75" xfId="79" applyFont="1" applyBorder="1" applyAlignment="1">
      <alignment horizontal="center" vertical="center"/>
    </xf>
    <xf numFmtId="0" fontId="69" fillId="0" borderId="74" xfId="79" applyFont="1" applyBorder="1" applyAlignment="1">
      <alignment horizontal="center" vertical="center"/>
    </xf>
    <xf numFmtId="0" fontId="69" fillId="0" borderId="90" xfId="79" applyFont="1" applyBorder="1" applyAlignment="1">
      <alignment horizontal="center" vertical="center"/>
    </xf>
    <xf numFmtId="0" fontId="69" fillId="0" borderId="77" xfId="79" applyFont="1" applyBorder="1" applyAlignment="1">
      <alignment horizontal="center" vertical="center"/>
    </xf>
    <xf numFmtId="0" fontId="69" fillId="0" borderId="78" xfId="79" applyFont="1" applyBorder="1" applyAlignment="1">
      <alignment horizontal="center" vertical="center"/>
    </xf>
    <xf numFmtId="0" fontId="74" fillId="0" borderId="31" xfId="80" applyFont="1" applyBorder="1" applyAlignment="1">
      <alignment horizontal="center" vertical="center" wrapText="1"/>
    </xf>
    <xf numFmtId="0" fontId="74" fillId="0" borderId="29" xfId="80" applyFont="1" applyBorder="1" applyAlignment="1">
      <alignment horizontal="center" vertical="center" wrapText="1"/>
    </xf>
    <xf numFmtId="0" fontId="74" fillId="0" borderId="26" xfId="8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6" fillId="0" borderId="53" xfId="80" applyFont="1" applyBorder="1" applyAlignment="1">
      <alignment vertical="center" wrapText="1"/>
    </xf>
    <xf numFmtId="0" fontId="4" fillId="0" borderId="73" xfId="0" applyFont="1" applyBorder="1" applyAlignment="1">
      <alignment vertical="center"/>
    </xf>
    <xf numFmtId="0" fontId="94" fillId="0" borderId="0" xfId="80" applyFont="1" applyAlignment="1">
      <alignment horizontal="center" vertical="center"/>
    </xf>
    <xf numFmtId="0" fontId="82" fillId="0" borderId="0" xfId="80" applyFont="1" applyAlignment="1">
      <alignment horizontal="center" vertical="center"/>
    </xf>
    <xf numFmtId="0" fontId="74" fillId="0" borderId="14" xfId="8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74" fillId="0" borderId="34" xfId="80" applyFont="1" applyBorder="1" applyAlignment="1">
      <alignment horizontal="center" vertical="center" wrapText="1"/>
    </xf>
    <xf numFmtId="0" fontId="74" fillId="0" borderId="23" xfId="80" applyFont="1" applyBorder="1" applyAlignment="1">
      <alignment horizontal="center" vertical="center" wrapText="1"/>
    </xf>
    <xf numFmtId="0" fontId="74" fillId="0" borderId="27" xfId="80" applyFont="1" applyBorder="1" applyAlignment="1">
      <alignment horizontal="center" vertical="center" wrapText="1"/>
    </xf>
    <xf numFmtId="0" fontId="74" fillId="0" borderId="25" xfId="80" applyFont="1" applyBorder="1" applyAlignment="1">
      <alignment horizontal="center" vertical="center" wrapText="1"/>
    </xf>
    <xf numFmtId="0" fontId="74" fillId="0" borderId="78" xfId="80" applyFont="1" applyBorder="1" applyAlignment="1">
      <alignment horizontal="center" vertical="center" wrapText="1"/>
    </xf>
    <xf numFmtId="0" fontId="74" fillId="0" borderId="18" xfId="80" applyFont="1" applyBorder="1" applyAlignment="1">
      <alignment horizontal="center" vertical="center" wrapText="1"/>
    </xf>
    <xf numFmtId="0" fontId="74" fillId="0" borderId="21" xfId="80" applyFont="1" applyBorder="1" applyAlignment="1">
      <alignment horizontal="center" vertical="center" wrapText="1"/>
    </xf>
    <xf numFmtId="0" fontId="17" fillId="0" borderId="14" xfId="80" applyBorder="1" applyAlignment="1">
      <alignment horizontal="center" vertical="center" wrapText="1"/>
    </xf>
    <xf numFmtId="0" fontId="74" fillId="0" borderId="79" xfId="80" applyFont="1" applyBorder="1" applyAlignment="1">
      <alignment horizontal="center" vertical="center" wrapText="1"/>
    </xf>
    <xf numFmtId="0" fontId="74" fillId="0" borderId="70" xfId="80" applyFont="1" applyBorder="1" applyAlignment="1">
      <alignment horizontal="center" vertical="center" wrapText="1"/>
    </xf>
    <xf numFmtId="0" fontId="76" fillId="0" borderId="0" xfId="80" applyFont="1" applyAlignment="1">
      <alignment horizontal="center" vertical="center" wrapText="1"/>
    </xf>
    <xf numFmtId="0" fontId="90" fillId="0" borderId="0" xfId="80" applyFont="1" applyAlignment="1">
      <alignment horizontal="center" vertical="center"/>
    </xf>
    <xf numFmtId="0" fontId="90" fillId="0" borderId="0" xfId="8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95" fillId="0" borderId="0" xfId="0" applyFont="1" applyAlignment="1">
      <alignment horizontal="center" wrapText="1"/>
    </xf>
    <xf numFmtId="0" fontId="95" fillId="0" borderId="0" xfId="0" applyFont="1" applyAlignment="1">
      <alignment horizontal="center"/>
    </xf>
    <xf numFmtId="0" fontId="11" fillId="0" borderId="0" xfId="78" applyFont="1" applyAlignment="1">
      <alignment horizontal="center"/>
    </xf>
    <xf numFmtId="0" fontId="74" fillId="0" borderId="41" xfId="78" applyFont="1" applyBorder="1" applyAlignment="1">
      <alignment horizontal="center"/>
    </xf>
    <xf numFmtId="0" fontId="74" fillId="0" borderId="35" xfId="78" applyFont="1" applyBorder="1" applyAlignment="1">
      <alignment horizontal="center"/>
    </xf>
    <xf numFmtId="0" fontId="83" fillId="0" borderId="80" xfId="78" applyFont="1" applyBorder="1" applyAlignment="1">
      <alignment horizontal="left" vertical="center" wrapText="1"/>
    </xf>
    <xf numFmtId="0" fontId="83" fillId="0" borderId="20" xfId="81" applyFont="1" applyBorder="1" applyAlignment="1">
      <alignment horizontal="left" vertical="center" wrapText="1"/>
    </xf>
    <xf numFmtId="0" fontId="83" fillId="0" borderId="93" xfId="81" applyFont="1" applyBorder="1" applyAlignment="1">
      <alignment horizontal="left" vertical="center" wrapText="1"/>
    </xf>
    <xf numFmtId="0" fontId="83" fillId="0" borderId="32" xfId="81" applyFont="1" applyBorder="1" applyAlignment="1">
      <alignment horizontal="left" vertical="center" wrapText="1"/>
    </xf>
    <xf numFmtId="3" fontId="86" fillId="0" borderId="10" xfId="78" applyNumberFormat="1" applyFont="1" applyBorder="1" applyAlignment="1">
      <alignment vertical="center"/>
    </xf>
    <xf numFmtId="3" fontId="86" fillId="0" borderId="11" xfId="81" applyNumberFormat="1" applyFont="1" applyBorder="1" applyAlignment="1">
      <alignment vertical="center"/>
    </xf>
    <xf numFmtId="3" fontId="81" fillId="0" borderId="44" xfId="78" applyNumberFormat="1" applyFont="1" applyBorder="1" applyAlignment="1">
      <alignment vertical="center"/>
    </xf>
    <xf numFmtId="3" fontId="81" fillId="0" borderId="50" xfId="78" applyNumberFormat="1" applyFont="1" applyBorder="1" applyAlignment="1">
      <alignment vertical="center"/>
    </xf>
    <xf numFmtId="3" fontId="81" fillId="0" borderId="46" xfId="78" applyNumberFormat="1" applyFont="1" applyBorder="1" applyAlignment="1">
      <alignment vertical="center"/>
    </xf>
    <xf numFmtId="0" fontId="83" fillId="0" borderId="94" xfId="78" applyFont="1" applyBorder="1" applyAlignment="1">
      <alignment horizontal="left" vertical="center" wrapText="1"/>
    </xf>
    <xf numFmtId="0" fontId="83" fillId="0" borderId="36" xfId="81" applyFont="1" applyBorder="1" applyAlignment="1">
      <alignment vertical="center" wrapText="1"/>
    </xf>
    <xf numFmtId="0" fontId="83" fillId="0" borderId="93" xfId="81" applyFont="1" applyBorder="1" applyAlignment="1">
      <alignment vertical="center" wrapText="1"/>
    </xf>
    <xf numFmtId="0" fontId="83" fillId="0" borderId="32" xfId="81" applyFont="1" applyBorder="1" applyAlignment="1">
      <alignment vertical="center" wrapText="1"/>
    </xf>
    <xf numFmtId="3" fontId="86" fillId="0" borderId="13" xfId="78" applyNumberFormat="1" applyFont="1" applyBorder="1" applyAlignment="1">
      <alignment vertical="center"/>
    </xf>
    <xf numFmtId="0" fontId="83" fillId="0" borderId="36" xfId="81" applyFont="1" applyBorder="1" applyAlignment="1">
      <alignment horizontal="left" vertical="center" wrapText="1"/>
    </xf>
    <xf numFmtId="0" fontId="83" fillId="0" borderId="94" xfId="78" applyFont="1" applyBorder="1" applyAlignment="1">
      <alignment vertical="center" wrapText="1"/>
    </xf>
    <xf numFmtId="0" fontId="83" fillId="0" borderId="82" xfId="81" applyFont="1" applyBorder="1" applyAlignment="1">
      <alignment vertical="center" wrapText="1"/>
    </xf>
    <xf numFmtId="0" fontId="83" fillId="0" borderId="23" xfId="81" applyFont="1" applyBorder="1" applyAlignment="1">
      <alignment vertical="center" wrapText="1"/>
    </xf>
    <xf numFmtId="3" fontId="86" fillId="0" borderId="14" xfId="81" applyNumberFormat="1" applyFont="1" applyBorder="1" applyAlignment="1">
      <alignment vertical="center"/>
    </xf>
    <xf numFmtId="3" fontId="86" fillId="0" borderId="14" xfId="78" applyNumberFormat="1" applyFont="1" applyBorder="1" applyAlignment="1">
      <alignment vertical="center"/>
    </xf>
    <xf numFmtId="3" fontId="81" fillId="0" borderId="73" xfId="78" applyNumberFormat="1" applyFont="1" applyBorder="1" applyAlignment="1">
      <alignment vertical="center"/>
    </xf>
    <xf numFmtId="0" fontId="83" fillId="0" borderId="85" xfId="78" applyFont="1" applyBorder="1" applyAlignment="1">
      <alignment vertical="center" wrapText="1"/>
    </xf>
    <xf numFmtId="0" fontId="83" fillId="0" borderId="34" xfId="81" applyFont="1" applyBorder="1" applyAlignment="1">
      <alignment vertical="center" wrapText="1"/>
    </xf>
    <xf numFmtId="3" fontId="86" fillId="0" borderId="26" xfId="78" applyNumberFormat="1" applyFont="1" applyBorder="1" applyAlignment="1">
      <alignment vertical="center"/>
    </xf>
    <xf numFmtId="3" fontId="86" fillId="0" borderId="11" xfId="78" applyNumberFormat="1" applyFont="1" applyBorder="1" applyAlignment="1">
      <alignment vertical="center"/>
    </xf>
    <xf numFmtId="3" fontId="81" fillId="0" borderId="53" xfId="78" applyNumberFormat="1" applyFont="1" applyBorder="1" applyAlignment="1">
      <alignment vertical="center"/>
    </xf>
    <xf numFmtId="3" fontId="17" fillId="0" borderId="11" xfId="81" applyNumberFormat="1" applyBorder="1" applyAlignment="1">
      <alignment vertical="center"/>
    </xf>
    <xf numFmtId="0" fontId="76" fillId="0" borderId="0" xfId="82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6" fillId="0" borderId="0" xfId="8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4" fillId="0" borderId="72" xfId="82" applyFont="1" applyBorder="1" applyAlignment="1">
      <alignment horizontal="center" vertical="center"/>
    </xf>
    <xf numFmtId="0" fontId="74" fillId="0" borderId="69" xfId="82" applyFont="1" applyBorder="1" applyAlignment="1">
      <alignment horizontal="center" vertical="center"/>
    </xf>
    <xf numFmtId="0" fontId="74" fillId="14" borderId="18" xfId="82" applyFont="1" applyFill="1" applyBorder="1" applyAlignment="1">
      <alignment horizontal="center" vertical="center" wrapText="1"/>
    </xf>
    <xf numFmtId="0" fontId="74" fillId="14" borderId="21" xfId="82" applyFont="1" applyFill="1" applyBorder="1" applyAlignment="1">
      <alignment horizontal="center" vertical="center" wrapText="1"/>
    </xf>
    <xf numFmtId="0" fontId="74" fillId="0" borderId="26" xfId="82" applyFont="1" applyBorder="1" applyAlignment="1">
      <alignment horizontal="center" vertical="center" wrapText="1"/>
    </xf>
    <xf numFmtId="0" fontId="74" fillId="0" borderId="14" xfId="82" applyFont="1" applyBorder="1" applyAlignment="1">
      <alignment horizontal="center" vertical="center" wrapText="1"/>
    </xf>
    <xf numFmtId="0" fontId="74" fillId="0" borderId="53" xfId="82" applyFont="1" applyBorder="1" applyAlignment="1">
      <alignment horizontal="center" vertical="center" wrapText="1"/>
    </xf>
    <xf numFmtId="0" fontId="74" fillId="0" borderId="73" xfId="82" applyFont="1" applyBorder="1" applyAlignment="1">
      <alignment horizontal="center" vertical="center" wrapText="1"/>
    </xf>
    <xf numFmtId="0" fontId="83" fillId="0" borderId="49" xfId="82" applyFont="1" applyBorder="1" applyAlignment="1">
      <alignment vertical="center" wrapText="1"/>
    </xf>
    <xf numFmtId="3" fontId="83" fillId="14" borderId="12" xfId="82" applyNumberFormat="1" applyFont="1" applyFill="1" applyBorder="1" applyAlignment="1">
      <alignment vertical="center"/>
    </xf>
    <xf numFmtId="3" fontId="83" fillId="0" borderId="12" xfId="82" applyNumberFormat="1" applyFont="1" applyBorder="1" applyAlignment="1">
      <alignment vertical="center"/>
    </xf>
    <xf numFmtId="3" fontId="83" fillId="0" borderId="48" xfId="82" applyNumberFormat="1" applyFont="1" applyBorder="1" applyAlignment="1">
      <alignment vertical="center"/>
    </xf>
    <xf numFmtId="0" fontId="83" fillId="0" borderId="51" xfId="82" applyFont="1" applyBorder="1" applyAlignment="1">
      <alignment vertical="center" wrapText="1"/>
    </xf>
    <xf numFmtId="3" fontId="83" fillId="14" borderId="11" xfId="82" applyNumberFormat="1" applyFont="1" applyFill="1" applyBorder="1" applyAlignment="1">
      <alignment vertical="center"/>
    </xf>
    <xf numFmtId="3" fontId="83" fillId="0" borderId="11" xfId="82" applyNumberFormat="1" applyFont="1" applyBorder="1" applyAlignment="1">
      <alignment vertical="center"/>
    </xf>
    <xf numFmtId="3" fontId="83" fillId="0" borderId="50" xfId="82" applyNumberFormat="1" applyFont="1" applyBorder="1" applyAlignment="1">
      <alignment vertical="center"/>
    </xf>
    <xf numFmtId="49" fontId="83" fillId="14" borderId="13" xfId="82" applyNumberFormat="1" applyFont="1" applyFill="1" applyBorder="1" applyAlignment="1">
      <alignment horizontal="center" vertical="center"/>
    </xf>
    <xf numFmtId="49" fontId="83" fillId="14" borderId="10" xfId="82" applyNumberFormat="1" applyFont="1" applyFill="1" applyBorder="1" applyAlignment="1">
      <alignment horizontal="center" vertical="center"/>
    </xf>
    <xf numFmtId="49" fontId="83" fillId="14" borderId="11" xfId="82" applyNumberFormat="1" applyFont="1" applyFill="1" applyBorder="1" applyAlignment="1">
      <alignment horizontal="center" vertical="center"/>
    </xf>
    <xf numFmtId="49" fontId="83" fillId="0" borderId="13" xfId="82" applyNumberFormat="1" applyFont="1" applyBorder="1" applyAlignment="1">
      <alignment horizontal="center" vertical="center"/>
    </xf>
    <xf numFmtId="49" fontId="83" fillId="0" borderId="10" xfId="82" applyNumberFormat="1" applyFont="1" applyBorder="1" applyAlignment="1">
      <alignment horizontal="center" vertical="center"/>
    </xf>
    <xf numFmtId="49" fontId="83" fillId="0" borderId="11" xfId="82" applyNumberFormat="1" applyFont="1" applyBorder="1" applyAlignment="1">
      <alignment horizontal="center" vertical="center"/>
    </xf>
    <xf numFmtId="49" fontId="83" fillId="0" borderId="46" xfId="82" applyNumberFormat="1" applyFont="1" applyBorder="1" applyAlignment="1">
      <alignment horizontal="center" vertical="center"/>
    </xf>
    <xf numFmtId="49" fontId="83" fillId="0" borderId="44" xfId="82" applyNumberFormat="1" applyFont="1" applyBorder="1" applyAlignment="1">
      <alignment horizontal="center" vertical="center"/>
    </xf>
    <xf numFmtId="49" fontId="83" fillId="0" borderId="50" xfId="82" applyNumberFormat="1" applyFont="1" applyBorder="1" applyAlignment="1">
      <alignment horizontal="center" vertical="center"/>
    </xf>
    <xf numFmtId="0" fontId="74" fillId="0" borderId="98" xfId="82" applyFont="1" applyBorder="1" applyAlignment="1">
      <alignment vertical="center" wrapText="1"/>
    </xf>
    <xf numFmtId="0" fontId="74" fillId="0" borderId="49" xfId="82" applyFont="1" applyBorder="1" applyAlignment="1">
      <alignment vertical="center" wrapText="1"/>
    </xf>
    <xf numFmtId="0" fontId="74" fillId="0" borderId="69" xfId="82" applyFont="1" applyBorder="1" applyAlignment="1">
      <alignment vertical="center" wrapText="1"/>
    </xf>
    <xf numFmtId="3" fontId="74" fillId="14" borderId="60" xfId="82" applyNumberFormat="1" applyFont="1" applyFill="1" applyBorder="1" applyAlignment="1">
      <alignment vertical="center"/>
    </xf>
    <xf numFmtId="3" fontId="74" fillId="14" borderId="12" xfId="82" applyNumberFormat="1" applyFont="1" applyFill="1" applyBorder="1" applyAlignment="1">
      <alignment vertical="center"/>
    </xf>
    <xf numFmtId="3" fontId="74" fillId="14" borderId="21" xfId="82" applyNumberFormat="1" applyFont="1" applyFill="1" applyBorder="1" applyAlignment="1">
      <alignment vertical="center"/>
    </xf>
    <xf numFmtId="3" fontId="74" fillId="0" borderId="60" xfId="82" applyNumberFormat="1" applyFont="1" applyBorder="1" applyAlignment="1">
      <alignment vertical="center"/>
    </xf>
    <xf numFmtId="3" fontId="74" fillId="0" borderId="12" xfId="82" applyNumberFormat="1" applyFont="1" applyBorder="1" applyAlignment="1">
      <alignment vertical="center"/>
    </xf>
    <xf numFmtId="3" fontId="74" fillId="0" borderId="21" xfId="82" applyNumberFormat="1" applyFont="1" applyBorder="1" applyAlignment="1">
      <alignment vertical="center"/>
    </xf>
    <xf numFmtId="3" fontId="74" fillId="0" borderId="99" xfId="82" applyNumberFormat="1" applyFont="1" applyBorder="1" applyAlignment="1">
      <alignment vertical="center"/>
    </xf>
    <xf numFmtId="3" fontId="74" fillId="0" borderId="48" xfId="82" applyNumberFormat="1" applyFont="1" applyBorder="1" applyAlignment="1">
      <alignment vertical="center"/>
    </xf>
    <xf numFmtId="3" fontId="74" fillId="0" borderId="70" xfId="82" applyNumberFormat="1" applyFont="1" applyBorder="1" applyAlignment="1">
      <alignment vertical="center"/>
    </xf>
    <xf numFmtId="0" fontId="74" fillId="0" borderId="96" xfId="82" applyFont="1" applyBorder="1" applyAlignment="1">
      <alignment vertical="center" wrapText="1"/>
    </xf>
    <xf numFmtId="3" fontId="74" fillId="14" borderId="65" xfId="82" applyNumberFormat="1" applyFont="1" applyFill="1" applyBorder="1" applyAlignment="1">
      <alignment vertical="center"/>
    </xf>
    <xf numFmtId="3" fontId="74" fillId="0" borderId="65" xfId="82" applyNumberFormat="1" applyFont="1" applyBorder="1" applyAlignment="1">
      <alignment vertical="center"/>
    </xf>
    <xf numFmtId="3" fontId="74" fillId="0" borderId="97" xfId="82" applyNumberFormat="1" applyFont="1" applyBorder="1" applyAlignment="1">
      <alignment vertical="center"/>
    </xf>
    <xf numFmtId="0" fontId="74" fillId="0" borderId="41" xfId="0" applyFont="1" applyBorder="1" applyAlignment="1">
      <alignment horizontal="center" vertical="center"/>
    </xf>
    <xf numFmtId="0" fontId="74" fillId="0" borderId="43" xfId="0" applyFont="1" applyBorder="1" applyAlignment="1">
      <alignment horizontal="center" vertical="center"/>
    </xf>
  </cellXfs>
  <cellStyles count="85">
    <cellStyle name="20% - 1. jelölőszín" xfId="1" builtinId="30" customBuiltin="1"/>
    <cellStyle name="20% - 1. jelölőszín 2" xfId="44"/>
    <cellStyle name="20% - 2. jelölőszín" xfId="2" builtinId="34" customBuiltin="1"/>
    <cellStyle name="20% - 2. jelölőszín 2" xfId="45"/>
    <cellStyle name="20% - 3. jelölőszín" xfId="3" builtinId="38" customBuiltin="1"/>
    <cellStyle name="20% - 3. jelölőszín 2" xfId="46"/>
    <cellStyle name="20% - 4. jelölőszín" xfId="4" builtinId="42" customBuiltin="1"/>
    <cellStyle name="20% - 4. jelölőszín 2" xfId="47"/>
    <cellStyle name="20% - 5. jelölőszín" xfId="5" builtinId="46" customBuiltin="1"/>
    <cellStyle name="20% - 6. jelölőszín" xfId="6" builtinId="50" customBuiltin="1"/>
    <cellStyle name="20% - 6. jelölőszín 2" xfId="48"/>
    <cellStyle name="40% - 1. jelölőszín" xfId="7" builtinId="31" customBuiltin="1"/>
    <cellStyle name="40% - 1. jelölőszín 2" xfId="49"/>
    <cellStyle name="40% - 2. jelölőszín" xfId="8" builtinId="35" customBuiltin="1"/>
    <cellStyle name="40% - 3. jelölőszín" xfId="9" builtinId="39" customBuiltin="1"/>
    <cellStyle name="40% - 3. jelölőszín 2" xfId="50"/>
    <cellStyle name="40% - 4. jelölőszín" xfId="10" builtinId="43" customBuiltin="1"/>
    <cellStyle name="40% - 4. jelölőszín 2" xfId="51"/>
    <cellStyle name="40% - 5. jelölőszín" xfId="11" builtinId="47" customBuiltin="1"/>
    <cellStyle name="40% - 6. jelölőszín" xfId="12" builtinId="51" customBuiltin="1"/>
    <cellStyle name="40% - 6. jelölőszín 2" xfId="52"/>
    <cellStyle name="60% - 1. jelölőszín" xfId="13" builtinId="32" customBuiltin="1"/>
    <cellStyle name="60% - 1. jelölőszín 2" xfId="53"/>
    <cellStyle name="60% - 2. jelölőszín" xfId="14" builtinId="36" customBuiltin="1"/>
    <cellStyle name="60% - 3. jelölőszín" xfId="15" builtinId="40" customBuiltin="1"/>
    <cellStyle name="60% - 3. jelölőszín 2" xfId="54"/>
    <cellStyle name="60% - 4. jelölőszín" xfId="16" builtinId="44" customBuiltin="1"/>
    <cellStyle name="60% - 4. jelölőszín 2" xfId="55"/>
    <cellStyle name="60% - 5. jelölőszín" xfId="17" builtinId="48" customBuiltin="1"/>
    <cellStyle name="60% - 6. jelölőszín" xfId="18" builtinId="52" customBuiltin="1"/>
    <cellStyle name="60% - 6. jelölőszín 2" xfId="56"/>
    <cellStyle name="Bevitel" xfId="19" builtinId="20" customBuiltin="1"/>
    <cellStyle name="Bevitel 2" xfId="57"/>
    <cellStyle name="Cím" xfId="20" builtinId="15" customBuiltin="1"/>
    <cellStyle name="Cím 2" xfId="58"/>
    <cellStyle name="Címsor 1" xfId="21" builtinId="16" customBuiltin="1"/>
    <cellStyle name="Címsor 1 2" xfId="59"/>
    <cellStyle name="Címsor 2" xfId="22" builtinId="17" customBuiltin="1"/>
    <cellStyle name="Címsor 2 2" xfId="60"/>
    <cellStyle name="Címsor 3" xfId="23" builtinId="18" customBuiltin="1"/>
    <cellStyle name="Címsor 3 2" xfId="61"/>
    <cellStyle name="Címsor 4" xfId="24" builtinId="19" customBuiltin="1"/>
    <cellStyle name="Címsor 4 2" xfId="62"/>
    <cellStyle name="Ellenőrzőcella" xfId="25" builtinId="23" customBuiltin="1"/>
    <cellStyle name="Ezres" xfId="26" builtinId="3"/>
    <cellStyle name="Ezres 2" xfId="75"/>
    <cellStyle name="Figyelmeztetés" xfId="27" builtinId="11" customBuiltin="1"/>
    <cellStyle name="Hivatkozott cella" xfId="28" builtinId="24" customBuiltin="1"/>
    <cellStyle name="Jegyzet" xfId="29" builtinId="10" customBuiltin="1"/>
    <cellStyle name="Jegyzet 2" xfId="63"/>
    <cellStyle name="Jó" xfId="30" builtinId="26" customBuiltin="1"/>
    <cellStyle name="Kimenet" xfId="31" builtinId="21" customBuiltin="1"/>
    <cellStyle name="Kimenet 2" xfId="64"/>
    <cellStyle name="Magyarázó szöveg" xfId="32" builtinId="53" customBuiltin="1"/>
    <cellStyle name="Normál" xfId="0" builtinId="0"/>
    <cellStyle name="Normál 2" xfId="33"/>
    <cellStyle name="Normál 2 2" xfId="65"/>
    <cellStyle name="Normál 3" xfId="43"/>
    <cellStyle name="Normál 4" xfId="72"/>
    <cellStyle name="Normál 5" xfId="74"/>
    <cellStyle name="Normál 6" xfId="84"/>
    <cellStyle name="Normál_10mellütemterv" xfId="81"/>
    <cellStyle name="Normál_2.sz. melléklet javított" xfId="68"/>
    <cellStyle name="Normál_2006évimozgástáblák" xfId="42"/>
    <cellStyle name="Normál_2007eredetiköltségvetés" xfId="78"/>
    <cellStyle name="Normál_2008évivéglegesköltségvetésfebr13" xfId="73"/>
    <cellStyle name="Normál_2010koltsegvetesjan13" xfId="77"/>
    <cellStyle name="Normál_2011müködésifelhalmérlegfebr17" xfId="69"/>
    <cellStyle name="Normál_2012éviköltségvetésjan19este" xfId="34"/>
    <cellStyle name="Normál_2012éviköltségvetésjan19este 2" xfId="70"/>
    <cellStyle name="Normál_2012koncepcióhozhitel állomány" xfId="83"/>
    <cellStyle name="Normál_2012létszám tábla" xfId="71"/>
    <cellStyle name="Normál_2014.évi költségvetés tervezés jan11" xfId="35"/>
    <cellStyle name="Normál_3évsaját bevétel-2013" xfId="82"/>
    <cellStyle name="Normál_eus tábla" xfId="76"/>
    <cellStyle name="Normal_KARSZJ3" xfId="36"/>
    <cellStyle name="Normál_Kötelző feladatok" xfId="80"/>
    <cellStyle name="Normál_közvetett támogatás" xfId="79"/>
    <cellStyle name="Összesen" xfId="37" builtinId="25" customBuiltin="1"/>
    <cellStyle name="Összesen 2" xfId="66"/>
    <cellStyle name="Rossz" xfId="38" builtinId="27" customBuiltin="1"/>
    <cellStyle name="Semleges" xfId="39" builtinId="28" customBuiltin="1"/>
    <cellStyle name="Számítás" xfId="40" builtinId="22" customBuiltin="1"/>
    <cellStyle name="Számítás 2" xfId="67"/>
    <cellStyle name="Százalék" xfId="4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B05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33" name="Butto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="" xmlns:a16="http://schemas.microsoft.com/office/drawing/2014/main" id="{00000000-0008-0000-03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34" name="Button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="" xmlns:a16="http://schemas.microsoft.com/office/drawing/2014/main" id="{00000000-0008-0000-03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35" name="Button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="" xmlns:a16="http://schemas.microsoft.com/office/drawing/2014/main" id="{00000000-0008-0000-03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36" name="Button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="" xmlns:a16="http://schemas.microsoft.com/office/drawing/2014/main" id="{00000000-0008-0000-03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37" name="Button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="" xmlns:a16="http://schemas.microsoft.com/office/drawing/2014/main" id="{00000000-0008-0000-03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38" name="Button 6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="" xmlns:a16="http://schemas.microsoft.com/office/drawing/2014/main" id="{00000000-0008-0000-0300-000006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39" name="Button 7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="" xmlns:a16="http://schemas.microsoft.com/office/drawing/2014/main" id="{00000000-0008-0000-0300-000007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0" name="Button 8" hidden="1">
              <a:extLst>
                <a:ext uri="{63B3BB69-23CF-44E3-9099-C40C66FF867C}">
                  <a14:compatExt spid="_x0000_s18440"/>
                </a:ext>
                <a:ext uri="{FF2B5EF4-FFF2-40B4-BE49-F238E27FC236}">
                  <a16:creationId xmlns="" xmlns:a16="http://schemas.microsoft.com/office/drawing/2014/main" id="{00000000-0008-0000-0300-000008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1" name="Button 9" hidden="1">
              <a:extLst>
                <a:ext uri="{63B3BB69-23CF-44E3-9099-C40C66FF867C}">
                  <a14:compatExt spid="_x0000_s18441"/>
                </a:ext>
                <a:ext uri="{FF2B5EF4-FFF2-40B4-BE49-F238E27FC236}">
                  <a16:creationId xmlns="" xmlns:a16="http://schemas.microsoft.com/office/drawing/2014/main" id="{00000000-0008-0000-0300-000009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2" name="Button 10" hidden="1">
              <a:extLst>
                <a:ext uri="{63B3BB69-23CF-44E3-9099-C40C66FF867C}">
                  <a14:compatExt spid="_x0000_s18442"/>
                </a:ext>
                <a:ext uri="{FF2B5EF4-FFF2-40B4-BE49-F238E27FC236}">
                  <a16:creationId xmlns="" xmlns:a16="http://schemas.microsoft.com/office/drawing/2014/main" id="{00000000-0008-0000-0300-00000A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3" name="Button 11" hidden="1">
              <a:extLst>
                <a:ext uri="{63B3BB69-23CF-44E3-9099-C40C66FF867C}">
                  <a14:compatExt spid="_x0000_s18443"/>
                </a:ext>
                <a:ext uri="{FF2B5EF4-FFF2-40B4-BE49-F238E27FC236}">
                  <a16:creationId xmlns="" xmlns:a16="http://schemas.microsoft.com/office/drawing/2014/main" id="{00000000-0008-0000-0300-00000B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4" name="Button 12" hidden="1">
              <a:extLst>
                <a:ext uri="{63B3BB69-23CF-44E3-9099-C40C66FF867C}">
                  <a14:compatExt spid="_x0000_s18444"/>
                </a:ext>
                <a:ext uri="{FF2B5EF4-FFF2-40B4-BE49-F238E27FC236}">
                  <a16:creationId xmlns="" xmlns:a16="http://schemas.microsoft.com/office/drawing/2014/main" id="{00000000-0008-0000-0300-00000C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5" name="Button 13" hidden="1">
              <a:extLst>
                <a:ext uri="{63B3BB69-23CF-44E3-9099-C40C66FF867C}">
                  <a14:compatExt spid="_x0000_s18445"/>
                </a:ext>
                <a:ext uri="{FF2B5EF4-FFF2-40B4-BE49-F238E27FC236}">
                  <a16:creationId xmlns="" xmlns:a16="http://schemas.microsoft.com/office/drawing/2014/main" id="{00000000-0008-0000-0300-00000D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6" name="Button 14" hidden="1">
              <a:extLst>
                <a:ext uri="{63B3BB69-23CF-44E3-9099-C40C66FF867C}">
                  <a14:compatExt spid="_x0000_s18446"/>
                </a:ext>
                <a:ext uri="{FF2B5EF4-FFF2-40B4-BE49-F238E27FC236}">
                  <a16:creationId xmlns="" xmlns:a16="http://schemas.microsoft.com/office/drawing/2014/main" id="{00000000-0008-0000-0300-00000E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7" name="Button 15" hidden="1">
              <a:extLst>
                <a:ext uri="{63B3BB69-23CF-44E3-9099-C40C66FF867C}">
                  <a14:compatExt spid="_x0000_s18447"/>
                </a:ext>
                <a:ext uri="{FF2B5EF4-FFF2-40B4-BE49-F238E27FC236}">
                  <a16:creationId xmlns="" xmlns:a16="http://schemas.microsoft.com/office/drawing/2014/main" id="{00000000-0008-0000-0300-00000F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0</xdr:row>
          <xdr:rowOff>38100</xdr:rowOff>
        </xdr:from>
        <xdr:to>
          <xdr:col>0</xdr:col>
          <xdr:colOff>251460</xdr:colOff>
          <xdr:row>0</xdr:row>
          <xdr:rowOff>38100</xdr:rowOff>
        </xdr:to>
        <xdr:sp macro="" textlink="">
          <xdr:nvSpPr>
            <xdr:cNvPr id="18448" name="Button 16" hidden="1">
              <a:extLst>
                <a:ext uri="{63B3BB69-23CF-44E3-9099-C40C66FF867C}">
                  <a14:compatExt spid="_x0000_s18448"/>
                </a:ext>
                <a:ext uri="{FF2B5EF4-FFF2-40B4-BE49-F238E27FC236}">
                  <a16:creationId xmlns="" xmlns:a16="http://schemas.microsoft.com/office/drawing/2014/main" id="{00000000-0008-0000-0300-000010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30480</xdr:colOff>
          <xdr:row>0</xdr:row>
          <xdr:rowOff>0</xdr:rowOff>
        </xdr:to>
        <xdr:sp macro="" textlink="">
          <xdr:nvSpPr>
            <xdr:cNvPr id="17409" name="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="" xmlns:a16="http://schemas.microsoft.com/office/drawing/2014/main" id="{00000000-0008-0000-04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251460</xdr:colOff>
          <xdr:row>0</xdr:row>
          <xdr:rowOff>0</xdr:rowOff>
        </xdr:from>
        <xdr:to>
          <xdr:col>1</xdr:col>
          <xdr:colOff>289560</xdr:colOff>
          <xdr:row>0</xdr:row>
          <xdr:rowOff>0</xdr:rowOff>
        </xdr:to>
        <xdr:sp macro="" textlink="">
          <xdr:nvSpPr>
            <xdr:cNvPr id="17410" name="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="" xmlns:a16="http://schemas.microsoft.com/office/drawing/2014/main" id="{00000000-0008-0000-04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Rendelet%20m&#243;dos&#237;t&#225;s\Rendelet%20m&#243;dos&#237;t&#225;s2010\rend.m&#243;d.010.12.%20h&#243;\Int&#233;zm&#233;nyi%20p&#233;nzf.t&#225;blai2010.12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2009.%20&#233;vi%20kv%20egy&#233;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7\sys\Documents%20and%20Settings\FerencZsoltE\Asztal\Szakmai_ig&#233;nye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KEMO%202009.%20&#233;vi%20k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8\08%20k&#246;lts&#233;gvet&#233;s\2008.%20&#233;vi%20kv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sen"/>
      <sheetName val="TGSZSZ"/>
      <sheetName val="Kórház"/>
      <sheetName val="Jávorka"/>
      <sheetName val="Zsigmondy"/>
      <sheetName val="Eötvös Szakk."/>
      <sheetName val="Széchenyi"/>
      <sheetName val="Kultsar"/>
      <sheetName val="Géza"/>
      <sheetName val="Alapy"/>
      <sheetName val="RubikE.Koll."/>
      <sheetName val="Erkel"/>
      <sheetName val="Óvoda,Ált.spec.isk"/>
      <sheetName val="Ped.és Gyermkv.Szaksz."/>
      <sheetName val="MERI"/>
      <sheetName val="Integrált szoc"/>
      <sheetName val="Múzeum"/>
      <sheetName val="Levéltár"/>
      <sheetName val="Könyvtár"/>
      <sheetName val="CSXLStor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sebbségi önk."/>
      <sheetName val="Kiadás"/>
      <sheetName val="Bevétel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főmérleg"/>
      <sheetName val="1aMűköd. mérleg"/>
      <sheetName val="1bFelhalm. mérleg"/>
      <sheetName val="2Hivatali kv"/>
      <sheetName val="2aHivatal kiad"/>
      <sheetName val="2cCéltartalék"/>
      <sheetName val="6TISZK"/>
      <sheetName val="7Cigány"/>
      <sheetName val="8Német"/>
      <sheetName val="9Szlovák"/>
      <sheetName val="10intberuh-felúj"/>
      <sheetName val="11PM jogcím"/>
      <sheetName val="143éves terv"/>
      <sheetName val="15likviditás"/>
      <sheetName val="Kisebbségi önk."/>
      <sheetName val="Bevétel"/>
      <sheetName val="Kiadás"/>
      <sheetName val="CSXLStore"/>
      <sheetName val="csxlDESheet1"/>
      <sheetName val="csxlDESheet2"/>
      <sheetName val="csxlDESheet3"/>
      <sheetName val="csxlDESheet4"/>
      <sheetName val="csxlDESheet5"/>
      <sheetName val="csxlDESheet6"/>
      <sheetName val="csxlDE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gyhatározat mell."/>
      <sheetName val="Függ.tarj."/>
      <sheetName val="1fhiány lev."/>
      <sheetName val="2fSzékházbérlők"/>
      <sheetName val="3fáth.szerz. "/>
      <sheetName val="4forg.kép.ing."/>
      <sheetName val="5fhitelkorlát"/>
      <sheetName val="6fellátotti létsz"/>
      <sheetName val="7fnyugd.névs"/>
      <sheetName val="8fhitel-kötvény kamat"/>
      <sheetName val="Kvrendelet "/>
      <sheetName val="tartalomj"/>
      <sheetName val="1Főmérleg"/>
      <sheetName val="1aműk.mérleg"/>
      <sheetName val="1bFelhalm.mérleg"/>
      <sheetName val="2mérlegössz."/>
      <sheetName val="2aMérlegint"/>
      <sheetName val="2bMérleghiv"/>
      <sheetName val="3-aBevétel"/>
      <sheetName val="3-bKiadás"/>
      <sheetName val="3-cIntézmények"/>
      <sheetName val="3-dInt beruh-felúj"/>
      <sheetName val="3-eKEMÖBev"/>
      <sheetName val="4Megye bev-kiad"/>
      <sheetName val="4aPénzeszköz"/>
      <sheetName val="4bHiv.felúj "/>
      <sheetName val="5adósság-hitel "/>
      <sheetName val="6többéves felad.forrása "/>
      <sheetName val="7központi tám."/>
      <sheetName val="7aközponti tám."/>
      <sheetName val="8gördülő"/>
      <sheetName val="9ütemterv"/>
      <sheetName val="10Létszám"/>
      <sheetName val="11acigány"/>
      <sheetName val="11bszlovák"/>
      <sheetName val="11cnémet"/>
      <sheetName val="csxlDESheet1"/>
      <sheetName val="CSXL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zoomScaleNormal="100" zoomScaleSheetLayoutView="100" workbookViewId="0">
      <selection activeCell="I20" sqref="I20"/>
    </sheetView>
  </sheetViews>
  <sheetFormatPr defaultColWidth="9.33203125" defaultRowHeight="13.2" x14ac:dyDescent="0.25"/>
  <cols>
    <col min="1" max="1" width="60.33203125" style="390" customWidth="1"/>
    <col min="2" max="4" width="13" style="390" customWidth="1"/>
    <col min="5" max="5" width="56.33203125" style="390" customWidth="1"/>
    <col min="6" max="6" width="12.33203125" style="390" customWidth="1"/>
    <col min="7" max="7" width="11.88671875" style="390" customWidth="1"/>
    <col min="8" max="8" width="11.33203125" style="960" customWidth="1"/>
    <col min="9" max="16384" width="9.33203125" style="390"/>
  </cols>
  <sheetData>
    <row r="1" spans="1:11" x14ac:dyDescent="0.25">
      <c r="A1" s="1457" t="s">
        <v>1421</v>
      </c>
      <c r="B1" s="1457"/>
      <c r="C1" s="1457"/>
      <c r="D1" s="1457"/>
      <c r="E1" s="1457"/>
      <c r="F1" s="1457"/>
    </row>
    <row r="2" spans="1:11" ht="12.75" customHeight="1" x14ac:dyDescent="0.25">
      <c r="A2" s="1458" t="s">
        <v>481</v>
      </c>
      <c r="B2" s="1458"/>
      <c r="C2" s="1458"/>
      <c r="D2" s="1458"/>
      <c r="E2" s="1458"/>
      <c r="F2" s="1458"/>
    </row>
    <row r="3" spans="1:11" ht="12.75" customHeight="1" x14ac:dyDescent="0.25">
      <c r="A3" s="391"/>
      <c r="B3" s="391"/>
      <c r="C3" s="391"/>
      <c r="D3" s="391"/>
      <c r="E3" s="391"/>
    </row>
    <row r="4" spans="1:11" ht="12.75" customHeight="1" x14ac:dyDescent="0.25">
      <c r="A4" s="392"/>
      <c r="B4" s="393"/>
      <c r="C4" s="393"/>
      <c r="D4" s="393"/>
      <c r="E4" s="393"/>
      <c r="F4" s="35"/>
      <c r="G4" s="35"/>
      <c r="H4" s="35" t="s">
        <v>87</v>
      </c>
    </row>
    <row r="5" spans="1:11" ht="12.75" customHeight="1" x14ac:dyDescent="0.25">
      <c r="A5" s="1459" t="s">
        <v>482</v>
      </c>
      <c r="B5" s="1461" t="s">
        <v>1432</v>
      </c>
      <c r="C5" s="1461" t="s">
        <v>1444</v>
      </c>
      <c r="D5" s="1455" t="s">
        <v>1066</v>
      </c>
      <c r="E5" s="1463" t="s">
        <v>483</v>
      </c>
      <c r="F5" s="1455" t="s">
        <v>1432</v>
      </c>
      <c r="G5" s="1455" t="s">
        <v>1444</v>
      </c>
      <c r="H5" s="1455" t="s">
        <v>1066</v>
      </c>
    </row>
    <row r="6" spans="1:11" ht="61.2" customHeight="1" thickBot="1" x14ac:dyDescent="0.3">
      <c r="A6" s="1460"/>
      <c r="B6" s="1462"/>
      <c r="C6" s="1462"/>
      <c r="D6" s="1456"/>
      <c r="E6" s="1464"/>
      <c r="F6" s="1456"/>
      <c r="G6" s="1456"/>
      <c r="H6" s="1456"/>
      <c r="I6" s="1087"/>
      <c r="J6" s="1087"/>
      <c r="K6" s="1087"/>
    </row>
    <row r="7" spans="1:11" s="397" customFormat="1" ht="12" customHeight="1" thickTop="1" x14ac:dyDescent="0.25">
      <c r="A7" s="394"/>
      <c r="B7" s="395"/>
      <c r="C7" s="395"/>
      <c r="D7" s="1137"/>
      <c r="E7" s="1138" t="s">
        <v>484</v>
      </c>
      <c r="F7" s="1139">
        <f>'1. mell 3. pont '!C136</f>
        <v>12115657</v>
      </c>
      <c r="G7" s="1139">
        <f>'1. mell 3. pont '!D136</f>
        <v>12194262</v>
      </c>
      <c r="H7" s="1139">
        <f>'1. mell 3. pont '!E136</f>
        <v>12571108</v>
      </c>
      <c r="I7" s="961"/>
      <c r="J7" s="961"/>
      <c r="K7" s="961"/>
    </row>
    <row r="8" spans="1:11" s="397" customFormat="1" ht="12" x14ac:dyDescent="0.25">
      <c r="A8" s="398" t="s">
        <v>407</v>
      </c>
      <c r="B8" s="399">
        <f>'1. mell 2 pont '!C245</f>
        <v>4286488</v>
      </c>
      <c r="C8" s="399">
        <f>'1. mell 2 pont '!D245</f>
        <v>4286488</v>
      </c>
      <c r="D8" s="1140">
        <f>'1. mell 2 pont '!E245</f>
        <v>5111886</v>
      </c>
      <c r="E8" s="1141" t="s">
        <v>485</v>
      </c>
      <c r="F8" s="1139">
        <f>'1. mell 3. pont '!C137</f>
        <v>1646072</v>
      </c>
      <c r="G8" s="1139">
        <f>'1. mell 3. pont '!D137</f>
        <v>1651772</v>
      </c>
      <c r="H8" s="1139">
        <f>'1. mell 3. pont '!E137</f>
        <v>1769363</v>
      </c>
      <c r="I8" s="961"/>
      <c r="J8" s="961"/>
      <c r="K8" s="961"/>
    </row>
    <row r="9" spans="1:11" s="397" customFormat="1" ht="12" x14ac:dyDescent="0.25">
      <c r="A9" s="398" t="s">
        <v>406</v>
      </c>
      <c r="B9" s="399">
        <f>'1. mell 2 pont '!C246</f>
        <v>0</v>
      </c>
      <c r="C9" s="399">
        <f>'1. mell 2 pont '!D246</f>
        <v>0</v>
      </c>
      <c r="D9" s="1140">
        <f>'1. mell 2 pont '!E246</f>
        <v>3281</v>
      </c>
      <c r="E9" s="1142" t="s">
        <v>126</v>
      </c>
      <c r="F9" s="1139">
        <f>'1. mell 3. pont '!C138</f>
        <v>9869279</v>
      </c>
      <c r="G9" s="1139">
        <f>'1. mell 3. pont '!D138</f>
        <v>9786370</v>
      </c>
      <c r="H9" s="1139">
        <f>'1. mell 3. pont '!E138</f>
        <v>11088881</v>
      </c>
      <c r="I9" s="961"/>
      <c r="J9" s="961"/>
      <c r="K9" s="961"/>
    </row>
    <row r="10" spans="1:11" s="397" customFormat="1" ht="12" x14ac:dyDescent="0.25">
      <c r="A10" s="398" t="s">
        <v>486</v>
      </c>
      <c r="B10" s="399">
        <f>'1. mell 2 pont '!C248</f>
        <v>2543412</v>
      </c>
      <c r="C10" s="399">
        <f>'1. mell 2 pont '!D248</f>
        <v>2543412</v>
      </c>
      <c r="D10" s="1140">
        <f>'1. mell 2 pont '!E248</f>
        <v>2789893</v>
      </c>
      <c r="E10" s="1142" t="s">
        <v>487</v>
      </c>
      <c r="F10" s="1139">
        <f>'1. mell 3. pont '!C139</f>
        <v>244845</v>
      </c>
      <c r="G10" s="1139">
        <f>'1. mell 3. pont '!D139</f>
        <v>244845</v>
      </c>
      <c r="H10" s="1139">
        <f>'1. mell 3. pont '!E139</f>
        <v>251964</v>
      </c>
      <c r="I10" s="961"/>
      <c r="J10" s="961"/>
      <c r="K10" s="961"/>
    </row>
    <row r="11" spans="1:11" s="397" customFormat="1" ht="12" x14ac:dyDescent="0.25">
      <c r="A11" s="398" t="s">
        <v>488</v>
      </c>
      <c r="B11" s="399">
        <v>0</v>
      </c>
      <c r="C11" s="399">
        <v>0</v>
      </c>
      <c r="D11" s="1140">
        <v>0</v>
      </c>
      <c r="E11" s="1142"/>
      <c r="F11" s="1143"/>
      <c r="G11" s="1143"/>
      <c r="H11" s="1143"/>
      <c r="I11" s="961"/>
      <c r="J11" s="961"/>
      <c r="K11" s="961"/>
    </row>
    <row r="12" spans="1:11" s="397" customFormat="1" ht="12" x14ac:dyDescent="0.25">
      <c r="A12" s="398" t="s">
        <v>489</v>
      </c>
      <c r="B12" s="400">
        <v>0</v>
      </c>
      <c r="C12" s="400">
        <v>0</v>
      </c>
      <c r="D12" s="1143">
        <v>0</v>
      </c>
      <c r="E12" s="1142" t="s">
        <v>33</v>
      </c>
      <c r="F12" s="1143">
        <f>'1. mell 3. pont '!C140</f>
        <v>5700041</v>
      </c>
      <c r="G12" s="1143">
        <f>'1. mell 3. pont '!D140</f>
        <v>5700041</v>
      </c>
      <c r="H12" s="1143">
        <f>'1. mell 3. pont '!E140</f>
        <v>5536491</v>
      </c>
      <c r="I12" s="961"/>
      <c r="J12" s="961"/>
      <c r="K12" s="961"/>
    </row>
    <row r="13" spans="1:11" s="397" customFormat="1" ht="12" x14ac:dyDescent="0.25">
      <c r="A13" s="401" t="s">
        <v>490</v>
      </c>
      <c r="B13" s="400">
        <v>0</v>
      </c>
      <c r="C13" s="400">
        <v>0</v>
      </c>
      <c r="D13" s="1143">
        <v>0</v>
      </c>
      <c r="E13" s="1144" t="s">
        <v>491</v>
      </c>
      <c r="F13" s="1145">
        <f>'1. mell 3. pont '!C82</f>
        <v>350000</v>
      </c>
      <c r="G13" s="1145">
        <f>'1. mell 3. pont '!D82</f>
        <v>350000</v>
      </c>
      <c r="H13" s="1145">
        <f>'1. mell 3. pont '!E82</f>
        <v>431868</v>
      </c>
      <c r="I13" s="961"/>
      <c r="J13" s="961"/>
      <c r="K13" s="961"/>
    </row>
    <row r="14" spans="1:11" s="397" customFormat="1" ht="12.6" thickBot="1" x14ac:dyDescent="0.3">
      <c r="A14" s="559"/>
      <c r="B14" s="560"/>
      <c r="C14" s="560"/>
      <c r="D14" s="1146"/>
      <c r="E14" s="1144" t="s">
        <v>1475</v>
      </c>
      <c r="F14" s="1145">
        <f>'1. mell 3. pont '!C83</f>
        <v>609413</v>
      </c>
      <c r="G14" s="1145">
        <f>'1. mell 3. pont '!D83</f>
        <v>609413</v>
      </c>
      <c r="H14" s="1145">
        <f>'1. mell 3. pont '!E83</f>
        <v>0</v>
      </c>
      <c r="I14" s="961"/>
      <c r="J14" s="961"/>
      <c r="K14" s="961"/>
    </row>
    <row r="15" spans="1:11" s="397" customFormat="1" ht="12.6" thickBot="1" x14ac:dyDescent="0.3">
      <c r="A15" s="561" t="s">
        <v>492</v>
      </c>
      <c r="B15" s="408">
        <f>SUM(B8:B14)</f>
        <v>6829900</v>
      </c>
      <c r="C15" s="408">
        <f>SUM(C8:C14)</f>
        <v>6829900</v>
      </c>
      <c r="D15" s="1147">
        <f>SUM(D8:D14)</f>
        <v>7905060</v>
      </c>
      <c r="E15" s="1144"/>
      <c r="F15" s="1145"/>
      <c r="G15" s="1145"/>
      <c r="H15" s="1145"/>
      <c r="I15" s="961"/>
      <c r="J15" s="961"/>
      <c r="K15" s="961"/>
    </row>
    <row r="16" spans="1:11" s="397" customFormat="1" ht="12" x14ac:dyDescent="0.25">
      <c r="A16" s="404" t="s">
        <v>401</v>
      </c>
      <c r="B16" s="405">
        <f>'1. mell 2 pont '!C254</f>
        <v>7550000</v>
      </c>
      <c r="C16" s="405">
        <f>'1. mell 2 pont '!D254</f>
        <v>7550000</v>
      </c>
      <c r="D16" s="1148">
        <f>'1. mell 2 pont '!E254</f>
        <v>7550000</v>
      </c>
      <c r="E16" s="1144"/>
      <c r="F16" s="1145"/>
      <c r="G16" s="1145"/>
      <c r="H16" s="1145"/>
      <c r="I16" s="961"/>
      <c r="J16" s="961"/>
      <c r="K16" s="961"/>
    </row>
    <row r="17" spans="1:11" s="397" customFormat="1" x14ac:dyDescent="0.25">
      <c r="A17" s="404" t="s">
        <v>400</v>
      </c>
      <c r="B17" s="396">
        <f>'1. mell 2 pont '!C255</f>
        <v>10643750</v>
      </c>
      <c r="C17" s="396">
        <f>'1. mell 2 pont '!D255</f>
        <v>10643750</v>
      </c>
      <c r="D17" s="1139">
        <f>'1. mell 2 pont '!E255</f>
        <v>10643750</v>
      </c>
      <c r="E17" s="1149"/>
      <c r="F17" s="1145"/>
      <c r="G17" s="1145"/>
      <c r="H17" s="1145"/>
      <c r="I17" s="961"/>
      <c r="J17" s="961"/>
      <c r="K17" s="961"/>
    </row>
    <row r="18" spans="1:11" s="397" customFormat="1" ht="13.8" thickBot="1" x14ac:dyDescent="0.3">
      <c r="A18" s="406" t="s">
        <v>493</v>
      </c>
      <c r="B18" s="402">
        <f>'1. mell 2 pont '!C256</f>
        <v>1178433</v>
      </c>
      <c r="C18" s="402">
        <f>'1. mell 2 pont '!D256</f>
        <v>1178433</v>
      </c>
      <c r="D18" s="1150">
        <f>'1. mell 2 pont '!E256</f>
        <v>1178433</v>
      </c>
      <c r="E18" s="1149"/>
      <c r="F18" s="1145"/>
      <c r="G18" s="1145"/>
      <c r="H18" s="1145"/>
      <c r="I18" s="961"/>
      <c r="J18" s="961"/>
      <c r="K18" s="961"/>
    </row>
    <row r="19" spans="1:11" s="397" customFormat="1" ht="13.8" thickBot="1" x14ac:dyDescent="0.3">
      <c r="A19" s="407" t="s">
        <v>334</v>
      </c>
      <c r="B19" s="408">
        <f t="shared" ref="B19" si="0">SUM(B16:B18)</f>
        <v>19372183</v>
      </c>
      <c r="C19" s="408">
        <f t="shared" ref="C19:D19" si="1">SUM(C16:C18)</f>
        <v>19372183</v>
      </c>
      <c r="D19" s="1147">
        <f t="shared" si="1"/>
        <v>19372183</v>
      </c>
      <c r="E19" s="1149"/>
      <c r="F19" s="1143"/>
      <c r="G19" s="1143"/>
      <c r="H19" s="1143"/>
      <c r="I19" s="961"/>
      <c r="J19" s="961"/>
      <c r="K19" s="961"/>
    </row>
    <row r="20" spans="1:11" s="397" customFormat="1" x14ac:dyDescent="0.25">
      <c r="A20" s="409" t="s">
        <v>494</v>
      </c>
      <c r="B20" s="396">
        <f>'1. mell 2 pont '!C260</f>
        <v>200</v>
      </c>
      <c r="C20" s="396">
        <f>'1. mell 2 pont '!D260</f>
        <v>200</v>
      </c>
      <c r="D20" s="1139">
        <f>'1. mell 2 pont '!E260</f>
        <v>200</v>
      </c>
      <c r="E20" s="1149"/>
      <c r="F20" s="1145"/>
      <c r="G20" s="1145"/>
      <c r="H20" s="1145"/>
      <c r="I20" s="961"/>
      <c r="J20" s="961"/>
      <c r="K20" s="961"/>
    </row>
    <row r="21" spans="1:11" s="397" customFormat="1" x14ac:dyDescent="0.25">
      <c r="A21" s="404" t="s">
        <v>398</v>
      </c>
      <c r="B21" s="396">
        <f>'1. mell 2 pont '!C261</f>
        <v>2828612</v>
      </c>
      <c r="C21" s="396">
        <f>'1. mell 2 pont '!D261</f>
        <v>2831683</v>
      </c>
      <c r="D21" s="1139">
        <f>'1. mell 2 pont '!E261</f>
        <v>2828083</v>
      </c>
      <c r="E21" s="1149"/>
      <c r="F21" s="1145"/>
      <c r="G21" s="1145"/>
      <c r="H21" s="1145"/>
      <c r="I21" s="961"/>
      <c r="J21" s="961"/>
      <c r="K21" s="961"/>
    </row>
    <row r="22" spans="1:11" s="397" customFormat="1" x14ac:dyDescent="0.25">
      <c r="A22" s="398" t="s">
        <v>397</v>
      </c>
      <c r="B22" s="396">
        <f>'1. mell 2 pont '!C262</f>
        <v>249324</v>
      </c>
      <c r="C22" s="396">
        <f>'1. mell 2 pont '!D262</f>
        <v>247852</v>
      </c>
      <c r="D22" s="1139">
        <f>'1. mell 2 pont '!E262</f>
        <v>247852</v>
      </c>
      <c r="E22" s="1149"/>
      <c r="F22" s="1145"/>
      <c r="G22" s="1145"/>
      <c r="H22" s="1145"/>
      <c r="I22" s="961"/>
      <c r="J22" s="961"/>
      <c r="K22" s="961"/>
    </row>
    <row r="23" spans="1:11" s="397" customFormat="1" ht="12" x14ac:dyDescent="0.25">
      <c r="A23" s="398" t="s">
        <v>495</v>
      </c>
      <c r="B23" s="396">
        <f>'1. mell 2 pont '!C263</f>
        <v>0</v>
      </c>
      <c r="C23" s="396">
        <f>'1. mell 2 pont '!D263</f>
        <v>0</v>
      </c>
      <c r="D23" s="1139">
        <f>'1. mell 2 pont '!E263</f>
        <v>0</v>
      </c>
      <c r="E23" s="1151"/>
      <c r="F23" s="1152"/>
      <c r="G23" s="1152"/>
      <c r="H23" s="1152"/>
      <c r="I23" s="961"/>
      <c r="J23" s="961"/>
      <c r="K23" s="961"/>
    </row>
    <row r="24" spans="1:11" s="397" customFormat="1" ht="12" x14ac:dyDescent="0.25">
      <c r="A24" s="398" t="s">
        <v>395</v>
      </c>
      <c r="B24" s="396">
        <f>'1. mell 2 pont '!C264</f>
        <v>288465</v>
      </c>
      <c r="C24" s="396">
        <f>'1. mell 2 pont '!D264</f>
        <v>288465</v>
      </c>
      <c r="D24" s="1139">
        <f>'1. mell 2 pont '!E264</f>
        <v>292065</v>
      </c>
      <c r="E24" s="1153"/>
      <c r="F24" s="1154"/>
      <c r="G24" s="1154"/>
      <c r="H24" s="1154"/>
      <c r="I24" s="961"/>
      <c r="J24" s="961"/>
      <c r="K24" s="961"/>
    </row>
    <row r="25" spans="1:11" s="397" customFormat="1" ht="12" x14ac:dyDescent="0.25">
      <c r="A25" s="398" t="s">
        <v>394</v>
      </c>
      <c r="B25" s="396">
        <f>'1. mell 2 pont '!C265</f>
        <v>881172</v>
      </c>
      <c r="C25" s="396">
        <f>'1. mell 2 pont '!D265</f>
        <v>881604</v>
      </c>
      <c r="D25" s="1139">
        <f>'1. mell 2 pont '!E265</f>
        <v>881604</v>
      </c>
      <c r="E25" s="1155"/>
      <c r="F25" s="1156"/>
      <c r="G25" s="1156"/>
      <c r="H25" s="1156"/>
      <c r="I25" s="961"/>
      <c r="J25" s="961"/>
      <c r="K25" s="961"/>
    </row>
    <row r="26" spans="1:11" s="397" customFormat="1" ht="12" x14ac:dyDescent="0.25">
      <c r="A26" s="404" t="s">
        <v>393</v>
      </c>
      <c r="B26" s="396">
        <f>'1. mell 2 pont '!C266</f>
        <v>73000</v>
      </c>
      <c r="C26" s="396">
        <f>'1. mell 2 pont '!D266</f>
        <v>73000</v>
      </c>
      <c r="D26" s="1139">
        <f>'1. mell 2 pont '!E266</f>
        <v>73000</v>
      </c>
      <c r="E26" s="1155"/>
      <c r="F26" s="1156"/>
      <c r="G26" s="1156"/>
      <c r="H26" s="1156"/>
      <c r="I26" s="961"/>
      <c r="J26" s="961"/>
      <c r="K26" s="961"/>
    </row>
    <row r="27" spans="1:11" s="397" customFormat="1" ht="12" x14ac:dyDescent="0.25">
      <c r="A27" s="404" t="s">
        <v>392</v>
      </c>
      <c r="B27" s="396">
        <f>'1. mell 2 pont '!C267</f>
        <v>150000</v>
      </c>
      <c r="C27" s="396">
        <f>'1. mell 2 pont '!D267</f>
        <v>150000</v>
      </c>
      <c r="D27" s="1139">
        <f>'1. mell 2 pont '!E267</f>
        <v>150000</v>
      </c>
      <c r="E27" s="1155"/>
      <c r="F27" s="1156"/>
      <c r="G27" s="1156"/>
      <c r="H27" s="1156"/>
      <c r="I27" s="961"/>
      <c r="J27" s="961"/>
      <c r="K27" s="961"/>
    </row>
    <row r="28" spans="1:11" s="397" customFormat="1" ht="12" x14ac:dyDescent="0.25">
      <c r="A28" s="410" t="s">
        <v>496</v>
      </c>
      <c r="B28" s="396">
        <f>'1. mell 2 pont '!C268</f>
        <v>0</v>
      </c>
      <c r="C28" s="396">
        <f>'1. mell 2 pont '!D268</f>
        <v>0</v>
      </c>
      <c r="D28" s="1139">
        <f>'1. mell 2 pont '!E268</f>
        <v>0</v>
      </c>
      <c r="E28" s="1155"/>
      <c r="F28" s="1156"/>
      <c r="G28" s="1156"/>
      <c r="H28" s="1156"/>
      <c r="I28" s="961"/>
      <c r="J28" s="961"/>
      <c r="K28" s="961"/>
    </row>
    <row r="29" spans="1:11" s="397" customFormat="1" ht="12" x14ac:dyDescent="0.25">
      <c r="A29" s="410" t="s">
        <v>391</v>
      </c>
      <c r="B29" s="396">
        <v>0</v>
      </c>
      <c r="C29" s="396">
        <v>0</v>
      </c>
      <c r="D29" s="1139">
        <v>0</v>
      </c>
      <c r="E29" s="1155"/>
      <c r="F29" s="1156"/>
      <c r="G29" s="1156"/>
      <c r="H29" s="1156"/>
      <c r="I29" s="961"/>
      <c r="J29" s="961"/>
      <c r="K29" s="961"/>
    </row>
    <row r="30" spans="1:11" s="397" customFormat="1" ht="12.6" thickBot="1" x14ac:dyDescent="0.3">
      <c r="A30" s="406" t="s">
        <v>390</v>
      </c>
      <c r="B30" s="402">
        <f>'1. mell 2 pont '!C269</f>
        <v>68956</v>
      </c>
      <c r="C30" s="402">
        <f>'1. mell 2 pont '!D269</f>
        <v>68956</v>
      </c>
      <c r="D30" s="1150">
        <f>'1. mell 2 pont '!E269</f>
        <v>68956</v>
      </c>
      <c r="E30" s="1155"/>
      <c r="F30" s="1156"/>
      <c r="G30" s="1156"/>
      <c r="H30" s="1156"/>
      <c r="I30" s="961"/>
      <c r="J30" s="961"/>
      <c r="K30" s="961"/>
    </row>
    <row r="31" spans="1:11" s="397" customFormat="1" ht="13.8" thickBot="1" x14ac:dyDescent="0.3">
      <c r="A31" s="407" t="s">
        <v>322</v>
      </c>
      <c r="B31" s="403">
        <f>SUM(B20:B30)</f>
        <v>4539729</v>
      </c>
      <c r="C31" s="403">
        <f>SUM(C20:C30)</f>
        <v>4541760</v>
      </c>
      <c r="D31" s="1157">
        <f>SUM(D20:D30)</f>
        <v>4541760</v>
      </c>
      <c r="E31" s="1155"/>
      <c r="F31" s="1156"/>
      <c r="G31" s="1156"/>
      <c r="H31" s="1156"/>
      <c r="I31" s="961"/>
      <c r="J31" s="961"/>
      <c r="K31" s="961"/>
    </row>
    <row r="32" spans="1:11" s="397" customFormat="1" ht="12.6" thickBot="1" x14ac:dyDescent="0.3">
      <c r="A32" s="411" t="s">
        <v>321</v>
      </c>
      <c r="B32" s="412">
        <f>'1. mell 2 pont '!C273</f>
        <v>13775</v>
      </c>
      <c r="C32" s="412">
        <f>'1. mell 2 pont '!D273</f>
        <v>13775</v>
      </c>
      <c r="D32" s="1158">
        <f>'1. mell 2 pont '!E273</f>
        <v>13775</v>
      </c>
      <c r="E32" s="1155"/>
      <c r="F32" s="1156"/>
      <c r="G32" s="1156"/>
      <c r="H32" s="1156"/>
      <c r="I32" s="961"/>
      <c r="J32" s="961"/>
      <c r="K32" s="961"/>
    </row>
    <row r="33" spans="1:11" s="397" customFormat="1" ht="13.8" thickBot="1" x14ac:dyDescent="0.3">
      <c r="A33" s="413" t="s">
        <v>389</v>
      </c>
      <c r="B33" s="414">
        <f t="shared" ref="B33:C33" si="2">SUM(B32)</f>
        <v>13775</v>
      </c>
      <c r="C33" s="414">
        <f t="shared" si="2"/>
        <v>13775</v>
      </c>
      <c r="D33" s="1159">
        <f t="shared" ref="D33" si="3">SUM(D32)</f>
        <v>13775</v>
      </c>
      <c r="E33" s="1160"/>
      <c r="F33" s="1161"/>
      <c r="G33" s="1161"/>
      <c r="H33" s="1161"/>
      <c r="I33" s="961"/>
      <c r="J33" s="961"/>
      <c r="K33" s="961"/>
    </row>
    <row r="34" spans="1:11" s="397" customFormat="1" ht="16.8" thickTop="1" thickBot="1" x14ac:dyDescent="0.35">
      <c r="A34" s="415" t="s">
        <v>320</v>
      </c>
      <c r="B34" s="416">
        <f t="shared" ref="B34" si="4">SUM(B33,B31,B19,B15)</f>
        <v>30755587</v>
      </c>
      <c r="C34" s="416">
        <f t="shared" ref="C34:D34" si="5">SUM(C33,C31,C19,C15)</f>
        <v>30757618</v>
      </c>
      <c r="D34" s="1162">
        <f t="shared" si="5"/>
        <v>31832778</v>
      </c>
      <c r="E34" s="1163" t="s">
        <v>18</v>
      </c>
      <c r="F34" s="1164">
        <f>SUM(F7:F12)</f>
        <v>29575894</v>
      </c>
      <c r="G34" s="1164">
        <f>SUM(G7:G12)</f>
        <v>29577290</v>
      </c>
      <c r="H34" s="1164">
        <f>SUM(H7:H12)</f>
        <v>31217807</v>
      </c>
      <c r="I34" s="961"/>
      <c r="J34" s="961"/>
      <c r="K34" s="961"/>
    </row>
    <row r="35" spans="1:11" s="397" customFormat="1" ht="12.6" thickTop="1" x14ac:dyDescent="0.25">
      <c r="A35" s="404" t="s">
        <v>388</v>
      </c>
      <c r="B35" s="418">
        <f>'1. mell 2 pont '!C285</f>
        <v>963158</v>
      </c>
      <c r="C35" s="418">
        <f>'1. mell 2 pont '!D285</f>
        <v>1713158</v>
      </c>
      <c r="D35" s="1165">
        <f>SUM('1. mell 2 pont '!E279)</f>
        <v>1500000</v>
      </c>
      <c r="E35" s="1166"/>
      <c r="F35" s="1167"/>
      <c r="G35" s="1167"/>
      <c r="H35" s="1167"/>
      <c r="I35" s="961"/>
      <c r="J35" s="961"/>
      <c r="K35" s="961"/>
    </row>
    <row r="36" spans="1:11" s="397" customFormat="1" ht="12" x14ac:dyDescent="0.25">
      <c r="A36" s="398" t="s">
        <v>497</v>
      </c>
      <c r="B36" s="419">
        <v>0</v>
      </c>
      <c r="C36" s="419">
        <v>0</v>
      </c>
      <c r="D36" s="1168">
        <v>0</v>
      </c>
      <c r="E36" s="1155"/>
      <c r="F36" s="1169"/>
      <c r="G36" s="1169"/>
      <c r="H36" s="1169"/>
      <c r="I36" s="961"/>
      <c r="J36" s="961"/>
      <c r="K36" s="961"/>
    </row>
    <row r="37" spans="1:11" s="397" customFormat="1" ht="12" x14ac:dyDescent="0.25">
      <c r="A37" s="398" t="s">
        <v>498</v>
      </c>
      <c r="B37" s="399">
        <v>0</v>
      </c>
      <c r="C37" s="399">
        <v>0</v>
      </c>
      <c r="D37" s="1140">
        <v>0</v>
      </c>
      <c r="E37" s="1170" t="s">
        <v>93</v>
      </c>
      <c r="F37" s="1143">
        <f>'1. mell 3. pont '!C143</f>
        <v>4206463</v>
      </c>
      <c r="G37" s="1143">
        <f>'1. mell 3. pont '!D143</f>
        <v>4207098</v>
      </c>
      <c r="H37" s="1143">
        <f>'1. mell 3. pont '!E143</f>
        <v>4488054.8640000001</v>
      </c>
      <c r="I37" s="961"/>
      <c r="J37" s="961"/>
      <c r="K37" s="961"/>
    </row>
    <row r="38" spans="1:11" s="397" customFormat="1" ht="12" x14ac:dyDescent="0.25">
      <c r="A38" s="398" t="s">
        <v>499</v>
      </c>
      <c r="B38" s="405">
        <v>0</v>
      </c>
      <c r="C38" s="405">
        <v>0</v>
      </c>
      <c r="D38" s="1148">
        <v>0</v>
      </c>
      <c r="E38" s="1171" t="s">
        <v>500</v>
      </c>
      <c r="F38" s="1143">
        <f>'1. mell 3. pont '!C144</f>
        <v>9243387</v>
      </c>
      <c r="G38" s="1143">
        <f>'1. mell 3. pont '!D144</f>
        <v>9243387</v>
      </c>
      <c r="H38" s="1143">
        <f>'1. mell 3. pont '!E144</f>
        <v>9910638.0553699993</v>
      </c>
      <c r="I38" s="961"/>
      <c r="J38" s="961"/>
      <c r="K38" s="961"/>
    </row>
    <row r="39" spans="1:11" s="397" customFormat="1" ht="12.6" thickBot="1" x14ac:dyDescent="0.3">
      <c r="A39" s="398" t="s">
        <v>501</v>
      </c>
      <c r="B39" s="399">
        <v>0</v>
      </c>
      <c r="C39" s="399">
        <v>0</v>
      </c>
      <c r="D39" s="1140">
        <f>SUM('1. mell 2 pont '!E282,'1. mell 2 pont '!E283)</f>
        <v>213458</v>
      </c>
      <c r="E39" s="1170" t="s">
        <v>149</v>
      </c>
      <c r="F39" s="1143">
        <f>'1. mell 3. pont '!C145</f>
        <v>1538541</v>
      </c>
      <c r="G39" s="1143">
        <f>'1. mell 3. pont '!D145</f>
        <v>2288541</v>
      </c>
      <c r="H39" s="1143">
        <f>'1. mell 3. pont '!E145</f>
        <v>2498422</v>
      </c>
      <c r="I39" s="961"/>
      <c r="J39" s="961"/>
      <c r="K39" s="961"/>
    </row>
    <row r="40" spans="1:11" s="397" customFormat="1" ht="13.8" thickBot="1" x14ac:dyDescent="0.3">
      <c r="A40" s="407" t="s">
        <v>502</v>
      </c>
      <c r="B40" s="408">
        <f>SUM(B35:B39)</f>
        <v>963158</v>
      </c>
      <c r="C40" s="408">
        <f>SUM(C35:C39)</f>
        <v>1713158</v>
      </c>
      <c r="D40" s="1147">
        <f>SUM(D35:D39)</f>
        <v>1713458</v>
      </c>
      <c r="E40" s="1172" t="s">
        <v>1479</v>
      </c>
      <c r="F40" s="1145"/>
      <c r="G40" s="1145"/>
      <c r="H40" s="1143">
        <f>SUM('1. mell 3. pont '!E146)</f>
        <v>609413</v>
      </c>
      <c r="I40" s="961"/>
      <c r="J40" s="961"/>
      <c r="K40" s="961"/>
    </row>
    <row r="41" spans="1:11" s="397" customFormat="1" ht="12" x14ac:dyDescent="0.25">
      <c r="A41" s="404" t="s">
        <v>383</v>
      </c>
      <c r="B41" s="420">
        <f>'1. mell 2 pont '!C287</f>
        <v>950000</v>
      </c>
      <c r="C41" s="420">
        <f>'1. mell 2 pont '!D287</f>
        <v>950000</v>
      </c>
      <c r="D41" s="1173">
        <f>'1. mell 2 pont '!E287</f>
        <v>950000</v>
      </c>
      <c r="E41" s="1174"/>
      <c r="F41" s="1175"/>
      <c r="G41" s="1175"/>
      <c r="H41" s="1175"/>
      <c r="I41" s="961"/>
      <c r="J41" s="961"/>
      <c r="K41" s="961"/>
    </row>
    <row r="42" spans="1:11" s="397" customFormat="1" ht="12" x14ac:dyDescent="0.25">
      <c r="A42" s="398" t="s">
        <v>317</v>
      </c>
      <c r="B42" s="400"/>
      <c r="C42" s="400"/>
      <c r="D42" s="1143"/>
      <c r="E42" s="1155"/>
      <c r="F42" s="1156"/>
      <c r="G42" s="1156"/>
      <c r="H42" s="1156"/>
      <c r="I42" s="961"/>
      <c r="J42" s="961"/>
      <c r="K42" s="961"/>
    </row>
    <row r="43" spans="1:11" s="397" customFormat="1" ht="12.6" thickBot="1" x14ac:dyDescent="0.3">
      <c r="A43" s="421" t="s">
        <v>503</v>
      </c>
      <c r="B43" s="422"/>
      <c r="C43" s="422"/>
      <c r="D43" s="1176"/>
      <c r="E43" s="1155"/>
      <c r="F43" s="1156"/>
      <c r="G43" s="1156"/>
      <c r="H43" s="1156"/>
      <c r="I43" s="961"/>
      <c r="J43" s="961"/>
      <c r="K43" s="961"/>
    </row>
    <row r="44" spans="1:11" s="397" customFormat="1" ht="13.8" thickBot="1" x14ac:dyDescent="0.3">
      <c r="A44" s="407" t="s">
        <v>382</v>
      </c>
      <c r="B44" s="408">
        <f>SUM(B41:B43)</f>
        <v>950000</v>
      </c>
      <c r="C44" s="408">
        <f>SUM(C41:C43)</f>
        <v>950000</v>
      </c>
      <c r="D44" s="1147">
        <f>SUM(D41:D43)</f>
        <v>950000</v>
      </c>
      <c r="E44" s="1153"/>
      <c r="F44" s="1177"/>
      <c r="G44" s="1177"/>
      <c r="H44" s="1177"/>
      <c r="I44" s="961"/>
      <c r="J44" s="961"/>
      <c r="K44" s="961"/>
    </row>
    <row r="45" spans="1:11" s="397" customFormat="1" ht="12.75" customHeight="1" x14ac:dyDescent="0.25">
      <c r="A45" s="409" t="s">
        <v>381</v>
      </c>
      <c r="B45" s="420">
        <f>'1. mell 2 pont '!C292</f>
        <v>17000</v>
      </c>
      <c r="C45" s="420">
        <f>'1. mell 2 pont '!D292</f>
        <v>17000</v>
      </c>
      <c r="D45" s="1173">
        <f>'1. mell 2 pont '!E292</f>
        <v>17000</v>
      </c>
      <c r="E45" s="1178"/>
      <c r="F45" s="1156"/>
      <c r="G45" s="1156"/>
      <c r="H45" s="1156"/>
      <c r="I45" s="961"/>
      <c r="J45" s="961"/>
      <c r="K45" s="961"/>
    </row>
    <row r="46" spans="1:11" s="397" customFormat="1" ht="12.75" customHeight="1" thickBot="1" x14ac:dyDescent="0.3">
      <c r="A46" s="423" t="s">
        <v>318</v>
      </c>
      <c r="B46" s="402"/>
      <c r="C46" s="402"/>
      <c r="D46" s="1150"/>
      <c r="E46" s="1178"/>
      <c r="F46" s="1154"/>
      <c r="G46" s="1154"/>
      <c r="H46" s="1154"/>
      <c r="I46" s="961"/>
      <c r="J46" s="961"/>
      <c r="K46" s="961"/>
    </row>
    <row r="47" spans="1:11" s="397" customFormat="1" ht="13.8" thickBot="1" x14ac:dyDescent="0.3">
      <c r="A47" s="413" t="s">
        <v>379</v>
      </c>
      <c r="B47" s="414">
        <f>SUM(B45:B46)</f>
        <v>17000</v>
      </c>
      <c r="C47" s="414">
        <f>SUM(C45:C46)</f>
        <v>17000</v>
      </c>
      <c r="D47" s="1159">
        <f>SUM(D45:D46)</f>
        <v>17000</v>
      </c>
      <c r="E47" s="1179"/>
      <c r="F47" s="1180"/>
      <c r="G47" s="1180"/>
      <c r="H47" s="1180"/>
      <c r="I47" s="961"/>
      <c r="J47" s="961"/>
      <c r="K47" s="961"/>
    </row>
    <row r="48" spans="1:11" s="397" customFormat="1" ht="20.25" customHeight="1" thickTop="1" thickBot="1" x14ac:dyDescent="0.25">
      <c r="A48" s="424" t="s">
        <v>316</v>
      </c>
      <c r="B48" s="425">
        <f t="shared" ref="B48" si="6">SUM(B47,B44,B40)</f>
        <v>1930158</v>
      </c>
      <c r="C48" s="425">
        <f t="shared" ref="C48:D48" si="7">SUM(C47,C44,C40)</f>
        <v>2680158</v>
      </c>
      <c r="D48" s="1181">
        <f t="shared" si="7"/>
        <v>2680458</v>
      </c>
      <c r="E48" s="1182" t="s">
        <v>19</v>
      </c>
      <c r="F48" s="1183">
        <f>SUM(F35:F47)</f>
        <v>14988391</v>
      </c>
      <c r="G48" s="1183">
        <f>SUM(G35:G47)</f>
        <v>15739026</v>
      </c>
      <c r="H48" s="1183">
        <f>SUM(H35:H46)</f>
        <v>17506527.919369999</v>
      </c>
      <c r="I48" s="961"/>
      <c r="J48" s="961"/>
      <c r="K48" s="961"/>
    </row>
    <row r="49" spans="1:11" s="397" customFormat="1" ht="12.75" customHeight="1" thickTop="1" x14ac:dyDescent="0.25">
      <c r="A49" s="404" t="s">
        <v>311</v>
      </c>
      <c r="B49" s="426">
        <f>'1. mell 2 pont '!C300</f>
        <v>550000</v>
      </c>
      <c r="C49" s="426">
        <f>'1. mell 2 pont '!D300</f>
        <v>550000</v>
      </c>
      <c r="D49" s="1184">
        <f>'1. mell 2 pont '!E300</f>
        <v>2225936</v>
      </c>
      <c r="E49" s="1185" t="s">
        <v>504</v>
      </c>
      <c r="F49" s="1186">
        <v>0</v>
      </c>
      <c r="G49" s="1186">
        <v>0</v>
      </c>
      <c r="H49" s="1186">
        <v>0</v>
      </c>
      <c r="I49" s="961"/>
      <c r="J49" s="961"/>
      <c r="K49" s="961"/>
    </row>
    <row r="50" spans="1:11" s="397" customFormat="1" ht="12.75" customHeight="1" x14ac:dyDescent="0.25">
      <c r="A50" s="398" t="s">
        <v>563</v>
      </c>
      <c r="B50" s="427">
        <f>'1. mell 2 pont '!C302</f>
        <v>0</v>
      </c>
      <c r="C50" s="427">
        <f>'1. mell 2 pont '!D302</f>
        <v>0</v>
      </c>
      <c r="D50" s="1187">
        <f>'1. mell 2 pont '!E302</f>
        <v>0</v>
      </c>
      <c r="E50" s="1188" t="s">
        <v>505</v>
      </c>
      <c r="F50" s="1184">
        <f>'1. mell 3. pont '!C150</f>
        <v>171460</v>
      </c>
      <c r="G50" s="1184">
        <f>'1. mell 3. pont '!D150</f>
        <v>171460</v>
      </c>
      <c r="H50" s="1184">
        <f>'1. mell 3. pont '!E150</f>
        <v>171460</v>
      </c>
      <c r="I50" s="961"/>
      <c r="J50" s="961"/>
      <c r="K50" s="961"/>
    </row>
    <row r="51" spans="1:11" s="397" customFormat="1" ht="12.75" customHeight="1" x14ac:dyDescent="0.25">
      <c r="A51" s="398" t="s">
        <v>314</v>
      </c>
      <c r="B51" s="400">
        <f>'1. mell 2 pont '!C301</f>
        <v>15574501</v>
      </c>
      <c r="C51" s="400">
        <f>'1. mell 2 pont '!D301</f>
        <v>15741601</v>
      </c>
      <c r="D51" s="1143">
        <f>'1. mell 2 pont '!E301</f>
        <v>16732773</v>
      </c>
      <c r="E51" s="1156" t="s">
        <v>506</v>
      </c>
      <c r="F51" s="1143">
        <f>'1. mell 3. pont '!C149</f>
        <v>15574501</v>
      </c>
      <c r="G51" s="1143">
        <f>'1. mell 3. pont '!D149</f>
        <v>15741601</v>
      </c>
      <c r="H51" s="1143">
        <f>'1. mell 3. pont '!E149</f>
        <v>16732773</v>
      </c>
      <c r="I51" s="961"/>
      <c r="J51" s="961"/>
      <c r="K51" s="961"/>
    </row>
    <row r="52" spans="1:11" s="397" customFormat="1" ht="12.75" customHeight="1" x14ac:dyDescent="0.25">
      <c r="A52" s="398" t="s">
        <v>564</v>
      </c>
      <c r="B52" s="400">
        <f>'1. mell 2 pont '!C303</f>
        <v>11500000</v>
      </c>
      <c r="C52" s="400">
        <f>'1. mell 2 pont '!D303</f>
        <v>11500000</v>
      </c>
      <c r="D52" s="1143">
        <f>'1. mell 2 pont '!E303</f>
        <v>11500000</v>
      </c>
      <c r="E52" s="1170" t="s">
        <v>507</v>
      </c>
      <c r="F52" s="1143"/>
      <c r="G52" s="1143"/>
      <c r="H52" s="1143"/>
      <c r="I52" s="961"/>
      <c r="J52" s="961"/>
      <c r="K52" s="961"/>
    </row>
    <row r="53" spans="1:11" s="397" customFormat="1" ht="12.75" customHeight="1" x14ac:dyDescent="0.25">
      <c r="A53" s="428" t="s">
        <v>508</v>
      </c>
      <c r="B53" s="400">
        <f>'1. mell 2 pont '!C304</f>
        <v>0</v>
      </c>
      <c r="C53" s="400">
        <f>'1. mell 2 pont '!D304</f>
        <v>0</v>
      </c>
      <c r="D53" s="1143">
        <f>'1. mell 2 pont '!E304</f>
        <v>1862</v>
      </c>
      <c r="E53" s="1172" t="s">
        <v>1323</v>
      </c>
      <c r="F53" s="1143"/>
      <c r="G53" s="1143"/>
      <c r="H53" s="1143"/>
      <c r="I53" s="961"/>
      <c r="J53" s="961"/>
      <c r="K53" s="961"/>
    </row>
    <row r="54" spans="1:11" s="397" customFormat="1" ht="12.75" customHeight="1" thickBot="1" x14ac:dyDescent="0.3">
      <c r="A54" s="429" t="s">
        <v>507</v>
      </c>
      <c r="B54" s="430"/>
      <c r="C54" s="430"/>
      <c r="D54" s="1189"/>
      <c r="E54" s="1160"/>
      <c r="F54" s="1190"/>
      <c r="G54" s="1190"/>
      <c r="H54" s="1190"/>
      <c r="I54" s="961"/>
      <c r="J54" s="961"/>
      <c r="K54" s="961"/>
    </row>
    <row r="55" spans="1:11" s="397" customFormat="1" ht="15" thickTop="1" thickBot="1" x14ac:dyDescent="0.25">
      <c r="A55" s="431" t="s">
        <v>312</v>
      </c>
      <c r="B55" s="417">
        <f>SUM(B49:B54)</f>
        <v>27624501</v>
      </c>
      <c r="C55" s="417">
        <f>SUM(C49:C54)</f>
        <v>27791601</v>
      </c>
      <c r="D55" s="1164">
        <f>SUM(D49:D54)</f>
        <v>30460571</v>
      </c>
      <c r="E55" s="1191" t="s">
        <v>509</v>
      </c>
      <c r="F55" s="1192">
        <f>SUM(F49:F52)</f>
        <v>15745961</v>
      </c>
      <c r="G55" s="1192">
        <f>SUM(G49:G52)</f>
        <v>15913061</v>
      </c>
      <c r="H55" s="1192">
        <f>SUM(H49:H52)</f>
        <v>16904233</v>
      </c>
      <c r="I55" s="961"/>
      <c r="J55" s="961"/>
      <c r="K55" s="961"/>
    </row>
    <row r="56" spans="1:11" s="397" customFormat="1" thickTop="1" thickBot="1" x14ac:dyDescent="0.3">
      <c r="A56" s="432" t="s">
        <v>311</v>
      </c>
      <c r="B56" s="433">
        <f>'1. mell 2 pont '!C308</f>
        <v>0</v>
      </c>
      <c r="C56" s="433">
        <f>'1. mell 2 pont '!D308</f>
        <v>0</v>
      </c>
      <c r="D56" s="1193">
        <f>'1. mell 2 pont '!E308</f>
        <v>654761</v>
      </c>
      <c r="E56" s="1194" t="s">
        <v>510</v>
      </c>
      <c r="F56" s="1195">
        <v>0</v>
      </c>
      <c r="G56" s="1195">
        <v>0</v>
      </c>
      <c r="H56" s="1195">
        <v>0</v>
      </c>
      <c r="I56" s="961"/>
      <c r="J56" s="961"/>
      <c r="K56" s="961"/>
    </row>
    <row r="57" spans="1:11" s="397" customFormat="1" ht="16.5" customHeight="1" thickBot="1" x14ac:dyDescent="0.25">
      <c r="A57" s="434" t="s">
        <v>375</v>
      </c>
      <c r="B57" s="416">
        <f t="shared" ref="B57" si="8">SUM(B56:B56)</f>
        <v>0</v>
      </c>
      <c r="C57" s="416">
        <f t="shared" ref="C57:D57" si="9">SUM(C56:C56)</f>
        <v>0</v>
      </c>
      <c r="D57" s="1162">
        <f t="shared" si="9"/>
        <v>654761</v>
      </c>
      <c r="E57" s="1163" t="s">
        <v>511</v>
      </c>
      <c r="F57" s="1196">
        <f t="shared" ref="F57" si="10">SUM(F56:F56)</f>
        <v>0</v>
      </c>
      <c r="G57" s="1196">
        <f t="shared" ref="G57:H57" si="11">SUM(G56:G56)</f>
        <v>0</v>
      </c>
      <c r="H57" s="1196">
        <f t="shared" si="11"/>
        <v>0</v>
      </c>
      <c r="I57" s="961"/>
      <c r="J57" s="961"/>
      <c r="K57" s="961"/>
    </row>
    <row r="58" spans="1:11" s="397" customFormat="1" ht="14.4" thickTop="1" thickBot="1" x14ac:dyDescent="0.3">
      <c r="A58" s="435"/>
      <c r="B58" s="416"/>
      <c r="C58" s="416"/>
      <c r="D58" s="1162"/>
      <c r="E58" s="1197"/>
      <c r="F58" s="1190"/>
      <c r="G58" s="1190"/>
      <c r="H58" s="1190"/>
      <c r="I58" s="961"/>
      <c r="J58" s="961"/>
      <c r="K58" s="961"/>
    </row>
    <row r="59" spans="1:11" s="397" customFormat="1" ht="20.25" customHeight="1" thickTop="1" thickBot="1" x14ac:dyDescent="0.25">
      <c r="A59" s="436" t="s">
        <v>512</v>
      </c>
      <c r="B59" s="437">
        <f>SUM(B34+B48+B56+B49+B52+B54+B50+B53)</f>
        <v>44735745</v>
      </c>
      <c r="C59" s="437">
        <f>SUM(C34+C48+C56+C49+C52+C54+C50+C53)</f>
        <v>45487776</v>
      </c>
      <c r="D59" s="1198">
        <f>SUM(D34+D48+D56+D49+D52+D54+D50+D53)</f>
        <v>48895795</v>
      </c>
      <c r="E59" s="1199" t="s">
        <v>513</v>
      </c>
      <c r="F59" s="1198">
        <f>SUM(F34+F48+F56+F50+F52)+F49</f>
        <v>44735745</v>
      </c>
      <c r="G59" s="1198">
        <f>SUM(G34+G48+G56+G50+G52)+G49</f>
        <v>45487776</v>
      </c>
      <c r="H59" s="1198">
        <f>SUM(H34+H48+H56+H50+H52)+H49</f>
        <v>48895794.919369996</v>
      </c>
      <c r="I59" s="961"/>
      <c r="J59" s="961"/>
      <c r="K59" s="961"/>
    </row>
    <row r="60" spans="1:11" ht="14.4" thickTop="1" x14ac:dyDescent="0.25">
      <c r="A60" s="438"/>
      <c r="B60" s="439"/>
      <c r="C60" s="439"/>
      <c r="D60" s="439"/>
      <c r="F60" s="440"/>
    </row>
    <row r="61" spans="1:11" ht="13.8" x14ac:dyDescent="0.25">
      <c r="A61" s="438"/>
      <c r="B61" s="441"/>
      <c r="C61" s="441"/>
      <c r="D61" s="441"/>
      <c r="G61" s="441"/>
    </row>
    <row r="62" spans="1:11" x14ac:dyDescent="0.25">
      <c r="F62" s="441"/>
    </row>
  </sheetData>
  <mergeCells count="10">
    <mergeCell ref="H5:H6"/>
    <mergeCell ref="G5:G6"/>
    <mergeCell ref="A1:F1"/>
    <mergeCell ref="A2:F2"/>
    <mergeCell ref="A5:A6"/>
    <mergeCell ref="B5:B6"/>
    <mergeCell ref="E5:E6"/>
    <mergeCell ref="F5:F6"/>
    <mergeCell ref="C5:C6"/>
    <mergeCell ref="D5:D6"/>
  </mergeCells>
  <printOptions horizontalCentered="1" verticalCentered="1"/>
  <pageMargins left="0.78740157480314965" right="0.39370078740157483" top="0.39370078740157483" bottom="0.59055118110236227" header="0.51181102362204722" footer="0.31496062992125984"/>
  <pageSetup paperSize="8" scale="95" fitToHeight="0" orientation="landscape" useFirstPageNumber="1" r:id="rId1"/>
  <headerFooter alignWithMargins="0"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2"/>
  <sheetViews>
    <sheetView zoomScaleNormal="100" zoomScaleSheetLayoutView="110" workbookViewId="0">
      <pane ySplit="6" topLeftCell="A7" activePane="bottomLeft" state="frozen"/>
      <selection pane="bottomLeft" activeCell="M14" sqref="M14"/>
    </sheetView>
  </sheetViews>
  <sheetFormatPr defaultColWidth="9.33203125" defaultRowHeight="11.4" x14ac:dyDescent="0.2"/>
  <cols>
    <col min="1" max="1" width="9.33203125" style="388" customWidth="1"/>
    <col min="2" max="2" width="36.33203125" style="371" customWidth="1"/>
    <col min="3" max="6" width="13.33203125" style="371" customWidth="1"/>
    <col min="7" max="7" width="11.44140625" style="238" bestFit="1" customWidth="1"/>
    <col min="8" max="16384" width="9.33203125" style="371"/>
  </cols>
  <sheetData>
    <row r="1" spans="1:12" ht="12.75" customHeight="1" x14ac:dyDescent="0.25">
      <c r="A1" s="1465" t="s">
        <v>1422</v>
      </c>
      <c r="B1" s="1465"/>
      <c r="C1" s="1465"/>
      <c r="D1" s="1465"/>
      <c r="E1" s="1465"/>
      <c r="F1" s="1465"/>
      <c r="G1" s="45"/>
      <c r="H1" s="45"/>
      <c r="I1"/>
      <c r="J1" s="372"/>
      <c r="K1" s="372"/>
      <c r="L1" s="372"/>
    </row>
    <row r="2" spans="1:12" ht="12" x14ac:dyDescent="0.25">
      <c r="A2" s="1465" t="s">
        <v>568</v>
      </c>
      <c r="B2" s="1465"/>
      <c r="C2" s="1465"/>
      <c r="D2" s="1465"/>
      <c r="E2" s="1465"/>
      <c r="F2" s="1465"/>
    </row>
    <row r="3" spans="1:12" ht="11.25" customHeight="1" thickBot="1" x14ac:dyDescent="0.3">
      <c r="A3" s="334"/>
      <c r="B3" s="334"/>
      <c r="C3" s="386"/>
      <c r="D3" s="386"/>
      <c r="E3" s="386"/>
      <c r="F3" s="389" t="s">
        <v>87</v>
      </c>
    </row>
    <row r="4" spans="1:12" s="372" customFormat="1" ht="19.5" customHeight="1" x14ac:dyDescent="0.25">
      <c r="A4" s="1466" t="s">
        <v>114</v>
      </c>
      <c r="B4" s="1469" t="s">
        <v>76</v>
      </c>
      <c r="C4" s="1472" t="s">
        <v>1431</v>
      </c>
      <c r="D4" s="1472" t="s">
        <v>1437</v>
      </c>
      <c r="E4" s="1478" t="s">
        <v>281</v>
      </c>
      <c r="F4" s="1475" t="s">
        <v>1443</v>
      </c>
      <c r="G4" s="276"/>
    </row>
    <row r="5" spans="1:12" s="372" customFormat="1" ht="17.25" customHeight="1" x14ac:dyDescent="0.25">
      <c r="A5" s="1467"/>
      <c r="B5" s="1470"/>
      <c r="C5" s="1473"/>
      <c r="D5" s="1473"/>
      <c r="E5" s="1479"/>
      <c r="F5" s="1476"/>
      <c r="G5" s="276"/>
    </row>
    <row r="6" spans="1:12" s="372" customFormat="1" ht="11.25" customHeight="1" thickBot="1" x14ac:dyDescent="0.3">
      <c r="A6" s="1468"/>
      <c r="B6" s="1471"/>
      <c r="C6" s="1474"/>
      <c r="D6" s="1474"/>
      <c r="E6" s="1480"/>
      <c r="F6" s="1477"/>
      <c r="G6" s="276"/>
    </row>
    <row r="7" spans="1:12" s="387" customFormat="1" ht="16.5" customHeight="1" thickBot="1" x14ac:dyDescent="0.3">
      <c r="A7" s="337" t="s">
        <v>373</v>
      </c>
      <c r="B7" s="338" t="s">
        <v>372</v>
      </c>
      <c r="C7" s="339" t="s">
        <v>79</v>
      </c>
      <c r="D7" s="339" t="s">
        <v>191</v>
      </c>
      <c r="E7" s="1200" t="s">
        <v>192</v>
      </c>
      <c r="F7" s="340" t="s">
        <v>197</v>
      </c>
      <c r="G7" s="333"/>
    </row>
    <row r="8" spans="1:12" ht="12" customHeight="1" x14ac:dyDescent="0.2">
      <c r="A8" s="331"/>
      <c r="B8" s="259"/>
      <c r="C8" s="287"/>
      <c r="D8" s="287"/>
      <c r="E8" s="1201"/>
      <c r="F8" s="332"/>
    </row>
    <row r="9" spans="1:12" s="238" customFormat="1" ht="12" x14ac:dyDescent="0.25">
      <c r="A9" s="304">
        <v>1010</v>
      </c>
      <c r="B9" s="324" t="s">
        <v>407</v>
      </c>
      <c r="C9" s="302">
        <f>SUM(C10:C15)</f>
        <v>4286488</v>
      </c>
      <c r="D9" s="302">
        <f>SUM(D10:D15)</f>
        <v>4286488</v>
      </c>
      <c r="E9" s="1202">
        <f>SUM(E10:E15)</f>
        <v>5111886</v>
      </c>
      <c r="F9" s="368">
        <f>E9/D9</f>
        <v>1.1925581035103796</v>
      </c>
      <c r="G9" s="984"/>
    </row>
    <row r="10" spans="1:12" s="238" customFormat="1" ht="22.8" x14ac:dyDescent="0.25">
      <c r="A10" s="331">
        <v>1011</v>
      </c>
      <c r="B10" s="259" t="s">
        <v>480</v>
      </c>
      <c r="C10" s="287">
        <v>930867</v>
      </c>
      <c r="D10" s="287">
        <v>930867</v>
      </c>
      <c r="E10" s="1203">
        <f>930867+50139</f>
        <v>981006</v>
      </c>
      <c r="F10" s="370">
        <f>E10/D10</f>
        <v>1.0538626892993306</v>
      </c>
      <c r="G10" s="984"/>
    </row>
    <row r="11" spans="1:12" s="238" customFormat="1" ht="22.8" x14ac:dyDescent="0.25">
      <c r="A11" s="331">
        <v>1012</v>
      </c>
      <c r="B11" s="259" t="s">
        <v>479</v>
      </c>
      <c r="C11" s="249">
        <v>1680415</v>
      </c>
      <c r="D11" s="249">
        <v>1680415</v>
      </c>
      <c r="E11" s="1204">
        <f>1680415+110628+53088</f>
        <v>1844131</v>
      </c>
      <c r="F11" s="369">
        <f>E11/D11</f>
        <v>1.0974259334747667</v>
      </c>
      <c r="G11" s="984"/>
    </row>
    <row r="12" spans="1:12" s="238" customFormat="1" ht="34.200000000000003" x14ac:dyDescent="0.25">
      <c r="A12" s="331">
        <v>1013</v>
      </c>
      <c r="B12" s="259" t="s">
        <v>478</v>
      </c>
      <c r="C12" s="249">
        <v>1645473</v>
      </c>
      <c r="D12" s="249">
        <v>1645473</v>
      </c>
      <c r="E12" s="1204">
        <f>1645473+75509+26695+24909+84168</f>
        <v>1856754</v>
      </c>
      <c r="F12" s="370">
        <f>E12/D12</f>
        <v>1.1284013775978092</v>
      </c>
      <c r="G12" s="984"/>
    </row>
    <row r="13" spans="1:12" s="238" customFormat="1" ht="22.8" x14ac:dyDescent="0.25">
      <c r="A13" s="331">
        <v>1014</v>
      </c>
      <c r="B13" s="259" t="s">
        <v>477</v>
      </c>
      <c r="C13" s="287">
        <v>29733</v>
      </c>
      <c r="D13" s="287">
        <v>29733</v>
      </c>
      <c r="E13" s="1203">
        <f>29733+313826+72020</f>
        <v>415579</v>
      </c>
      <c r="F13" s="367">
        <f>E13/D13</f>
        <v>13.977028890458413</v>
      </c>
      <c r="G13" s="984"/>
    </row>
    <row r="14" spans="1:12" s="238" customFormat="1" ht="22.8" x14ac:dyDescent="0.25">
      <c r="A14" s="331">
        <v>1015</v>
      </c>
      <c r="B14" s="259" t="s">
        <v>476</v>
      </c>
      <c r="C14" s="287"/>
      <c r="D14" s="287"/>
      <c r="E14" s="1203"/>
      <c r="F14" s="332"/>
      <c r="G14" s="984"/>
    </row>
    <row r="15" spans="1:12" s="238" customFormat="1" x14ac:dyDescent="0.25">
      <c r="A15" s="331">
        <v>1016</v>
      </c>
      <c r="B15" s="259" t="s">
        <v>475</v>
      </c>
      <c r="C15" s="287"/>
      <c r="D15" s="287"/>
      <c r="E15" s="1203">
        <v>14416</v>
      </c>
      <c r="F15" s="286"/>
      <c r="G15" s="984"/>
    </row>
    <row r="16" spans="1:12" s="238" customFormat="1" ht="12" x14ac:dyDescent="0.25">
      <c r="A16" s="304">
        <v>1020</v>
      </c>
      <c r="B16" s="324" t="s">
        <v>406</v>
      </c>
      <c r="C16" s="287"/>
      <c r="D16" s="287"/>
      <c r="E16" s="1203">
        <v>3281</v>
      </c>
      <c r="F16" s="286"/>
      <c r="G16" s="984"/>
    </row>
    <row r="17" spans="1:7" s="238" customFormat="1" ht="24" x14ac:dyDescent="0.25">
      <c r="A17" s="304">
        <v>1029</v>
      </c>
      <c r="B17" s="324" t="s">
        <v>387</v>
      </c>
      <c r="C17" s="302"/>
      <c r="D17" s="302"/>
      <c r="E17" s="1202"/>
      <c r="F17" s="301"/>
      <c r="G17" s="984"/>
    </row>
    <row r="18" spans="1:7" s="238" customFormat="1" ht="24" x14ac:dyDescent="0.25">
      <c r="A18" s="304">
        <v>1030</v>
      </c>
      <c r="B18" s="324" t="s">
        <v>405</v>
      </c>
      <c r="C18" s="302">
        <v>8000</v>
      </c>
      <c r="D18" s="302">
        <v>8000</v>
      </c>
      <c r="E18" s="1202">
        <f>8000+212131</f>
        <v>220131</v>
      </c>
      <c r="F18" s="368">
        <f>E18/D18</f>
        <v>27.516375</v>
      </c>
      <c r="G18" s="984"/>
    </row>
    <row r="19" spans="1:7" s="238" customFormat="1" ht="36" x14ac:dyDescent="0.25">
      <c r="A19" s="304">
        <v>1031</v>
      </c>
      <c r="B19" s="326" t="s">
        <v>404</v>
      </c>
      <c r="C19" s="302"/>
      <c r="D19" s="302"/>
      <c r="E19" s="1202"/>
      <c r="F19" s="301"/>
      <c r="G19" s="984"/>
    </row>
    <row r="20" spans="1:7" s="238" customFormat="1" ht="12" x14ac:dyDescent="0.25">
      <c r="A20" s="304">
        <v>1032</v>
      </c>
      <c r="B20" s="326" t="s">
        <v>474</v>
      </c>
      <c r="C20" s="302"/>
      <c r="D20" s="302"/>
      <c r="E20" s="1202"/>
      <c r="F20" s="301"/>
      <c r="G20" s="984"/>
    </row>
    <row r="21" spans="1:7" s="238" customFormat="1" ht="12.6" thickBot="1" x14ac:dyDescent="0.3">
      <c r="A21" s="323"/>
      <c r="B21" s="330"/>
      <c r="C21" s="321"/>
      <c r="D21" s="321"/>
      <c r="E21" s="1205"/>
      <c r="F21" s="320"/>
      <c r="G21" s="984"/>
    </row>
    <row r="22" spans="1:7" s="238" customFormat="1" ht="28.2" thickBot="1" x14ac:dyDescent="0.3">
      <c r="A22" s="379"/>
      <c r="B22" s="378" t="s">
        <v>402</v>
      </c>
      <c r="C22" s="282">
        <f>SUM(C20,C19,C18,C17,C16,C9)</f>
        <v>4294488</v>
      </c>
      <c r="D22" s="282">
        <f>SUM(D20,D19,D18,D17,D16,D9)</f>
        <v>4294488</v>
      </c>
      <c r="E22" s="1206">
        <f>SUM(E20,E19,E18,E17,E16,E9)</f>
        <v>5335298</v>
      </c>
      <c r="F22" s="350">
        <f>E22/D22</f>
        <v>1.2423595082813133</v>
      </c>
      <c r="G22" s="984"/>
    </row>
    <row r="23" spans="1:7" s="238" customFormat="1" ht="12" x14ac:dyDescent="0.25">
      <c r="A23" s="256"/>
      <c r="B23" s="306"/>
      <c r="C23" s="290"/>
      <c r="D23" s="290"/>
      <c r="E23" s="1207"/>
      <c r="F23" s="289"/>
      <c r="G23" s="984"/>
    </row>
    <row r="24" spans="1:7" s="238" customFormat="1" ht="12" x14ac:dyDescent="0.25">
      <c r="A24" s="329">
        <v>1040</v>
      </c>
      <c r="B24" s="325" t="s">
        <v>401</v>
      </c>
      <c r="C24" s="302">
        <f>SUM(C25:C26)</f>
        <v>7550000</v>
      </c>
      <c r="D24" s="302">
        <f>SUM(D25:D26)</f>
        <v>7550000</v>
      </c>
      <c r="E24" s="1202">
        <f>SUM(E25:E26)</f>
        <v>7550000</v>
      </c>
      <c r="F24" s="368">
        <f>E24/D24</f>
        <v>1</v>
      </c>
      <c r="G24" s="984"/>
    </row>
    <row r="25" spans="1:7" s="238" customFormat="1" x14ac:dyDescent="0.25">
      <c r="A25" s="251">
        <v>1041</v>
      </c>
      <c r="B25" s="250" t="s">
        <v>473</v>
      </c>
      <c r="C25" s="287">
        <v>6800000</v>
      </c>
      <c r="D25" s="287">
        <v>6800000</v>
      </c>
      <c r="E25" s="1203">
        <v>6800000</v>
      </c>
      <c r="F25" s="370">
        <f>E25/D25</f>
        <v>1</v>
      </c>
      <c r="G25" s="984"/>
    </row>
    <row r="26" spans="1:7" s="238" customFormat="1" x14ac:dyDescent="0.25">
      <c r="A26" s="251">
        <v>1042</v>
      </c>
      <c r="B26" s="250" t="s">
        <v>472</v>
      </c>
      <c r="C26" s="287">
        <v>750000</v>
      </c>
      <c r="D26" s="287">
        <v>750000</v>
      </c>
      <c r="E26" s="1203">
        <v>750000</v>
      </c>
      <c r="F26" s="370">
        <f>E26/D26</f>
        <v>1</v>
      </c>
      <c r="G26" s="984"/>
    </row>
    <row r="27" spans="1:7" s="238" customFormat="1" ht="12" x14ac:dyDescent="0.25">
      <c r="A27" s="304">
        <v>1050</v>
      </c>
      <c r="B27" s="324" t="s">
        <v>400</v>
      </c>
      <c r="C27" s="302">
        <f>SUM(C28:C30)</f>
        <v>10643750</v>
      </c>
      <c r="D27" s="302">
        <f>SUM(D28:D30)</f>
        <v>10643750</v>
      </c>
      <c r="E27" s="1202">
        <f>SUM(E28:E30)</f>
        <v>10643750</v>
      </c>
      <c r="F27" s="368">
        <f>E27/D27</f>
        <v>1</v>
      </c>
      <c r="G27" s="984"/>
    </row>
    <row r="28" spans="1:7" s="238" customFormat="1" x14ac:dyDescent="0.25">
      <c r="A28" s="251">
        <v>1051</v>
      </c>
      <c r="B28" s="259" t="s">
        <v>471</v>
      </c>
      <c r="C28" s="287">
        <v>9823750</v>
      </c>
      <c r="D28" s="287">
        <v>9823750</v>
      </c>
      <c r="E28" s="1203">
        <v>9823750</v>
      </c>
      <c r="F28" s="370">
        <f>E28/D28</f>
        <v>1</v>
      </c>
      <c r="G28" s="984"/>
    </row>
    <row r="29" spans="1:7" s="238" customFormat="1" ht="22.8" x14ac:dyDescent="0.25">
      <c r="A29" s="251">
        <v>1052</v>
      </c>
      <c r="B29" s="250" t="s">
        <v>470</v>
      </c>
      <c r="C29" s="287"/>
      <c r="D29" s="287"/>
      <c r="E29" s="1203"/>
      <c r="F29" s="286"/>
      <c r="G29" s="984"/>
    </row>
    <row r="30" spans="1:7" s="238" customFormat="1" x14ac:dyDescent="0.25">
      <c r="A30" s="251">
        <v>1053</v>
      </c>
      <c r="B30" s="259" t="s">
        <v>469</v>
      </c>
      <c r="C30" s="287">
        <v>820000</v>
      </c>
      <c r="D30" s="287">
        <v>820000</v>
      </c>
      <c r="E30" s="1203">
        <v>820000</v>
      </c>
      <c r="F30" s="370">
        <f>E30/D30</f>
        <v>1</v>
      </c>
      <c r="G30" s="984"/>
    </row>
    <row r="31" spans="1:7" s="238" customFormat="1" ht="12" x14ac:dyDescent="0.25">
      <c r="A31" s="304">
        <v>1070</v>
      </c>
      <c r="B31" s="324" t="s">
        <v>399</v>
      </c>
      <c r="C31" s="302">
        <f>SUM(C32:C42)</f>
        <v>1145433</v>
      </c>
      <c r="D31" s="302">
        <f>SUM(D32:D42)</f>
        <v>1145433</v>
      </c>
      <c r="E31" s="1202">
        <f>SUM(E32:E42)</f>
        <v>1145433</v>
      </c>
      <c r="F31" s="368">
        <f>E31/D31</f>
        <v>1</v>
      </c>
      <c r="G31" s="984"/>
    </row>
    <row r="32" spans="1:7" s="238" customFormat="1" x14ac:dyDescent="0.25">
      <c r="A32" s="251">
        <v>1071</v>
      </c>
      <c r="B32" s="250" t="s">
        <v>468</v>
      </c>
      <c r="C32" s="287">
        <v>250</v>
      </c>
      <c r="D32" s="287">
        <v>250</v>
      </c>
      <c r="E32" s="1203">
        <v>250</v>
      </c>
      <c r="F32" s="370">
        <f>E32/D32</f>
        <v>1</v>
      </c>
      <c r="G32" s="984"/>
    </row>
    <row r="33" spans="1:7" s="238" customFormat="1" x14ac:dyDescent="0.25">
      <c r="A33" s="251">
        <v>1072</v>
      </c>
      <c r="B33" s="250" t="s">
        <v>467</v>
      </c>
      <c r="C33" s="287"/>
      <c r="D33" s="287"/>
      <c r="E33" s="1203"/>
      <c r="F33" s="267"/>
      <c r="G33" s="984"/>
    </row>
    <row r="34" spans="1:7" s="238" customFormat="1" x14ac:dyDescent="0.25">
      <c r="A34" s="251">
        <v>1073</v>
      </c>
      <c r="B34" s="259" t="s">
        <v>466</v>
      </c>
      <c r="C34" s="287"/>
      <c r="D34" s="287"/>
      <c r="E34" s="1203"/>
      <c r="F34" s="267"/>
      <c r="G34" s="984"/>
    </row>
    <row r="35" spans="1:7" s="238" customFormat="1" x14ac:dyDescent="0.25">
      <c r="A35" s="251">
        <v>1074</v>
      </c>
      <c r="B35" s="259" t="s">
        <v>465</v>
      </c>
      <c r="C35" s="287"/>
      <c r="D35" s="287"/>
      <c r="E35" s="1203"/>
      <c r="F35" s="286"/>
      <c r="G35" s="984"/>
    </row>
    <row r="36" spans="1:7" s="238" customFormat="1" x14ac:dyDescent="0.25">
      <c r="A36" s="251">
        <v>1075</v>
      </c>
      <c r="B36" s="259" t="s">
        <v>464</v>
      </c>
      <c r="C36" s="287">
        <v>40000</v>
      </c>
      <c r="D36" s="287">
        <v>40000</v>
      </c>
      <c r="E36" s="1203">
        <v>40000</v>
      </c>
      <c r="F36" s="370">
        <f>E36/D36</f>
        <v>1</v>
      </c>
      <c r="G36" s="984"/>
    </row>
    <row r="37" spans="1:7" s="238" customFormat="1" x14ac:dyDescent="0.25">
      <c r="A37" s="251">
        <v>1076</v>
      </c>
      <c r="B37" s="259" t="s">
        <v>463</v>
      </c>
      <c r="C37" s="287">
        <v>28306</v>
      </c>
      <c r="D37" s="287">
        <v>28306</v>
      </c>
      <c r="E37" s="1203">
        <v>28306</v>
      </c>
      <c r="F37" s="370">
        <f>E37/D37</f>
        <v>1</v>
      </c>
      <c r="G37" s="984"/>
    </row>
    <row r="38" spans="1:7" s="238" customFormat="1" x14ac:dyDescent="0.25">
      <c r="A38" s="251">
        <v>1077</v>
      </c>
      <c r="B38" s="250" t="s">
        <v>462</v>
      </c>
      <c r="C38" s="287">
        <v>633877</v>
      </c>
      <c r="D38" s="287">
        <v>633877</v>
      </c>
      <c r="E38" s="1203">
        <v>633877</v>
      </c>
      <c r="F38" s="370">
        <f>E38/D38</f>
        <v>1</v>
      </c>
      <c r="G38" s="984"/>
    </row>
    <row r="39" spans="1:7" s="238" customFormat="1" x14ac:dyDescent="0.25">
      <c r="A39" s="251">
        <v>1078</v>
      </c>
      <c r="B39" s="250" t="s">
        <v>461</v>
      </c>
      <c r="C39" s="287"/>
      <c r="D39" s="287"/>
      <c r="E39" s="1203"/>
      <c r="F39" s="286"/>
      <c r="G39" s="984"/>
    </row>
    <row r="40" spans="1:7" s="238" customFormat="1" x14ac:dyDescent="0.25">
      <c r="A40" s="251">
        <v>1079</v>
      </c>
      <c r="B40" s="250" t="s">
        <v>460</v>
      </c>
      <c r="C40" s="287">
        <v>23000</v>
      </c>
      <c r="D40" s="287">
        <v>23000</v>
      </c>
      <c r="E40" s="1203">
        <v>23000</v>
      </c>
      <c r="F40" s="370">
        <f>E40/D40</f>
        <v>1</v>
      </c>
      <c r="G40" s="984"/>
    </row>
    <row r="41" spans="1:7" s="238" customFormat="1" x14ac:dyDescent="0.25">
      <c r="A41" s="251">
        <v>1081</v>
      </c>
      <c r="B41" s="250" t="s">
        <v>459</v>
      </c>
      <c r="C41" s="287">
        <v>420000</v>
      </c>
      <c r="D41" s="287">
        <v>420000</v>
      </c>
      <c r="E41" s="1203">
        <v>420000</v>
      </c>
      <c r="F41" s="370">
        <f>E41/D41</f>
        <v>1</v>
      </c>
      <c r="G41" s="984"/>
    </row>
    <row r="42" spans="1:7" s="238" customFormat="1" ht="12" thickBot="1" x14ac:dyDescent="0.3">
      <c r="A42" s="247"/>
      <c r="B42" s="246"/>
      <c r="C42" s="285"/>
      <c r="D42" s="285"/>
      <c r="E42" s="1208"/>
      <c r="F42" s="284"/>
      <c r="G42" s="984"/>
    </row>
    <row r="43" spans="1:7" s="238" customFormat="1" ht="14.4" thickBot="1" x14ac:dyDescent="0.3">
      <c r="A43" s="377"/>
      <c r="B43" s="377" t="s">
        <v>334</v>
      </c>
      <c r="C43" s="277">
        <f>SUM(C24+C27+C31)</f>
        <v>19339183</v>
      </c>
      <c r="D43" s="277">
        <f>SUM(D24+D27+D31)</f>
        <v>19339183</v>
      </c>
      <c r="E43" s="1209">
        <f>SUM(E24+E27+E31)</f>
        <v>19339183</v>
      </c>
      <c r="F43" s="350">
        <f>E43/D43</f>
        <v>1</v>
      </c>
      <c r="G43" s="984"/>
    </row>
    <row r="44" spans="1:7" s="238" customFormat="1" x14ac:dyDescent="0.25">
      <c r="A44" s="265"/>
      <c r="B44" s="312"/>
      <c r="C44" s="290"/>
      <c r="D44" s="290"/>
      <c r="E44" s="1207"/>
      <c r="F44" s="289"/>
      <c r="G44" s="984"/>
    </row>
    <row r="45" spans="1:7" s="238" customFormat="1" ht="12" x14ac:dyDescent="0.25">
      <c r="A45" s="304">
        <v>1090</v>
      </c>
      <c r="B45" s="303" t="s">
        <v>398</v>
      </c>
      <c r="C45" s="302">
        <f>SUM(C46:C54)</f>
        <v>2601262</v>
      </c>
      <c r="D45" s="302">
        <f>SUM(D46:D54)</f>
        <v>2601262</v>
      </c>
      <c r="E45" s="1202">
        <f>SUM(E46:E54)</f>
        <v>2601262</v>
      </c>
      <c r="F45" s="368">
        <f>E45/D45</f>
        <v>1</v>
      </c>
      <c r="G45" s="984"/>
    </row>
    <row r="46" spans="1:7" s="238" customFormat="1" x14ac:dyDescent="0.25">
      <c r="A46" s="251">
        <v>1091</v>
      </c>
      <c r="B46" s="260" t="s">
        <v>458</v>
      </c>
      <c r="C46" s="249"/>
      <c r="D46" s="249"/>
      <c r="E46" s="1204"/>
      <c r="F46" s="267"/>
      <c r="G46" s="984"/>
    </row>
    <row r="47" spans="1:7" s="238" customFormat="1" x14ac:dyDescent="0.25">
      <c r="A47" s="251">
        <v>1092</v>
      </c>
      <c r="B47" s="250" t="s">
        <v>457</v>
      </c>
      <c r="C47" s="287">
        <v>1673262</v>
      </c>
      <c r="D47" s="287">
        <v>1673262</v>
      </c>
      <c r="E47" s="1203">
        <v>1673262</v>
      </c>
      <c r="F47" s="370">
        <f>E47/D47</f>
        <v>1</v>
      </c>
      <c r="G47" s="984"/>
    </row>
    <row r="48" spans="1:7" s="238" customFormat="1" x14ac:dyDescent="0.25">
      <c r="A48" s="251">
        <v>1093</v>
      </c>
      <c r="B48" s="250" t="s">
        <v>456</v>
      </c>
      <c r="C48" s="287">
        <v>4000</v>
      </c>
      <c r="D48" s="287">
        <v>4000</v>
      </c>
      <c r="E48" s="1203">
        <v>4000</v>
      </c>
      <c r="F48" s="370">
        <f>E48/D48</f>
        <v>1</v>
      </c>
      <c r="G48" s="984"/>
    </row>
    <row r="49" spans="1:7" s="238" customFormat="1" x14ac:dyDescent="0.25">
      <c r="A49" s="251">
        <v>1094</v>
      </c>
      <c r="B49" s="250" t="s">
        <v>455</v>
      </c>
      <c r="C49" s="287">
        <f>14000</f>
        <v>14000</v>
      </c>
      <c r="D49" s="287">
        <f>14000</f>
        <v>14000</v>
      </c>
      <c r="E49" s="1203">
        <f>14000</f>
        <v>14000</v>
      </c>
      <c r="F49" s="370">
        <f>E49/D49</f>
        <v>1</v>
      </c>
      <c r="G49" s="984"/>
    </row>
    <row r="50" spans="1:7" s="238" customFormat="1" x14ac:dyDescent="0.25">
      <c r="A50" s="251">
        <v>1095</v>
      </c>
      <c r="B50" s="250" t="s">
        <v>454</v>
      </c>
      <c r="C50" s="287">
        <v>500000</v>
      </c>
      <c r="D50" s="287">
        <v>500000</v>
      </c>
      <c r="E50" s="1203">
        <v>500000</v>
      </c>
      <c r="F50" s="370">
        <f>E50/D50</f>
        <v>1</v>
      </c>
      <c r="G50" s="984"/>
    </row>
    <row r="51" spans="1:7" s="238" customFormat="1" x14ac:dyDescent="0.25">
      <c r="A51" s="251">
        <v>1096</v>
      </c>
      <c r="B51" s="250" t="s">
        <v>453</v>
      </c>
      <c r="C51" s="287">
        <v>370000</v>
      </c>
      <c r="D51" s="287">
        <v>370000</v>
      </c>
      <c r="E51" s="1203">
        <v>370000</v>
      </c>
      <c r="F51" s="370">
        <f>E51/D51</f>
        <v>1</v>
      </c>
      <c r="G51" s="984"/>
    </row>
    <row r="52" spans="1:7" s="238" customFormat="1" x14ac:dyDescent="0.25">
      <c r="A52" s="251">
        <v>1097</v>
      </c>
      <c r="B52" s="250" t="s">
        <v>452</v>
      </c>
      <c r="C52" s="287"/>
      <c r="D52" s="287"/>
      <c r="E52" s="1203"/>
      <c r="F52" s="267"/>
      <c r="G52" s="984"/>
    </row>
    <row r="53" spans="1:7" s="238" customFormat="1" x14ac:dyDescent="0.25">
      <c r="A53" s="251">
        <v>1098</v>
      </c>
      <c r="B53" s="250" t="s">
        <v>451</v>
      </c>
      <c r="C53" s="287"/>
      <c r="D53" s="287"/>
      <c r="E53" s="1203"/>
      <c r="F53" s="267"/>
      <c r="G53" s="984"/>
    </row>
    <row r="54" spans="1:7" s="238" customFormat="1" x14ac:dyDescent="0.25">
      <c r="A54" s="251">
        <v>1099</v>
      </c>
      <c r="B54" s="250" t="s">
        <v>450</v>
      </c>
      <c r="C54" s="287">
        <v>40000</v>
      </c>
      <c r="D54" s="287">
        <v>40000</v>
      </c>
      <c r="E54" s="1203">
        <v>40000</v>
      </c>
      <c r="F54" s="370">
        <f>E54/D54</f>
        <v>1</v>
      </c>
      <c r="G54" s="984"/>
    </row>
    <row r="55" spans="1:7" s="238" customFormat="1" ht="12" x14ac:dyDescent="0.25">
      <c r="A55" s="304">
        <v>1100</v>
      </c>
      <c r="B55" s="303" t="s">
        <v>397</v>
      </c>
      <c r="C55" s="302">
        <f>SUM(C56:C58)</f>
        <v>199124</v>
      </c>
      <c r="D55" s="302">
        <f>SUM(D56:D58)</f>
        <v>199124</v>
      </c>
      <c r="E55" s="1202">
        <f>SUM(E56:E58)</f>
        <v>199124</v>
      </c>
      <c r="F55" s="368">
        <f>E55/D55</f>
        <v>1</v>
      </c>
      <c r="G55" s="984"/>
    </row>
    <row r="56" spans="1:7" s="238" customFormat="1" ht="22.8" x14ac:dyDescent="0.25">
      <c r="A56" s="251">
        <v>1101</v>
      </c>
      <c r="B56" s="250" t="s">
        <v>449</v>
      </c>
      <c r="C56" s="287">
        <v>11200</v>
      </c>
      <c r="D56" s="287">
        <v>11200</v>
      </c>
      <c r="E56" s="1203">
        <v>11200</v>
      </c>
      <c r="F56" s="370">
        <f>E56/D56</f>
        <v>1</v>
      </c>
      <c r="G56" s="984"/>
    </row>
    <row r="57" spans="1:7" s="238" customFormat="1" ht="22.8" x14ac:dyDescent="0.25">
      <c r="A57" s="251">
        <v>1102</v>
      </c>
      <c r="B57" s="250" t="s">
        <v>448</v>
      </c>
      <c r="C57" s="287">
        <v>90000</v>
      </c>
      <c r="D57" s="287">
        <v>90000</v>
      </c>
      <c r="E57" s="1203">
        <v>90000</v>
      </c>
      <c r="F57" s="370">
        <f>E57/D57</f>
        <v>1</v>
      </c>
      <c r="G57" s="984"/>
    </row>
    <row r="58" spans="1:7" s="238" customFormat="1" ht="22.8" x14ac:dyDescent="0.25">
      <c r="A58" s="251">
        <v>1103</v>
      </c>
      <c r="B58" s="250" t="s">
        <v>447</v>
      </c>
      <c r="C58" s="287">
        <v>97924</v>
      </c>
      <c r="D58" s="287">
        <v>97924</v>
      </c>
      <c r="E58" s="1203">
        <v>97924</v>
      </c>
      <c r="F58" s="370">
        <f>E58/D58</f>
        <v>1</v>
      </c>
      <c r="G58" s="984"/>
    </row>
    <row r="59" spans="1:7" s="238" customFormat="1" ht="12" x14ac:dyDescent="0.25">
      <c r="A59" s="304">
        <v>1105</v>
      </c>
      <c r="B59" s="324" t="s">
        <v>396</v>
      </c>
      <c r="C59" s="302"/>
      <c r="D59" s="302"/>
      <c r="E59" s="1202"/>
      <c r="F59" s="301"/>
      <c r="G59" s="984"/>
    </row>
    <row r="60" spans="1:7" s="238" customFormat="1" ht="12" x14ac:dyDescent="0.25">
      <c r="A60" s="304">
        <v>1110</v>
      </c>
      <c r="B60" s="324" t="s">
        <v>395</v>
      </c>
      <c r="C60" s="287"/>
      <c r="D60" s="287"/>
      <c r="E60" s="1203"/>
      <c r="F60" s="267"/>
      <c r="G60" s="984"/>
    </row>
    <row r="61" spans="1:7" s="238" customFormat="1" ht="12" x14ac:dyDescent="0.25">
      <c r="A61" s="304">
        <v>1120</v>
      </c>
      <c r="B61" s="324" t="s">
        <v>394</v>
      </c>
      <c r="C61" s="302">
        <f>SUM(C62:C64)</f>
        <v>750450</v>
      </c>
      <c r="D61" s="302">
        <f>SUM(D62:D64)</f>
        <v>750450</v>
      </c>
      <c r="E61" s="1202">
        <f>SUM(E62:E64)</f>
        <v>750450</v>
      </c>
      <c r="F61" s="368">
        <f>E61/D61</f>
        <v>1</v>
      </c>
      <c r="G61" s="984"/>
    </row>
    <row r="62" spans="1:7" s="238" customFormat="1" x14ac:dyDescent="0.25">
      <c r="A62" s="251">
        <v>1121</v>
      </c>
      <c r="B62" s="259" t="s">
        <v>446</v>
      </c>
      <c r="C62" s="287">
        <v>13230</v>
      </c>
      <c r="D62" s="287">
        <v>13230</v>
      </c>
      <c r="E62" s="1203">
        <v>13230</v>
      </c>
      <c r="F62" s="370">
        <f>E62/D62</f>
        <v>1</v>
      </c>
      <c r="G62" s="984"/>
    </row>
    <row r="63" spans="1:7" s="238" customFormat="1" ht="22.8" x14ac:dyDescent="0.25">
      <c r="A63" s="251">
        <v>1122</v>
      </c>
      <c r="B63" s="259" t="s">
        <v>445</v>
      </c>
      <c r="C63" s="287">
        <v>259000</v>
      </c>
      <c r="D63" s="287">
        <v>259000</v>
      </c>
      <c r="E63" s="1203">
        <v>259000</v>
      </c>
      <c r="F63" s="370">
        <f>E63/D63</f>
        <v>1</v>
      </c>
      <c r="G63" s="984"/>
    </row>
    <row r="64" spans="1:7" s="238" customFormat="1" x14ac:dyDescent="0.25">
      <c r="A64" s="251">
        <v>1123</v>
      </c>
      <c r="B64" s="259" t="s">
        <v>444</v>
      </c>
      <c r="C64" s="249">
        <v>478220</v>
      </c>
      <c r="D64" s="249">
        <v>478220</v>
      </c>
      <c r="E64" s="1204">
        <v>478220</v>
      </c>
      <c r="F64" s="370">
        <f>E64/D64</f>
        <v>1</v>
      </c>
      <c r="G64" s="984"/>
    </row>
    <row r="65" spans="1:7" s="238" customFormat="1" ht="12" x14ac:dyDescent="0.25">
      <c r="A65" s="304">
        <v>1130</v>
      </c>
      <c r="B65" s="324" t="s">
        <v>393</v>
      </c>
      <c r="C65" s="302"/>
      <c r="D65" s="302"/>
      <c r="E65" s="1202"/>
      <c r="F65" s="301"/>
      <c r="G65" s="984"/>
    </row>
    <row r="66" spans="1:7" s="238" customFormat="1" ht="24" x14ac:dyDescent="0.25">
      <c r="A66" s="304">
        <v>1140</v>
      </c>
      <c r="B66" s="326" t="s">
        <v>392</v>
      </c>
      <c r="C66" s="302">
        <f>C67</f>
        <v>150000</v>
      </c>
      <c r="D66" s="302">
        <f>D67</f>
        <v>150000</v>
      </c>
      <c r="E66" s="1202">
        <f>E67</f>
        <v>150000</v>
      </c>
      <c r="F66" s="368">
        <f>E66/D66</f>
        <v>1</v>
      </c>
      <c r="G66" s="984"/>
    </row>
    <row r="67" spans="1:7" s="238" customFormat="1" x14ac:dyDescent="0.25">
      <c r="A67" s="251">
        <v>1141</v>
      </c>
      <c r="B67" s="250" t="s">
        <v>443</v>
      </c>
      <c r="C67" s="287">
        <v>150000</v>
      </c>
      <c r="D67" s="287">
        <v>150000</v>
      </c>
      <c r="E67" s="1203">
        <v>150000</v>
      </c>
      <c r="F67" s="370">
        <f>E67/D67</f>
        <v>1</v>
      </c>
      <c r="G67" s="984"/>
    </row>
    <row r="68" spans="1:7" s="238" customFormat="1" ht="12" x14ac:dyDescent="0.25">
      <c r="A68" s="304">
        <v>1152</v>
      </c>
      <c r="B68" s="324" t="s">
        <v>391</v>
      </c>
      <c r="C68" s="302"/>
      <c r="D68" s="302"/>
      <c r="E68" s="1202"/>
      <c r="F68" s="301"/>
      <c r="G68" s="984"/>
    </row>
    <row r="69" spans="1:7" s="238" customFormat="1" ht="12" x14ac:dyDescent="0.25">
      <c r="A69" s="304">
        <v>1150</v>
      </c>
      <c r="B69" s="324" t="s">
        <v>390</v>
      </c>
      <c r="C69" s="302">
        <v>500</v>
      </c>
      <c r="D69" s="302">
        <v>500</v>
      </c>
      <c r="E69" s="1202">
        <v>500</v>
      </c>
      <c r="F69" s="368">
        <f>E69/D69</f>
        <v>1</v>
      </c>
      <c r="G69" s="984"/>
    </row>
    <row r="70" spans="1:7" s="238" customFormat="1" ht="24" x14ac:dyDescent="0.25">
      <c r="A70" s="304">
        <v>1151</v>
      </c>
      <c r="B70" s="324" t="s">
        <v>442</v>
      </c>
      <c r="C70" s="302">
        <v>38531</v>
      </c>
      <c r="D70" s="302">
        <v>38531</v>
      </c>
      <c r="E70" s="1202">
        <v>38531</v>
      </c>
      <c r="F70" s="368">
        <f>E70/D70</f>
        <v>1</v>
      </c>
      <c r="G70" s="984"/>
    </row>
    <row r="71" spans="1:7" s="238" customFormat="1" ht="12.6" thickBot="1" x14ac:dyDescent="0.3">
      <c r="A71" s="323"/>
      <c r="B71" s="322"/>
      <c r="C71" s="321"/>
      <c r="D71" s="321"/>
      <c r="E71" s="1205"/>
      <c r="F71" s="320"/>
      <c r="G71" s="984"/>
    </row>
    <row r="72" spans="1:7" s="238" customFormat="1" ht="14.4" thickBot="1" x14ac:dyDescent="0.3">
      <c r="A72" s="376"/>
      <c r="B72" s="377" t="s">
        <v>322</v>
      </c>
      <c r="C72" s="277">
        <f>SUM(C66+C69+C65+C61+C60+C55+C45+C59+C70)+C68</f>
        <v>3739867</v>
      </c>
      <c r="D72" s="277">
        <f>SUM(D66+D69+D65+D61+D60+D55+D45+D59+D70)+D68</f>
        <v>3739867</v>
      </c>
      <c r="E72" s="1209">
        <f>SUM(E66+E69+E65+E61+E60+E55+E45+E59+E70)+E68</f>
        <v>3739867</v>
      </c>
      <c r="F72" s="350">
        <f>E72/D72</f>
        <v>1</v>
      </c>
      <c r="G72" s="984"/>
    </row>
    <row r="73" spans="1:7" s="238" customFormat="1" ht="13.8" x14ac:dyDescent="0.25">
      <c r="A73" s="265"/>
      <c r="B73" s="293"/>
      <c r="C73" s="290"/>
      <c r="D73" s="290"/>
      <c r="E73" s="1207"/>
      <c r="F73" s="289"/>
      <c r="G73" s="984"/>
    </row>
    <row r="74" spans="1:7" s="238" customFormat="1" x14ac:dyDescent="0.25">
      <c r="A74" s="251">
        <v>1160</v>
      </c>
      <c r="B74" s="250" t="s">
        <v>321</v>
      </c>
      <c r="C74" s="287"/>
      <c r="D74" s="287"/>
      <c r="E74" s="1203"/>
      <c r="F74" s="267"/>
      <c r="G74" s="984"/>
    </row>
    <row r="75" spans="1:7" s="238" customFormat="1" x14ac:dyDescent="0.25">
      <c r="A75" s="251">
        <v>1161</v>
      </c>
      <c r="B75" s="250" t="s">
        <v>441</v>
      </c>
      <c r="C75" s="287"/>
      <c r="D75" s="287"/>
      <c r="E75" s="1203"/>
      <c r="F75" s="286"/>
      <c r="G75" s="984"/>
    </row>
    <row r="76" spans="1:7" s="238" customFormat="1" x14ac:dyDescent="0.25">
      <c r="A76" s="251">
        <v>1162</v>
      </c>
      <c r="B76" s="250" t="s">
        <v>264</v>
      </c>
      <c r="C76" s="287">
        <v>13775</v>
      </c>
      <c r="D76" s="287">
        <v>13775</v>
      </c>
      <c r="E76" s="1203">
        <v>13775</v>
      </c>
      <c r="F76" s="370">
        <f>E76/D76</f>
        <v>1</v>
      </c>
      <c r="G76" s="984"/>
    </row>
    <row r="77" spans="1:7" s="238" customFormat="1" x14ac:dyDescent="0.25">
      <c r="A77" s="251">
        <v>1163</v>
      </c>
      <c r="B77" s="250" t="s">
        <v>440</v>
      </c>
      <c r="C77" s="287"/>
      <c r="D77" s="287"/>
      <c r="E77" s="1203"/>
      <c r="F77" s="267"/>
      <c r="G77" s="984"/>
    </row>
    <row r="78" spans="1:7" s="238" customFormat="1" ht="22.8" x14ac:dyDescent="0.25">
      <c r="A78" s="251">
        <v>1164</v>
      </c>
      <c r="B78" s="250" t="s">
        <v>282</v>
      </c>
      <c r="C78" s="287"/>
      <c r="D78" s="287"/>
      <c r="E78" s="1203"/>
      <c r="F78" s="286"/>
      <c r="G78" s="984"/>
    </row>
    <row r="79" spans="1:7" s="238" customFormat="1" ht="22.8" x14ac:dyDescent="0.25">
      <c r="A79" s="251">
        <v>1165</v>
      </c>
      <c r="B79" s="250" t="s">
        <v>439</v>
      </c>
      <c r="C79" s="249"/>
      <c r="D79" s="249"/>
      <c r="E79" s="1204"/>
      <c r="F79" s="267"/>
      <c r="G79" s="984"/>
    </row>
    <row r="80" spans="1:7" s="238" customFormat="1" x14ac:dyDescent="0.25">
      <c r="A80" s="251">
        <v>1169</v>
      </c>
      <c r="B80" s="250" t="s">
        <v>246</v>
      </c>
      <c r="C80" s="249"/>
      <c r="D80" s="249"/>
      <c r="E80" s="1204"/>
      <c r="F80" s="267"/>
      <c r="G80" s="984"/>
    </row>
    <row r="81" spans="1:7" s="238" customFormat="1" x14ac:dyDescent="0.25">
      <c r="A81" s="247"/>
      <c r="B81" s="246" t="s">
        <v>438</v>
      </c>
      <c r="C81" s="245"/>
      <c r="D81" s="245"/>
      <c r="E81" s="1210"/>
      <c r="F81" s="266"/>
      <c r="G81" s="984"/>
    </row>
    <row r="82" spans="1:7" s="238" customFormat="1" x14ac:dyDescent="0.25">
      <c r="A82" s="247"/>
      <c r="B82" s="246" t="s">
        <v>437</v>
      </c>
      <c r="C82" s="245"/>
      <c r="D82" s="245"/>
      <c r="E82" s="1210"/>
      <c r="F82" s="266"/>
      <c r="G82" s="984"/>
    </row>
    <row r="83" spans="1:7" s="238" customFormat="1" ht="12" thickBot="1" x14ac:dyDescent="0.3">
      <c r="A83" s="247"/>
      <c r="B83" s="246"/>
      <c r="C83" s="245"/>
      <c r="D83" s="245"/>
      <c r="E83" s="1210"/>
      <c r="F83" s="266"/>
      <c r="G83" s="984"/>
    </row>
    <row r="84" spans="1:7" s="238" customFormat="1" ht="28.2" thickBot="1" x14ac:dyDescent="0.3">
      <c r="A84" s="376"/>
      <c r="B84" s="977" t="s">
        <v>389</v>
      </c>
      <c r="C84" s="282">
        <f>SUM(C73:C83)</f>
        <v>13775</v>
      </c>
      <c r="D84" s="282">
        <f>SUM(D73:D83)</f>
        <v>13775</v>
      </c>
      <c r="E84" s="1206">
        <f>SUM(E73:E83)</f>
        <v>13775</v>
      </c>
      <c r="F84" s="350">
        <f>E84/D84</f>
        <v>1</v>
      </c>
      <c r="G84" s="984"/>
    </row>
    <row r="85" spans="1:7" s="238" customFormat="1" ht="14.4" thickBot="1" x14ac:dyDescent="0.3">
      <c r="A85" s="328"/>
      <c r="B85" s="978"/>
      <c r="C85" s="279"/>
      <c r="D85" s="279"/>
      <c r="E85" s="1211"/>
      <c r="F85" s="278"/>
      <c r="G85" s="984"/>
    </row>
    <row r="86" spans="1:7" s="238" customFormat="1" ht="31.8" thickBot="1" x14ac:dyDescent="0.3">
      <c r="A86" s="385"/>
      <c r="B86" s="979" t="s">
        <v>320</v>
      </c>
      <c r="C86" s="277">
        <f>SUM(C72+C43+C22+C84)</f>
        <v>27387313</v>
      </c>
      <c r="D86" s="277">
        <f>SUM(D72+D43+D22+D84)</f>
        <v>27387313</v>
      </c>
      <c r="E86" s="1209">
        <f>SUM(E72+E43+E22+E84)</f>
        <v>28428123</v>
      </c>
      <c r="F86" s="350">
        <f>E86/D86</f>
        <v>1.0380033630900556</v>
      </c>
      <c r="G86" s="984"/>
    </row>
    <row r="87" spans="1:7" s="238" customFormat="1" ht="13.8" x14ac:dyDescent="0.25">
      <c r="A87" s="265"/>
      <c r="B87" s="293"/>
      <c r="C87" s="290"/>
      <c r="D87" s="290"/>
      <c r="E87" s="1207"/>
      <c r="F87" s="289"/>
      <c r="G87" s="984"/>
    </row>
    <row r="88" spans="1:7" s="238" customFormat="1" ht="24" x14ac:dyDescent="0.25">
      <c r="A88" s="304">
        <v>1165</v>
      </c>
      <c r="B88" s="324" t="s">
        <v>436</v>
      </c>
      <c r="C88" s="302">
        <v>750000</v>
      </c>
      <c r="D88" s="302">
        <v>1500000</v>
      </c>
      <c r="E88" s="1202">
        <v>1500000</v>
      </c>
      <c r="F88" s="368">
        <f>E88/D88</f>
        <v>1</v>
      </c>
      <c r="G88" s="984"/>
    </row>
    <row r="89" spans="1:7" s="238" customFormat="1" ht="24" x14ac:dyDescent="0.25">
      <c r="A89" s="304">
        <v>1166</v>
      </c>
      <c r="B89" s="324" t="s">
        <v>387</v>
      </c>
      <c r="C89" s="302"/>
      <c r="D89" s="302"/>
      <c r="E89" s="1202"/>
      <c r="F89" s="301"/>
      <c r="G89" s="984"/>
    </row>
    <row r="90" spans="1:7" s="238" customFormat="1" ht="24" x14ac:dyDescent="0.25">
      <c r="A90" s="304">
        <v>1170</v>
      </c>
      <c r="B90" s="326" t="s">
        <v>435</v>
      </c>
      <c r="C90" s="302"/>
      <c r="D90" s="302"/>
      <c r="E90" s="1202"/>
      <c r="F90" s="301"/>
      <c r="G90" s="984"/>
    </row>
    <row r="91" spans="1:7" s="238" customFormat="1" ht="24" x14ac:dyDescent="0.25">
      <c r="A91" s="304">
        <v>1180</v>
      </c>
      <c r="B91" s="326" t="s">
        <v>434</v>
      </c>
      <c r="C91" s="302">
        <f>SUM(C92:C98)</f>
        <v>213158</v>
      </c>
      <c r="D91" s="302">
        <f>SUM(D92:D98)</f>
        <v>213158</v>
      </c>
      <c r="E91" s="1202">
        <f>SUM(E92:E98)</f>
        <v>213158</v>
      </c>
      <c r="F91" s="368">
        <f>E91/D91</f>
        <v>1</v>
      </c>
      <c r="G91" s="984"/>
    </row>
    <row r="92" spans="1:7" s="238" customFormat="1" x14ac:dyDescent="0.25">
      <c r="A92" s="251">
        <v>1182</v>
      </c>
      <c r="B92" s="250" t="s">
        <v>433</v>
      </c>
      <c r="C92" s="287"/>
      <c r="D92" s="287"/>
      <c r="E92" s="1203"/>
      <c r="F92" s="286"/>
      <c r="G92" s="984"/>
    </row>
    <row r="93" spans="1:7" s="238" customFormat="1" x14ac:dyDescent="0.25">
      <c r="A93" s="251">
        <v>1183</v>
      </c>
      <c r="B93" s="250" t="s">
        <v>432</v>
      </c>
      <c r="C93" s="287"/>
      <c r="D93" s="287"/>
      <c r="E93" s="1203"/>
      <c r="F93" s="286"/>
      <c r="G93" s="984"/>
    </row>
    <row r="94" spans="1:7" s="238" customFormat="1" ht="22.8" x14ac:dyDescent="0.25">
      <c r="A94" s="251">
        <v>1186</v>
      </c>
      <c r="B94" s="250" t="s">
        <v>431</v>
      </c>
      <c r="C94" s="287"/>
      <c r="D94" s="287"/>
      <c r="E94" s="1203"/>
      <c r="F94" s="286"/>
      <c r="G94" s="984"/>
    </row>
    <row r="95" spans="1:7" s="238" customFormat="1" x14ac:dyDescent="0.25">
      <c r="A95" s="251"/>
      <c r="B95" s="250" t="s">
        <v>284</v>
      </c>
      <c r="C95" s="287">
        <v>69767</v>
      </c>
      <c r="D95" s="287">
        <v>69767</v>
      </c>
      <c r="E95" s="1203">
        <v>69767</v>
      </c>
      <c r="F95" s="370">
        <f>E95/D95</f>
        <v>1</v>
      </c>
      <c r="G95" s="984"/>
    </row>
    <row r="96" spans="1:7" s="238" customFormat="1" x14ac:dyDescent="0.25">
      <c r="A96" s="251"/>
      <c r="B96" s="250" t="s">
        <v>285</v>
      </c>
      <c r="C96" s="287">
        <v>62704</v>
      </c>
      <c r="D96" s="287">
        <v>62704</v>
      </c>
      <c r="E96" s="1203">
        <v>62704</v>
      </c>
      <c r="F96" s="370">
        <f>E96/D96</f>
        <v>1</v>
      </c>
      <c r="G96" s="984"/>
    </row>
    <row r="97" spans="1:7" s="238" customFormat="1" x14ac:dyDescent="0.25">
      <c r="A97" s="251"/>
      <c r="B97" s="250" t="s">
        <v>286</v>
      </c>
      <c r="C97" s="287">
        <v>52136</v>
      </c>
      <c r="D97" s="287">
        <v>52136</v>
      </c>
      <c r="E97" s="1203">
        <v>52136</v>
      </c>
      <c r="F97" s="370">
        <f>E97/D97</f>
        <v>1</v>
      </c>
      <c r="G97" s="984"/>
    </row>
    <row r="98" spans="1:7" s="238" customFormat="1" x14ac:dyDescent="0.25">
      <c r="A98" s="251"/>
      <c r="B98" s="250" t="s">
        <v>430</v>
      </c>
      <c r="C98" s="287">
        <v>28551</v>
      </c>
      <c r="D98" s="287">
        <v>28551</v>
      </c>
      <c r="E98" s="1203">
        <v>28551</v>
      </c>
      <c r="F98" s="370">
        <f>E98/D98</f>
        <v>1</v>
      </c>
      <c r="G98" s="984"/>
    </row>
    <row r="99" spans="1:7" s="238" customFormat="1" ht="12" x14ac:dyDescent="0.25">
      <c r="A99" s="304">
        <v>1187</v>
      </c>
      <c r="B99" s="324" t="s">
        <v>429</v>
      </c>
      <c r="C99" s="302"/>
      <c r="D99" s="302"/>
      <c r="E99" s="1202"/>
      <c r="F99" s="301"/>
      <c r="G99" s="984"/>
    </row>
    <row r="100" spans="1:7" s="238" customFormat="1" ht="24" x14ac:dyDescent="0.25">
      <c r="A100" s="304">
        <v>1185</v>
      </c>
      <c r="B100" s="303" t="s">
        <v>418</v>
      </c>
      <c r="C100" s="302"/>
      <c r="D100" s="302"/>
      <c r="E100" s="1202"/>
      <c r="F100" s="301"/>
      <c r="G100" s="984"/>
    </row>
    <row r="101" spans="1:7" s="238" customFormat="1" ht="12.6" thickBot="1" x14ac:dyDescent="0.3">
      <c r="A101" s="323"/>
      <c r="B101" s="327"/>
      <c r="C101" s="321"/>
      <c r="D101" s="321"/>
      <c r="E101" s="1205"/>
      <c r="F101" s="320"/>
      <c r="G101" s="984"/>
    </row>
    <row r="102" spans="1:7" s="238" customFormat="1" ht="28.2" thickBot="1" x14ac:dyDescent="0.3">
      <c r="A102" s="376"/>
      <c r="B102" s="376" t="s">
        <v>384</v>
      </c>
      <c r="C102" s="283">
        <f t="shared" ref="C102:D102" si="0">SUM(C100,C99,C91,C90,C89,C88)</f>
        <v>963158</v>
      </c>
      <c r="D102" s="283">
        <f t="shared" si="0"/>
        <v>1713158</v>
      </c>
      <c r="E102" s="1206">
        <f t="shared" ref="E102" si="1">SUM(E100,E99,E91,E90,E89,E88)</f>
        <v>1713158</v>
      </c>
      <c r="F102" s="350">
        <f>E102/D102</f>
        <v>1</v>
      </c>
      <c r="G102" s="984"/>
    </row>
    <row r="103" spans="1:7" s="238" customFormat="1" ht="12" x14ac:dyDescent="0.25">
      <c r="A103" s="256"/>
      <c r="B103" s="264"/>
      <c r="C103" s="290"/>
      <c r="D103" s="290"/>
      <c r="E103" s="1207"/>
      <c r="F103" s="289"/>
      <c r="G103" s="984"/>
    </row>
    <row r="104" spans="1:7" s="238" customFormat="1" ht="12" x14ac:dyDescent="0.25">
      <c r="A104" s="304">
        <v>1190</v>
      </c>
      <c r="B104" s="326" t="s">
        <v>383</v>
      </c>
      <c r="C104" s="302">
        <f>SUM(C105:C108)</f>
        <v>950000</v>
      </c>
      <c r="D104" s="302">
        <f>SUM(D105:D108)</f>
        <v>950000</v>
      </c>
      <c r="E104" s="1202">
        <f>SUM(E105:E108)</f>
        <v>950000</v>
      </c>
      <c r="F104" s="368">
        <f>E104/D104</f>
        <v>1</v>
      </c>
      <c r="G104" s="984"/>
    </row>
    <row r="105" spans="1:7" s="238" customFormat="1" x14ac:dyDescent="0.25">
      <c r="A105" s="251">
        <v>1191</v>
      </c>
      <c r="B105" s="259" t="s">
        <v>428</v>
      </c>
      <c r="C105" s="287">
        <v>650000</v>
      </c>
      <c r="D105" s="287">
        <v>650000</v>
      </c>
      <c r="E105" s="1203">
        <v>650000</v>
      </c>
      <c r="F105" s="286"/>
      <c r="G105" s="984"/>
    </row>
    <row r="106" spans="1:7" s="238" customFormat="1" x14ac:dyDescent="0.25">
      <c r="A106" s="251">
        <v>1194</v>
      </c>
      <c r="B106" s="259" t="s">
        <v>427</v>
      </c>
      <c r="C106" s="287">
        <v>100000</v>
      </c>
      <c r="D106" s="287">
        <v>100000</v>
      </c>
      <c r="E106" s="1203">
        <v>100000</v>
      </c>
      <c r="F106" s="286"/>
      <c r="G106" s="984"/>
    </row>
    <row r="107" spans="1:7" s="238" customFormat="1" x14ac:dyDescent="0.25">
      <c r="A107" s="251">
        <v>1195</v>
      </c>
      <c r="B107" s="259" t="s">
        <v>426</v>
      </c>
      <c r="C107" s="287">
        <v>200000</v>
      </c>
      <c r="D107" s="287">
        <v>200000</v>
      </c>
      <c r="E107" s="1203">
        <v>200000</v>
      </c>
      <c r="F107" s="370">
        <f>E107/D107</f>
        <v>1</v>
      </c>
      <c r="G107" s="984"/>
    </row>
    <row r="108" spans="1:7" s="238" customFormat="1" ht="12" thickBot="1" x14ac:dyDescent="0.3">
      <c r="A108" s="247"/>
      <c r="B108" s="309"/>
      <c r="C108" s="285"/>
      <c r="D108" s="285"/>
      <c r="E108" s="1208"/>
      <c r="F108" s="284"/>
      <c r="G108" s="984"/>
    </row>
    <row r="109" spans="1:7" s="238" customFormat="1" ht="14.4" thickBot="1" x14ac:dyDescent="0.3">
      <c r="A109" s="376"/>
      <c r="B109" s="376" t="s">
        <v>382</v>
      </c>
      <c r="C109" s="282">
        <f>SUM(C104)</f>
        <v>950000</v>
      </c>
      <c r="D109" s="282">
        <f>SUM(D104)</f>
        <v>950000</v>
      </c>
      <c r="E109" s="1206">
        <f>SUM(E104)</f>
        <v>950000</v>
      </c>
      <c r="F109" s="350">
        <f>E109/D109</f>
        <v>1</v>
      </c>
      <c r="G109" s="984"/>
    </row>
    <row r="110" spans="1:7" s="238" customFormat="1" x14ac:dyDescent="0.25">
      <c r="A110" s="265"/>
      <c r="B110" s="295"/>
      <c r="C110" s="290"/>
      <c r="D110" s="290"/>
      <c r="E110" s="1207"/>
      <c r="F110" s="289"/>
      <c r="G110" s="984"/>
    </row>
    <row r="111" spans="1:7" s="238" customFormat="1" ht="36" x14ac:dyDescent="0.25">
      <c r="A111" s="304">
        <v>1200</v>
      </c>
      <c r="B111" s="324" t="s">
        <v>425</v>
      </c>
      <c r="C111" s="302">
        <f>SUM(C112:C113)</f>
        <v>15000</v>
      </c>
      <c r="D111" s="302">
        <f>SUM(D112:D113)</f>
        <v>15000</v>
      </c>
      <c r="E111" s="1202">
        <f>SUM(E112:E113)</f>
        <v>15000</v>
      </c>
      <c r="F111" s="368">
        <f>E111/D111</f>
        <v>1</v>
      </c>
      <c r="G111" s="984"/>
    </row>
    <row r="112" spans="1:7" s="238" customFormat="1" x14ac:dyDescent="0.25">
      <c r="A112" s="251">
        <v>1201</v>
      </c>
      <c r="B112" s="259" t="s">
        <v>424</v>
      </c>
      <c r="C112" s="287"/>
      <c r="D112" s="287"/>
      <c r="E112" s="1203"/>
      <c r="F112" s="286"/>
      <c r="G112" s="984"/>
    </row>
    <row r="113" spans="1:7" s="238" customFormat="1" x14ac:dyDescent="0.25">
      <c r="A113" s="251">
        <v>1202</v>
      </c>
      <c r="B113" s="259" t="s">
        <v>423</v>
      </c>
      <c r="C113" s="287">
        <v>15000</v>
      </c>
      <c r="D113" s="287">
        <v>15000</v>
      </c>
      <c r="E113" s="1203">
        <v>15000</v>
      </c>
      <c r="F113" s="370">
        <f>E113/D113</f>
        <v>1</v>
      </c>
      <c r="G113" s="984"/>
    </row>
    <row r="114" spans="1:7" s="238" customFormat="1" ht="12" x14ac:dyDescent="0.25">
      <c r="A114" s="304">
        <v>1209</v>
      </c>
      <c r="B114" s="324" t="s">
        <v>264</v>
      </c>
      <c r="C114" s="249"/>
      <c r="D114" s="249"/>
      <c r="E114" s="1204"/>
      <c r="F114" s="267"/>
      <c r="G114" s="984"/>
    </row>
    <row r="115" spans="1:7" s="238" customFormat="1" ht="24" x14ac:dyDescent="0.25">
      <c r="A115" s="304">
        <v>1210</v>
      </c>
      <c r="B115" s="324" t="s">
        <v>318</v>
      </c>
      <c r="C115" s="249"/>
      <c r="D115" s="249"/>
      <c r="E115" s="1204"/>
      <c r="F115" s="267"/>
      <c r="G115" s="984"/>
    </row>
    <row r="116" spans="1:7" s="238" customFormat="1" ht="12" x14ac:dyDescent="0.25">
      <c r="A116" s="304">
        <v>1211</v>
      </c>
      <c r="B116" s="324" t="s">
        <v>380</v>
      </c>
      <c r="C116" s="302"/>
      <c r="D116" s="302"/>
      <c r="E116" s="1202"/>
      <c r="F116" s="301"/>
      <c r="G116" s="984"/>
    </row>
    <row r="117" spans="1:7" s="238" customFormat="1" ht="12.6" thickBot="1" x14ac:dyDescent="0.3">
      <c r="A117" s="323"/>
      <c r="B117" s="322"/>
      <c r="C117" s="321"/>
      <c r="D117" s="321"/>
      <c r="E117" s="1205"/>
      <c r="F117" s="320"/>
      <c r="G117" s="984"/>
    </row>
    <row r="118" spans="1:7" s="238" customFormat="1" ht="28.2" thickBot="1" x14ac:dyDescent="0.3">
      <c r="A118" s="376"/>
      <c r="B118" s="376" t="s">
        <v>379</v>
      </c>
      <c r="C118" s="282">
        <f>SUM(C111+C115+C116+C114)</f>
        <v>15000</v>
      </c>
      <c r="D118" s="282">
        <f>SUM(D111+D115+D116+D114)</f>
        <v>15000</v>
      </c>
      <c r="E118" s="1206">
        <f>SUM(E111+E115+E116+E114)</f>
        <v>15000</v>
      </c>
      <c r="F118" s="350">
        <f>E118/D118</f>
        <v>1</v>
      </c>
      <c r="G118" s="984"/>
    </row>
    <row r="119" spans="1:7" s="238" customFormat="1" ht="12.6" thickBot="1" x14ac:dyDescent="0.3">
      <c r="A119" s="243"/>
      <c r="B119" s="318"/>
      <c r="C119" s="279"/>
      <c r="D119" s="279"/>
      <c r="E119" s="1211"/>
      <c r="F119" s="278"/>
      <c r="G119" s="984"/>
    </row>
    <row r="120" spans="1:7" s="238" customFormat="1" ht="31.8" thickBot="1" x14ac:dyDescent="0.3">
      <c r="A120" s="385"/>
      <c r="B120" s="385" t="s">
        <v>316</v>
      </c>
      <c r="C120" s="282">
        <f>SUM(C102+C109+C118)</f>
        <v>1928158</v>
      </c>
      <c r="D120" s="282">
        <f>SUM(D102+D109+D118)</f>
        <v>2678158</v>
      </c>
      <c r="E120" s="1206">
        <f>SUM(E102+E109+E118)</f>
        <v>2678158</v>
      </c>
      <c r="F120" s="350">
        <f>E120/D120</f>
        <v>1</v>
      </c>
      <c r="G120" s="984"/>
    </row>
    <row r="121" spans="1:7" s="238" customFormat="1" ht="15.6" x14ac:dyDescent="0.25">
      <c r="A121" s="256"/>
      <c r="B121" s="257"/>
      <c r="C121" s="290"/>
      <c r="D121" s="290"/>
      <c r="E121" s="1207"/>
      <c r="F121" s="289"/>
      <c r="G121" s="984"/>
    </row>
    <row r="122" spans="1:7" s="238" customFormat="1" ht="22.8" x14ac:dyDescent="0.25">
      <c r="A122" s="251">
        <v>1215</v>
      </c>
      <c r="B122" s="250" t="s">
        <v>311</v>
      </c>
      <c r="C122" s="287">
        <v>500000</v>
      </c>
      <c r="D122" s="287">
        <v>500000</v>
      </c>
      <c r="E122" s="1203">
        <f>500000+1076934</f>
        <v>1576934</v>
      </c>
      <c r="F122" s="370">
        <f>E122/D122</f>
        <v>3.1538680000000001</v>
      </c>
      <c r="G122" s="984"/>
    </row>
    <row r="123" spans="1:7" s="238" customFormat="1" x14ac:dyDescent="0.25">
      <c r="A123" s="251">
        <v>1216</v>
      </c>
      <c r="B123" s="250" t="s">
        <v>377</v>
      </c>
      <c r="C123" s="287">
        <v>11500000</v>
      </c>
      <c r="D123" s="287">
        <v>11500000</v>
      </c>
      <c r="E123" s="1203">
        <v>11500000</v>
      </c>
      <c r="F123" s="319"/>
      <c r="G123" s="984"/>
    </row>
    <row r="124" spans="1:7" s="238" customFormat="1" x14ac:dyDescent="0.25">
      <c r="A124" s="251">
        <v>1218</v>
      </c>
      <c r="B124" s="250" t="s">
        <v>378</v>
      </c>
      <c r="C124" s="287"/>
      <c r="D124" s="287"/>
      <c r="E124" s="1203"/>
      <c r="F124" s="286"/>
      <c r="G124" s="984"/>
    </row>
    <row r="125" spans="1:7" s="238" customFormat="1" ht="12" thickBot="1" x14ac:dyDescent="0.3">
      <c r="A125" s="247"/>
      <c r="B125" s="246"/>
      <c r="C125" s="285"/>
      <c r="D125" s="285"/>
      <c r="E125" s="1208"/>
      <c r="F125" s="284"/>
      <c r="G125" s="984"/>
    </row>
    <row r="126" spans="1:7" s="238" customFormat="1" ht="28.2" thickBot="1" x14ac:dyDescent="0.3">
      <c r="A126" s="376"/>
      <c r="B126" s="376" t="s">
        <v>411</v>
      </c>
      <c r="C126" s="282">
        <f>SUM(C121:C125)</f>
        <v>12000000</v>
      </c>
      <c r="D126" s="282">
        <f>SUM(D121:D125)</f>
        <v>12000000</v>
      </c>
      <c r="E126" s="1206">
        <f>SUM(E121:E125)</f>
        <v>13076934</v>
      </c>
      <c r="F126" s="350">
        <f>E126/D126</f>
        <v>1.0897444999999999</v>
      </c>
      <c r="G126" s="984"/>
    </row>
    <row r="127" spans="1:7" s="238" customFormat="1" ht="12" x14ac:dyDescent="0.25">
      <c r="A127" s="256"/>
      <c r="B127" s="306"/>
      <c r="C127" s="290"/>
      <c r="D127" s="290"/>
      <c r="E127" s="1207"/>
      <c r="F127" s="289"/>
      <c r="G127" s="984"/>
    </row>
    <row r="128" spans="1:7" s="238" customFormat="1" ht="22.8" x14ac:dyDescent="0.25">
      <c r="A128" s="251">
        <v>1221</v>
      </c>
      <c r="B128" s="250" t="s">
        <v>311</v>
      </c>
      <c r="C128" s="249"/>
      <c r="D128" s="249"/>
      <c r="E128" s="1204">
        <v>604963</v>
      </c>
      <c r="F128" s="370">
        <v>0</v>
      </c>
      <c r="G128" s="984"/>
    </row>
    <row r="129" spans="1:7" s="238" customFormat="1" ht="12" thickBot="1" x14ac:dyDescent="0.3">
      <c r="A129" s="247"/>
      <c r="B129" s="246"/>
      <c r="C129" s="245"/>
      <c r="D129" s="245"/>
      <c r="E129" s="1210"/>
      <c r="F129" s="244"/>
      <c r="G129" s="984"/>
    </row>
    <row r="130" spans="1:7" s="238" customFormat="1" ht="28.2" thickBot="1" x14ac:dyDescent="0.3">
      <c r="A130" s="376"/>
      <c r="B130" s="376" t="s">
        <v>375</v>
      </c>
      <c r="C130" s="282">
        <f>SUM(C128:C129)</f>
        <v>0</v>
      </c>
      <c r="D130" s="282">
        <f>SUM(D128:D129)</f>
        <v>0</v>
      </c>
      <c r="E130" s="1206">
        <f>SUM(E128:E129)</f>
        <v>604963</v>
      </c>
      <c r="F130" s="350">
        <v>0</v>
      </c>
      <c r="G130" s="984"/>
    </row>
    <row r="131" spans="1:7" s="238" customFormat="1" ht="12.6" thickBot="1" x14ac:dyDescent="0.3">
      <c r="A131" s="243"/>
      <c r="B131" s="318"/>
      <c r="C131" s="279"/>
      <c r="D131" s="279"/>
      <c r="E131" s="1211"/>
      <c r="F131" s="317"/>
      <c r="G131" s="984"/>
    </row>
    <row r="132" spans="1:7" s="238" customFormat="1" ht="31.8" thickBot="1" x14ac:dyDescent="0.3">
      <c r="A132" s="384"/>
      <c r="B132" s="384" t="s">
        <v>422</v>
      </c>
      <c r="C132" s="282">
        <f>SUM(C130+C120+C86+C126)</f>
        <v>41315471</v>
      </c>
      <c r="D132" s="282">
        <f>SUM(D130+D120+D86+D126)</f>
        <v>42065471</v>
      </c>
      <c r="E132" s="1206">
        <f>SUM(E130+E120+E86+E126)</f>
        <v>44788178</v>
      </c>
      <c r="F132" s="350">
        <f>E132/D132</f>
        <v>1.0647254609368335</v>
      </c>
      <c r="G132" s="984"/>
    </row>
    <row r="133" spans="1:7" s="238" customFormat="1" ht="12" x14ac:dyDescent="0.25">
      <c r="A133" s="256"/>
      <c r="B133" s="306"/>
      <c r="C133" s="295"/>
      <c r="D133" s="295"/>
      <c r="E133" s="1212"/>
      <c r="F133" s="316"/>
      <c r="G133" s="984"/>
    </row>
    <row r="134" spans="1:7" s="238" customFormat="1" ht="27.6" x14ac:dyDescent="0.25">
      <c r="A134" s="374"/>
      <c r="B134" s="374" t="s">
        <v>421</v>
      </c>
      <c r="C134" s="259"/>
      <c r="D134" s="259"/>
      <c r="E134" s="1213"/>
      <c r="F134" s="315"/>
      <c r="G134" s="984"/>
    </row>
    <row r="135" spans="1:7" s="238" customFormat="1" ht="13.2" x14ac:dyDescent="0.25">
      <c r="A135" s="304"/>
      <c r="B135" s="270"/>
      <c r="C135" s="259"/>
      <c r="D135" s="259"/>
      <c r="E135" s="1213"/>
      <c r="F135" s="296"/>
      <c r="G135" s="984"/>
    </row>
    <row r="136" spans="1:7" s="238" customFormat="1" x14ac:dyDescent="0.25">
      <c r="A136" s="251">
        <v>1230</v>
      </c>
      <c r="B136" s="250" t="s">
        <v>406</v>
      </c>
      <c r="C136" s="259"/>
      <c r="D136" s="259"/>
      <c r="E136" s="1213"/>
      <c r="F136" s="296"/>
      <c r="G136" s="984"/>
    </row>
    <row r="137" spans="1:7" s="238" customFormat="1" ht="22.8" x14ac:dyDescent="0.25">
      <c r="A137" s="251">
        <v>1231</v>
      </c>
      <c r="B137" s="250" t="s">
        <v>405</v>
      </c>
      <c r="C137" s="287"/>
      <c r="D137" s="287"/>
      <c r="E137" s="1203">
        <v>34350</v>
      </c>
      <c r="F137" s="286"/>
      <c r="G137" s="984"/>
    </row>
    <row r="138" spans="1:7" s="238" customFormat="1" ht="12" thickBot="1" x14ac:dyDescent="0.3">
      <c r="A138" s="247"/>
      <c r="B138" s="246"/>
      <c r="C138" s="285"/>
      <c r="D138" s="285"/>
      <c r="E138" s="1208"/>
      <c r="F138" s="284"/>
      <c r="G138" s="984"/>
    </row>
    <row r="139" spans="1:7" s="238" customFormat="1" ht="28.2" thickBot="1" x14ac:dyDescent="0.3">
      <c r="A139" s="377"/>
      <c r="B139" s="377" t="s">
        <v>414</v>
      </c>
      <c r="C139" s="297">
        <f>SUM(C135:C138)</f>
        <v>0</v>
      </c>
      <c r="D139" s="297">
        <f>SUM(D135:D138)</f>
        <v>0</v>
      </c>
      <c r="E139" s="1214">
        <f>SUM(E135:E138)</f>
        <v>34350</v>
      </c>
      <c r="F139" s="350"/>
      <c r="G139" s="984"/>
    </row>
    <row r="140" spans="1:7" s="238" customFormat="1" ht="12" x14ac:dyDescent="0.25">
      <c r="A140" s="256"/>
      <c r="B140" s="306"/>
      <c r="C140" s="255"/>
      <c r="D140" s="255"/>
      <c r="E140" s="1215"/>
      <c r="F140" s="305"/>
      <c r="G140" s="984"/>
    </row>
    <row r="141" spans="1:7" s="238" customFormat="1" ht="13.2" x14ac:dyDescent="0.25">
      <c r="A141" s="304"/>
      <c r="B141" s="314" t="s">
        <v>399</v>
      </c>
      <c r="C141" s="302">
        <f>SUM(C142:C144)</f>
        <v>33000</v>
      </c>
      <c r="D141" s="302">
        <f>SUM(D142:D144)</f>
        <v>33000</v>
      </c>
      <c r="E141" s="1202">
        <f>SUM(E142:E144)</f>
        <v>33000</v>
      </c>
      <c r="F141" s="368">
        <f>E141/D141</f>
        <v>1</v>
      </c>
      <c r="G141" s="984"/>
    </row>
    <row r="142" spans="1:7" s="238" customFormat="1" x14ac:dyDescent="0.25">
      <c r="A142" s="251">
        <v>1205</v>
      </c>
      <c r="B142" s="260" t="s">
        <v>420</v>
      </c>
      <c r="C142" s="249">
        <v>3000</v>
      </c>
      <c r="D142" s="249">
        <v>3000</v>
      </c>
      <c r="E142" s="1204">
        <v>3000</v>
      </c>
      <c r="F142" s="370">
        <f>E142/D142</f>
        <v>1</v>
      </c>
      <c r="G142" s="984"/>
    </row>
    <row r="143" spans="1:7" s="238" customFormat="1" x14ac:dyDescent="0.25">
      <c r="A143" s="251">
        <v>1206</v>
      </c>
      <c r="B143" s="260" t="s">
        <v>419</v>
      </c>
      <c r="C143" s="249">
        <v>30000</v>
      </c>
      <c r="D143" s="249">
        <v>30000</v>
      </c>
      <c r="E143" s="1204">
        <v>30000</v>
      </c>
      <c r="F143" s="370">
        <f>E143/D143</f>
        <v>1</v>
      </c>
      <c r="G143" s="984"/>
    </row>
    <row r="144" spans="1:7" s="238" customFormat="1" ht="12" thickBot="1" x14ac:dyDescent="0.3">
      <c r="A144" s="247"/>
      <c r="B144" s="313"/>
      <c r="C144" s="245"/>
      <c r="D144" s="245"/>
      <c r="E144" s="1210"/>
      <c r="F144" s="266"/>
      <c r="G144" s="984"/>
    </row>
    <row r="145" spans="1:7" s="238" customFormat="1" ht="14.4" thickBot="1" x14ac:dyDescent="0.3">
      <c r="A145" s="377"/>
      <c r="B145" s="377" t="s">
        <v>334</v>
      </c>
      <c r="C145" s="297">
        <f>SUM(C141)</f>
        <v>33000</v>
      </c>
      <c r="D145" s="297">
        <f>SUM(D141)</f>
        <v>33000</v>
      </c>
      <c r="E145" s="1214">
        <f>SUM(E141)</f>
        <v>33000</v>
      </c>
      <c r="F145" s="350">
        <f>E145/D145</f>
        <v>1</v>
      </c>
      <c r="G145" s="984"/>
    </row>
    <row r="146" spans="1:7" s="238" customFormat="1" x14ac:dyDescent="0.25">
      <c r="A146" s="265"/>
      <c r="B146" s="312"/>
      <c r="C146" s="263"/>
      <c r="D146" s="263"/>
      <c r="E146" s="1216"/>
      <c r="F146" s="262"/>
      <c r="G146" s="984"/>
    </row>
    <row r="147" spans="1:7" s="238" customFormat="1" ht="12" x14ac:dyDescent="0.25">
      <c r="A147" s="304">
        <v>1240</v>
      </c>
      <c r="B147" s="303" t="s">
        <v>398</v>
      </c>
      <c r="C147" s="302">
        <f>C148+C149</f>
        <v>10000</v>
      </c>
      <c r="D147" s="302">
        <f>D148+D149</f>
        <v>10000</v>
      </c>
      <c r="E147" s="1202">
        <f>E148+E149</f>
        <v>10000</v>
      </c>
      <c r="F147" s="368">
        <f>E147/D147</f>
        <v>1</v>
      </c>
      <c r="G147" s="984"/>
    </row>
    <row r="148" spans="1:7" s="238" customFormat="1" x14ac:dyDescent="0.25">
      <c r="A148" s="251">
        <v>1241</v>
      </c>
      <c r="B148" s="250" t="s">
        <v>413</v>
      </c>
      <c r="C148" s="287">
        <v>10000</v>
      </c>
      <c r="D148" s="287">
        <v>10000</v>
      </c>
      <c r="E148" s="1203">
        <v>10000</v>
      </c>
      <c r="F148" s="370">
        <f>E148/D148</f>
        <v>1</v>
      </c>
      <c r="G148" s="984"/>
    </row>
    <row r="149" spans="1:7" s="238" customFormat="1" x14ac:dyDescent="0.25">
      <c r="A149" s="251">
        <v>1242</v>
      </c>
      <c r="B149" s="250" t="s">
        <v>412</v>
      </c>
      <c r="C149" s="287"/>
      <c r="D149" s="287"/>
      <c r="E149" s="1203"/>
      <c r="F149" s="286"/>
      <c r="G149" s="984"/>
    </row>
    <row r="150" spans="1:7" s="238" customFormat="1" x14ac:dyDescent="0.25">
      <c r="A150" s="251">
        <v>1250</v>
      </c>
      <c r="B150" s="260" t="s">
        <v>397</v>
      </c>
      <c r="C150" s="287">
        <v>25000</v>
      </c>
      <c r="D150" s="287">
        <v>25000</v>
      </c>
      <c r="E150" s="1203">
        <v>25000</v>
      </c>
      <c r="F150" s="370">
        <f>E150/D150</f>
        <v>1</v>
      </c>
      <c r="G150" s="984"/>
    </row>
    <row r="151" spans="1:7" s="238" customFormat="1" x14ac:dyDescent="0.25">
      <c r="A151" s="251">
        <v>1255</v>
      </c>
      <c r="B151" s="250" t="s">
        <v>395</v>
      </c>
      <c r="C151" s="287"/>
      <c r="D151" s="287"/>
      <c r="E151" s="1203"/>
      <c r="F151" s="286"/>
      <c r="G151" s="984"/>
    </row>
    <row r="152" spans="1:7" s="238" customFormat="1" x14ac:dyDescent="0.25">
      <c r="A152" s="251">
        <v>1260</v>
      </c>
      <c r="B152" s="250" t="s">
        <v>394</v>
      </c>
      <c r="C152" s="288">
        <v>9450</v>
      </c>
      <c r="D152" s="288">
        <v>9450</v>
      </c>
      <c r="E152" s="1203">
        <v>9450</v>
      </c>
      <c r="F152" s="370">
        <f>E152/D152</f>
        <v>1</v>
      </c>
      <c r="G152" s="984"/>
    </row>
    <row r="153" spans="1:7" s="238" customFormat="1" x14ac:dyDescent="0.25">
      <c r="A153" s="251">
        <v>1261</v>
      </c>
      <c r="B153" s="250" t="s">
        <v>393</v>
      </c>
      <c r="C153" s="287"/>
      <c r="D153" s="287"/>
      <c r="E153" s="1203"/>
      <c r="F153" s="286"/>
      <c r="G153" s="984"/>
    </row>
    <row r="154" spans="1:7" s="238" customFormat="1" ht="22.8" x14ac:dyDescent="0.25">
      <c r="A154" s="251">
        <v>1262</v>
      </c>
      <c r="B154" s="259" t="s">
        <v>392</v>
      </c>
      <c r="C154" s="287"/>
      <c r="D154" s="287"/>
      <c r="E154" s="1203"/>
      <c r="F154" s="286"/>
      <c r="G154" s="984"/>
    </row>
    <row r="155" spans="1:7" s="238" customFormat="1" x14ac:dyDescent="0.25">
      <c r="A155" s="251">
        <v>1263</v>
      </c>
      <c r="B155" s="259" t="s">
        <v>324</v>
      </c>
      <c r="C155" s="287"/>
      <c r="D155" s="287"/>
      <c r="E155" s="1203"/>
      <c r="F155" s="286"/>
      <c r="G155" s="984"/>
    </row>
    <row r="156" spans="1:7" s="238" customFormat="1" x14ac:dyDescent="0.25">
      <c r="A156" s="251">
        <v>1270</v>
      </c>
      <c r="B156" s="250" t="s">
        <v>390</v>
      </c>
      <c r="C156" s="287"/>
      <c r="D156" s="287"/>
      <c r="E156" s="1203"/>
      <c r="F156" s="286"/>
      <c r="G156" s="984"/>
    </row>
    <row r="157" spans="1:7" s="238" customFormat="1" ht="12" thickBot="1" x14ac:dyDescent="0.3">
      <c r="A157" s="247"/>
      <c r="B157" s="246"/>
      <c r="C157" s="285"/>
      <c r="D157" s="285"/>
      <c r="E157" s="1208"/>
      <c r="F157" s="284"/>
      <c r="G157" s="984"/>
    </row>
    <row r="158" spans="1:7" s="238" customFormat="1" ht="14.4" thickBot="1" x14ac:dyDescent="0.3">
      <c r="A158" s="376"/>
      <c r="B158" s="376" t="s">
        <v>322</v>
      </c>
      <c r="C158" s="282">
        <f>SUM(C147+C150+C152+C154+C151+C156)+C153+C155</f>
        <v>44450</v>
      </c>
      <c r="D158" s="282">
        <f>SUM(D147+D150+D152+D154+D151+D156)+D153+D155</f>
        <v>44450</v>
      </c>
      <c r="E158" s="1206">
        <f>SUM(E147+E150+E152+E154+E151+E156)+E153+E155</f>
        <v>44450</v>
      </c>
      <c r="F158" s="350">
        <f>E158/D158</f>
        <v>1</v>
      </c>
      <c r="G158" s="984"/>
    </row>
    <row r="159" spans="1:7" s="238" customFormat="1" ht="12" x14ac:dyDescent="0.25">
      <c r="A159" s="256"/>
      <c r="B159" s="291"/>
      <c r="C159" s="295"/>
      <c r="D159" s="295"/>
      <c r="E159" s="1212"/>
      <c r="F159" s="294"/>
      <c r="G159" s="984"/>
    </row>
    <row r="160" spans="1:7" s="238" customFormat="1" x14ac:dyDescent="0.25">
      <c r="A160" s="251">
        <v>1280</v>
      </c>
      <c r="B160" s="250" t="s">
        <v>321</v>
      </c>
      <c r="C160" s="259"/>
      <c r="D160" s="259"/>
      <c r="E160" s="1213"/>
      <c r="F160" s="296"/>
      <c r="G160" s="984"/>
    </row>
    <row r="161" spans="1:14" s="238" customFormat="1" ht="12" thickBot="1" x14ac:dyDescent="0.3">
      <c r="A161" s="247"/>
      <c r="B161" s="246"/>
      <c r="C161" s="309"/>
      <c r="D161" s="309"/>
      <c r="E161" s="1217"/>
      <c r="F161" s="311"/>
      <c r="G161" s="984"/>
    </row>
    <row r="162" spans="1:14" s="980" customFormat="1" ht="28.2" thickBot="1" x14ac:dyDescent="0.3">
      <c r="A162" s="376"/>
      <c r="B162" s="376" t="s">
        <v>389</v>
      </c>
      <c r="C162" s="310">
        <f>SUM(C159:C161)</f>
        <v>0</v>
      </c>
      <c r="D162" s="310">
        <f>SUM(D159:D161)</f>
        <v>0</v>
      </c>
      <c r="E162" s="1218">
        <f>SUM(E159:E161)</f>
        <v>0</v>
      </c>
      <c r="F162" s="350"/>
      <c r="G162" s="984"/>
      <c r="H162" s="238"/>
      <c r="I162" s="238"/>
      <c r="J162" s="238"/>
      <c r="K162" s="238"/>
      <c r="L162" s="238"/>
      <c r="M162" s="238"/>
      <c r="N162" s="238"/>
    </row>
    <row r="163" spans="1:14" s="238" customFormat="1" ht="14.4" thickBot="1" x14ac:dyDescent="0.3">
      <c r="A163" s="243"/>
      <c r="B163" s="300"/>
      <c r="C163" s="299"/>
      <c r="D163" s="299"/>
      <c r="E163" s="1219"/>
      <c r="F163" s="298"/>
      <c r="G163" s="984"/>
    </row>
    <row r="164" spans="1:14" s="238" customFormat="1" ht="31.8" thickBot="1" x14ac:dyDescent="0.3">
      <c r="A164" s="385"/>
      <c r="B164" s="385" t="s">
        <v>320</v>
      </c>
      <c r="C164" s="297">
        <f>SUM(C158+C162+C139+C145)</f>
        <v>77450</v>
      </c>
      <c r="D164" s="297">
        <f>SUM(D158+D162+D139+D145)</f>
        <v>77450</v>
      </c>
      <c r="E164" s="1214">
        <f>SUM(E158+E162+E139+E145)</f>
        <v>111800</v>
      </c>
      <c r="F164" s="350">
        <f>E164/D164</f>
        <v>1.4435119431891543</v>
      </c>
      <c r="G164" s="984"/>
    </row>
    <row r="165" spans="1:14" s="238" customFormat="1" ht="13.8" x14ac:dyDescent="0.25">
      <c r="A165" s="256"/>
      <c r="B165" s="293"/>
      <c r="C165" s="295"/>
      <c r="D165" s="295"/>
      <c r="E165" s="1212"/>
      <c r="F165" s="294"/>
      <c r="G165" s="984"/>
    </row>
    <row r="166" spans="1:14" s="238" customFormat="1" x14ac:dyDescent="0.25">
      <c r="A166" s="251">
        <v>1285</v>
      </c>
      <c r="B166" s="250" t="s">
        <v>388</v>
      </c>
      <c r="C166" s="259"/>
      <c r="D166" s="259"/>
      <c r="E166" s="1213"/>
      <c r="F166" s="296"/>
      <c r="G166" s="984"/>
    </row>
    <row r="167" spans="1:14" s="238" customFormat="1" x14ac:dyDescent="0.25">
      <c r="A167" s="251">
        <v>1286</v>
      </c>
      <c r="B167" s="250" t="s">
        <v>418</v>
      </c>
      <c r="C167" s="259"/>
      <c r="D167" s="259"/>
      <c r="E167" s="1213"/>
      <c r="F167" s="296"/>
      <c r="G167" s="984"/>
    </row>
    <row r="168" spans="1:14" s="238" customFormat="1" ht="12" thickBot="1" x14ac:dyDescent="0.3">
      <c r="A168" s="247"/>
      <c r="B168" s="246"/>
      <c r="C168" s="309"/>
      <c r="D168" s="309"/>
      <c r="E168" s="1217"/>
      <c r="F168" s="311"/>
      <c r="G168" s="984"/>
    </row>
    <row r="169" spans="1:14" s="238" customFormat="1" ht="28.2" thickBot="1" x14ac:dyDescent="0.3">
      <c r="A169" s="376"/>
      <c r="B169" s="376" t="s">
        <v>384</v>
      </c>
      <c r="C169" s="310">
        <f>SUM(C165:C168)</f>
        <v>0</v>
      </c>
      <c r="D169" s="310">
        <f>SUM(D165:D168)</f>
        <v>0</v>
      </c>
      <c r="E169" s="1218">
        <f>SUM(E165:E168)</f>
        <v>0</v>
      </c>
      <c r="F169" s="350"/>
      <c r="G169" s="984"/>
    </row>
    <row r="170" spans="1:14" s="238" customFormat="1" ht="13.8" x14ac:dyDescent="0.25">
      <c r="A170" s="256"/>
      <c r="B170" s="293"/>
      <c r="C170" s="295"/>
      <c r="D170" s="295"/>
      <c r="E170" s="1212"/>
      <c r="F170" s="294"/>
      <c r="G170" s="984"/>
    </row>
    <row r="171" spans="1:14" s="238" customFormat="1" x14ac:dyDescent="0.25">
      <c r="A171" s="251">
        <v>1290</v>
      </c>
      <c r="B171" s="250" t="s">
        <v>317</v>
      </c>
      <c r="C171" s="287"/>
      <c r="D171" s="287"/>
      <c r="E171" s="1203"/>
      <c r="F171" s="286"/>
      <c r="G171" s="984"/>
    </row>
    <row r="172" spans="1:14" s="238" customFormat="1" ht="12" thickBot="1" x14ac:dyDescent="0.3">
      <c r="A172" s="247"/>
      <c r="B172" s="246"/>
      <c r="C172" s="285"/>
      <c r="D172" s="285"/>
      <c r="E172" s="1208"/>
      <c r="F172" s="284"/>
      <c r="G172" s="984"/>
    </row>
    <row r="173" spans="1:14" s="238" customFormat="1" ht="14.4" thickBot="1" x14ac:dyDescent="0.3">
      <c r="A173" s="376"/>
      <c r="B173" s="376" t="s">
        <v>382</v>
      </c>
      <c r="C173" s="282">
        <f>SUM(C170:C172)</f>
        <v>0</v>
      </c>
      <c r="D173" s="282">
        <f>SUM(D170:D172)</f>
        <v>0</v>
      </c>
      <c r="E173" s="1206">
        <f>SUM(E170:E172)</f>
        <v>0</v>
      </c>
      <c r="F173" s="350"/>
      <c r="G173" s="984"/>
    </row>
    <row r="174" spans="1:14" s="238" customFormat="1" ht="13.8" x14ac:dyDescent="0.25">
      <c r="A174" s="256"/>
      <c r="B174" s="293"/>
      <c r="C174" s="295"/>
      <c r="D174" s="295"/>
      <c r="E174" s="1212"/>
      <c r="F174" s="294"/>
      <c r="G174" s="984"/>
    </row>
    <row r="175" spans="1:14" s="238" customFormat="1" x14ac:dyDescent="0.25">
      <c r="A175" s="981"/>
      <c r="B175" s="982"/>
      <c r="C175" s="259"/>
      <c r="D175" s="259"/>
      <c r="E175" s="1213"/>
      <c r="F175" s="296"/>
      <c r="G175" s="984"/>
    </row>
    <row r="176" spans="1:14" s="238" customFormat="1" ht="39.6" x14ac:dyDescent="0.25">
      <c r="A176" s="373"/>
      <c r="B176" s="373" t="s">
        <v>417</v>
      </c>
      <c r="C176" s="287">
        <v>2000</v>
      </c>
      <c r="D176" s="287">
        <v>2000</v>
      </c>
      <c r="E176" s="1203">
        <v>2000</v>
      </c>
      <c r="F176" s="370">
        <f>E176/D176</f>
        <v>1</v>
      </c>
      <c r="G176" s="984"/>
    </row>
    <row r="177" spans="1:14" s="238" customFormat="1" ht="12" thickBot="1" x14ac:dyDescent="0.3">
      <c r="A177" s="247"/>
      <c r="B177" s="309"/>
      <c r="C177" s="285"/>
      <c r="D177" s="285"/>
      <c r="E177" s="1208"/>
      <c r="F177" s="284"/>
      <c r="G177" s="984"/>
    </row>
    <row r="178" spans="1:14" s="238" customFormat="1" ht="28.2" thickBot="1" x14ac:dyDescent="0.3">
      <c r="A178" s="376"/>
      <c r="B178" s="376" t="s">
        <v>379</v>
      </c>
      <c r="C178" s="282">
        <f>SUM(C176)</f>
        <v>2000</v>
      </c>
      <c r="D178" s="282">
        <f>SUM(D176)</f>
        <v>2000</v>
      </c>
      <c r="E178" s="1206">
        <f>SUM(E176)</f>
        <v>2000</v>
      </c>
      <c r="F178" s="350">
        <f>E178/D178</f>
        <v>1</v>
      </c>
      <c r="G178" s="984"/>
    </row>
    <row r="179" spans="1:14" s="238" customFormat="1" ht="13.8" x14ac:dyDescent="0.25">
      <c r="A179" s="256"/>
      <c r="B179" s="293"/>
      <c r="C179" s="290"/>
      <c r="D179" s="290"/>
      <c r="E179" s="1207"/>
      <c r="F179" s="289"/>
      <c r="G179" s="984"/>
    </row>
    <row r="180" spans="1:14" s="238" customFormat="1" ht="22.8" x14ac:dyDescent="0.25">
      <c r="A180" s="251">
        <v>1292</v>
      </c>
      <c r="B180" s="250" t="s">
        <v>311</v>
      </c>
      <c r="C180" s="287">
        <v>50000</v>
      </c>
      <c r="D180" s="287">
        <v>50000</v>
      </c>
      <c r="E180" s="1203">
        <f>50000+151032</f>
        <v>201032</v>
      </c>
      <c r="F180" s="286"/>
      <c r="G180" s="984"/>
    </row>
    <row r="181" spans="1:14" s="238" customFormat="1" x14ac:dyDescent="0.25">
      <c r="A181" s="251">
        <v>1293</v>
      </c>
      <c r="B181" s="250" t="s">
        <v>314</v>
      </c>
      <c r="C181" s="287">
        <v>4865947</v>
      </c>
      <c r="D181" s="287">
        <v>4865947</v>
      </c>
      <c r="E181" s="1203">
        <f>4865947+149020</f>
        <v>5014967</v>
      </c>
      <c r="F181" s="286"/>
      <c r="G181" s="984"/>
    </row>
    <row r="182" spans="1:14" s="238" customFormat="1" ht="12" thickBot="1" x14ac:dyDescent="0.3">
      <c r="A182" s="247"/>
      <c r="B182" s="246"/>
      <c r="C182" s="285"/>
      <c r="D182" s="285"/>
      <c r="E182" s="1208"/>
      <c r="F182" s="284"/>
      <c r="G182" s="984"/>
    </row>
    <row r="183" spans="1:14" s="238" customFormat="1" ht="28.2" thickBot="1" x14ac:dyDescent="0.3">
      <c r="A183" s="376"/>
      <c r="B183" s="376" t="s">
        <v>411</v>
      </c>
      <c r="C183" s="282">
        <f>SUM(C179:C182)</f>
        <v>4915947</v>
      </c>
      <c r="D183" s="282">
        <f>SUM(D179:D182)</f>
        <v>4915947</v>
      </c>
      <c r="E183" s="1206">
        <f>SUM(E179:E182)</f>
        <v>5215999</v>
      </c>
      <c r="F183" s="350">
        <f>E183/D183</f>
        <v>1.0610364595061745</v>
      </c>
      <c r="G183" s="984"/>
    </row>
    <row r="184" spans="1:14" s="238" customFormat="1" ht="12" x14ac:dyDescent="0.25">
      <c r="A184" s="256"/>
      <c r="B184" s="291"/>
      <c r="C184" s="290"/>
      <c r="D184" s="290"/>
      <c r="E184" s="1207"/>
      <c r="F184" s="289"/>
      <c r="G184" s="984"/>
    </row>
    <row r="185" spans="1:14" s="238" customFormat="1" ht="22.8" x14ac:dyDescent="0.25">
      <c r="A185" s="251">
        <v>1294</v>
      </c>
      <c r="B185" s="250" t="s">
        <v>311</v>
      </c>
      <c r="C185" s="287"/>
      <c r="D185" s="287"/>
      <c r="E185" s="1203">
        <v>46504</v>
      </c>
      <c r="F185" s="286"/>
      <c r="G185" s="984"/>
    </row>
    <row r="186" spans="1:14" s="238" customFormat="1" ht="12" thickBot="1" x14ac:dyDescent="0.3">
      <c r="A186" s="247"/>
      <c r="B186" s="246"/>
      <c r="C186" s="285"/>
      <c r="D186" s="285"/>
      <c r="E186" s="1208"/>
      <c r="F186" s="284"/>
      <c r="G186" s="984"/>
    </row>
    <row r="187" spans="1:14" s="238" customFormat="1" ht="28.2" thickBot="1" x14ac:dyDescent="0.3">
      <c r="A187" s="376"/>
      <c r="B187" s="376" t="s">
        <v>375</v>
      </c>
      <c r="C187" s="282">
        <f>C185</f>
        <v>0</v>
      </c>
      <c r="D187" s="282">
        <f>D185</f>
        <v>0</v>
      </c>
      <c r="E187" s="1206">
        <f>E185</f>
        <v>46504</v>
      </c>
      <c r="F187" s="350"/>
      <c r="G187" s="984"/>
    </row>
    <row r="188" spans="1:14" s="238" customFormat="1" ht="12.6" thickBot="1" x14ac:dyDescent="0.3">
      <c r="A188" s="243"/>
      <c r="B188" s="280"/>
      <c r="C188" s="279"/>
      <c r="D188" s="279"/>
      <c r="E188" s="1211"/>
      <c r="F188" s="278"/>
      <c r="G188" s="984"/>
    </row>
    <row r="189" spans="1:14" s="238" customFormat="1" ht="31.8" thickBot="1" x14ac:dyDescent="0.3">
      <c r="A189" s="384"/>
      <c r="B189" s="384" t="s">
        <v>416</v>
      </c>
      <c r="C189" s="282">
        <f>SUM(C187+C183+C164+C173+C178)</f>
        <v>4995397</v>
      </c>
      <c r="D189" s="282">
        <f>SUM(D187+D183+D164+D173+D178)</f>
        <v>4995397</v>
      </c>
      <c r="E189" s="1206">
        <f>SUM(E187+E183+E164+E173+E178)</f>
        <v>5376303</v>
      </c>
      <c r="F189" s="350">
        <f>E189/D189</f>
        <v>1.0762513970361114</v>
      </c>
      <c r="G189" s="984"/>
    </row>
    <row r="190" spans="1:14" s="238" customFormat="1" ht="15.6" x14ac:dyDescent="0.25">
      <c r="A190" s="256"/>
      <c r="B190" s="308"/>
      <c r="C190" s="255"/>
      <c r="D190" s="255"/>
      <c r="E190" s="1215"/>
      <c r="F190" s="305"/>
      <c r="G190" s="984"/>
    </row>
    <row r="191" spans="1:14" s="276" customFormat="1" ht="13.8" x14ac:dyDescent="0.25">
      <c r="A191" s="374"/>
      <c r="B191" s="374" t="s">
        <v>415</v>
      </c>
      <c r="C191" s="302"/>
      <c r="D191" s="302"/>
      <c r="E191" s="1202"/>
      <c r="F191" s="301"/>
      <c r="G191" s="984"/>
      <c r="H191" s="238"/>
      <c r="I191" s="238"/>
      <c r="J191" s="238"/>
      <c r="K191" s="238"/>
      <c r="L191" s="238"/>
      <c r="M191" s="238"/>
      <c r="N191" s="238"/>
    </row>
    <row r="192" spans="1:14" s="276" customFormat="1" ht="15.6" x14ac:dyDescent="0.25">
      <c r="A192" s="304"/>
      <c r="B192" s="307"/>
      <c r="C192" s="302"/>
      <c r="D192" s="302"/>
      <c r="E192" s="1202"/>
      <c r="F192" s="301"/>
      <c r="G192" s="984"/>
      <c r="H192" s="238"/>
      <c r="I192" s="238"/>
      <c r="J192" s="238"/>
      <c r="K192" s="238"/>
      <c r="L192" s="238"/>
      <c r="M192" s="238"/>
      <c r="N192" s="238"/>
    </row>
    <row r="193" spans="1:14" s="276" customFormat="1" ht="12" x14ac:dyDescent="0.25">
      <c r="A193" s="251">
        <v>1400</v>
      </c>
      <c r="B193" s="250" t="s">
        <v>406</v>
      </c>
      <c r="C193" s="287">
        <f>SUM('2.mell'!C733)</f>
        <v>0</v>
      </c>
      <c r="D193" s="287">
        <f>SUM('2.mell'!D733)</f>
        <v>0</v>
      </c>
      <c r="E193" s="1203">
        <f>SUM('2.mell'!E733)</f>
        <v>0</v>
      </c>
      <c r="F193" s="296"/>
      <c r="G193" s="984"/>
      <c r="H193" s="238"/>
      <c r="I193" s="238"/>
      <c r="J193" s="238"/>
      <c r="K193" s="238"/>
      <c r="L193" s="238"/>
      <c r="M193" s="238"/>
      <c r="N193" s="238"/>
    </row>
    <row r="194" spans="1:14" s="276" customFormat="1" ht="22.8" x14ac:dyDescent="0.25">
      <c r="A194" s="251">
        <v>1401</v>
      </c>
      <c r="B194" s="250" t="s">
        <v>405</v>
      </c>
      <c r="C194" s="287">
        <f>SUM('2.mell'!C734)</f>
        <v>2535412</v>
      </c>
      <c r="D194" s="287">
        <f>SUM('2.mell'!D734)</f>
        <v>2535412</v>
      </c>
      <c r="E194" s="1203">
        <f>SUM('2.mell'!E734)</f>
        <v>2535412</v>
      </c>
      <c r="F194" s="370">
        <f>E194/D194</f>
        <v>1</v>
      </c>
      <c r="G194" s="984"/>
      <c r="H194" s="238"/>
      <c r="I194" s="238"/>
      <c r="J194" s="238"/>
      <c r="K194" s="238"/>
      <c r="L194" s="238"/>
      <c r="M194" s="238"/>
      <c r="N194" s="238"/>
    </row>
    <row r="195" spans="1:14" s="276" customFormat="1" ht="12.6" thickBot="1" x14ac:dyDescent="0.3">
      <c r="A195" s="247"/>
      <c r="B195" s="246"/>
      <c r="C195" s="285"/>
      <c r="D195" s="285"/>
      <c r="E195" s="1208"/>
      <c r="F195" s="284"/>
      <c r="G195" s="984"/>
      <c r="H195" s="238"/>
      <c r="I195" s="238"/>
      <c r="J195" s="238"/>
      <c r="K195" s="238"/>
      <c r="L195" s="238"/>
      <c r="M195" s="238"/>
      <c r="N195" s="238"/>
    </row>
    <row r="196" spans="1:14" s="238" customFormat="1" ht="28.2" thickBot="1" x14ac:dyDescent="0.3">
      <c r="A196" s="376"/>
      <c r="B196" s="376" t="s">
        <v>414</v>
      </c>
      <c r="C196" s="282">
        <f>SUM(C192:C195)</f>
        <v>2535412</v>
      </c>
      <c r="D196" s="282">
        <f>SUM(D192:D195)</f>
        <v>2535412</v>
      </c>
      <c r="E196" s="1206">
        <f>SUM(E192:E195)</f>
        <v>2535412</v>
      </c>
      <c r="F196" s="350">
        <f>E196/D196</f>
        <v>1</v>
      </c>
      <c r="G196" s="984"/>
    </row>
    <row r="197" spans="1:14" s="276" customFormat="1" ht="12" x14ac:dyDescent="0.25">
      <c r="A197" s="256"/>
      <c r="B197" s="306"/>
      <c r="C197" s="255"/>
      <c r="D197" s="255"/>
      <c r="E197" s="1215"/>
      <c r="F197" s="305"/>
      <c r="G197" s="984"/>
      <c r="H197" s="238"/>
      <c r="I197" s="238"/>
      <c r="J197" s="238"/>
      <c r="K197" s="238"/>
      <c r="L197" s="238"/>
      <c r="M197" s="238"/>
      <c r="N197" s="238"/>
    </row>
    <row r="198" spans="1:14" s="276" customFormat="1" ht="12" x14ac:dyDescent="0.25">
      <c r="A198" s="251">
        <v>1409</v>
      </c>
      <c r="B198" s="250" t="s">
        <v>342</v>
      </c>
      <c r="C198" s="249">
        <f>SUM('2.mell'!C739)</f>
        <v>200</v>
      </c>
      <c r="D198" s="249">
        <f>SUM('2.mell'!D739)</f>
        <v>200</v>
      </c>
      <c r="E198" s="1204">
        <f>SUM('2.mell'!E739)</f>
        <v>200</v>
      </c>
      <c r="F198" s="267">
        <v>0</v>
      </c>
      <c r="G198" s="984"/>
      <c r="H198" s="238"/>
      <c r="I198" s="238"/>
      <c r="J198" s="238"/>
      <c r="K198" s="238"/>
      <c r="L198" s="238"/>
      <c r="M198" s="238"/>
      <c r="N198" s="238"/>
    </row>
    <row r="199" spans="1:14" s="276" customFormat="1" ht="12" x14ac:dyDescent="0.25">
      <c r="A199" s="304">
        <v>1410</v>
      </c>
      <c r="B199" s="303" t="s">
        <v>398</v>
      </c>
      <c r="C199" s="302">
        <f>SUM(C200:C201)</f>
        <v>217350</v>
      </c>
      <c r="D199" s="302">
        <f>SUM(D200:D201)</f>
        <v>220421</v>
      </c>
      <c r="E199" s="1202">
        <f>SUM(E200:E201)</f>
        <v>216821</v>
      </c>
      <c r="F199" s="368">
        <f t="shared" ref="F199:F205" si="2">E199/D199</f>
        <v>0.98366761787669954</v>
      </c>
      <c r="G199" s="984"/>
      <c r="H199" s="238"/>
      <c r="I199" s="238"/>
      <c r="J199" s="238"/>
      <c r="K199" s="238"/>
      <c r="L199" s="238"/>
      <c r="M199" s="238"/>
      <c r="N199" s="238"/>
    </row>
    <row r="200" spans="1:14" s="276" customFormat="1" ht="12" x14ac:dyDescent="0.25">
      <c r="A200" s="251">
        <v>1411</v>
      </c>
      <c r="B200" s="250" t="s">
        <v>413</v>
      </c>
      <c r="C200" s="287">
        <f>SUM('2.mell'!C741)</f>
        <v>111777</v>
      </c>
      <c r="D200" s="287">
        <f>SUM('2.mell'!D741)</f>
        <v>114848</v>
      </c>
      <c r="E200" s="1203">
        <f>SUM('2.mell'!E741)</f>
        <v>111248</v>
      </c>
      <c r="F200" s="370">
        <f t="shared" si="2"/>
        <v>0.96865422123154077</v>
      </c>
      <c r="G200" s="984"/>
      <c r="H200" s="238"/>
      <c r="I200" s="238"/>
      <c r="J200" s="238"/>
      <c r="K200" s="238"/>
      <c r="L200" s="238"/>
      <c r="M200" s="238"/>
      <c r="N200" s="238"/>
    </row>
    <row r="201" spans="1:14" s="276" customFormat="1" ht="12" x14ac:dyDescent="0.25">
      <c r="A201" s="251">
        <v>1412</v>
      </c>
      <c r="B201" s="250" t="s">
        <v>412</v>
      </c>
      <c r="C201" s="287">
        <f>SUM('2.mell'!C742)</f>
        <v>105573</v>
      </c>
      <c r="D201" s="287">
        <f>SUM('2.mell'!D742)</f>
        <v>105573</v>
      </c>
      <c r="E201" s="1203">
        <f>SUM('2.mell'!E742)</f>
        <v>105573</v>
      </c>
      <c r="F201" s="370">
        <f t="shared" si="2"/>
        <v>1</v>
      </c>
      <c r="G201" s="984"/>
      <c r="H201" s="238"/>
      <c r="I201" s="238"/>
      <c r="J201" s="238"/>
      <c r="K201" s="238"/>
      <c r="L201" s="238"/>
      <c r="M201" s="238"/>
      <c r="N201" s="238"/>
    </row>
    <row r="202" spans="1:14" s="276" customFormat="1" ht="12" x14ac:dyDescent="0.25">
      <c r="A202" s="251">
        <v>1420</v>
      </c>
      <c r="B202" s="260" t="s">
        <v>397</v>
      </c>
      <c r="C202" s="287">
        <f>SUM('2.mell'!C743)</f>
        <v>25200</v>
      </c>
      <c r="D202" s="287">
        <f>SUM('2.mell'!D743)</f>
        <v>23728</v>
      </c>
      <c r="E202" s="1203">
        <f>SUM('2.mell'!E743)</f>
        <v>23728</v>
      </c>
      <c r="F202" s="370">
        <f t="shared" si="2"/>
        <v>1</v>
      </c>
      <c r="G202" s="984"/>
      <c r="H202" s="238"/>
      <c r="I202" s="238"/>
      <c r="J202" s="238"/>
      <c r="K202" s="238"/>
      <c r="L202" s="238"/>
      <c r="M202" s="238"/>
      <c r="N202" s="238"/>
    </row>
    <row r="203" spans="1:14" s="276" customFormat="1" ht="12" x14ac:dyDescent="0.25">
      <c r="A203" s="251">
        <v>1421</v>
      </c>
      <c r="B203" s="250" t="s">
        <v>395</v>
      </c>
      <c r="C203" s="287">
        <f>SUM('2.mell'!C744)</f>
        <v>288465</v>
      </c>
      <c r="D203" s="287">
        <f>SUM('2.mell'!D744)</f>
        <v>288465</v>
      </c>
      <c r="E203" s="1203">
        <f>SUM('2.mell'!E744)</f>
        <v>292065</v>
      </c>
      <c r="F203" s="370">
        <f t="shared" si="2"/>
        <v>1.0124798502417971</v>
      </c>
      <c r="G203" s="984"/>
      <c r="H203" s="238"/>
      <c r="I203" s="238"/>
      <c r="J203" s="238"/>
      <c r="K203" s="238"/>
      <c r="L203" s="238"/>
      <c r="M203" s="238"/>
      <c r="N203" s="238"/>
    </row>
    <row r="204" spans="1:14" s="276" customFormat="1" ht="12" x14ac:dyDescent="0.25">
      <c r="A204" s="251">
        <v>1422</v>
      </c>
      <c r="B204" s="250" t="s">
        <v>394</v>
      </c>
      <c r="C204" s="287">
        <f>SUM('2.mell'!C745)</f>
        <v>121272</v>
      </c>
      <c r="D204" s="287">
        <f>SUM('2.mell'!D745)</f>
        <v>121704</v>
      </c>
      <c r="E204" s="1203">
        <f>SUM('2.mell'!E745)</f>
        <v>121704</v>
      </c>
      <c r="F204" s="370">
        <f t="shared" si="2"/>
        <v>1</v>
      </c>
      <c r="G204" s="984"/>
      <c r="H204" s="238"/>
      <c r="I204" s="238"/>
      <c r="J204" s="238"/>
      <c r="K204" s="238"/>
      <c r="L204" s="238"/>
      <c r="M204" s="238"/>
      <c r="N204" s="238"/>
    </row>
    <row r="205" spans="1:14" s="276" customFormat="1" ht="12" x14ac:dyDescent="0.25">
      <c r="A205" s="251">
        <v>1423</v>
      </c>
      <c r="B205" s="250" t="s">
        <v>393</v>
      </c>
      <c r="C205" s="287">
        <f>SUM('2.mell'!C746)</f>
        <v>73000</v>
      </c>
      <c r="D205" s="287">
        <f>SUM('2.mell'!D746)</f>
        <v>73000</v>
      </c>
      <c r="E205" s="1203">
        <f>SUM('2.mell'!E746)</f>
        <v>73000</v>
      </c>
      <c r="F205" s="370">
        <f t="shared" si="2"/>
        <v>1</v>
      </c>
      <c r="G205" s="984"/>
      <c r="H205" s="238"/>
      <c r="I205" s="238"/>
      <c r="J205" s="238"/>
      <c r="K205" s="238"/>
      <c r="L205" s="238"/>
      <c r="M205" s="238"/>
      <c r="N205" s="238"/>
    </row>
    <row r="206" spans="1:14" s="276" customFormat="1" ht="22.8" x14ac:dyDescent="0.25">
      <c r="A206" s="251">
        <v>1424</v>
      </c>
      <c r="B206" s="259" t="s">
        <v>392</v>
      </c>
      <c r="C206" s="287">
        <f>SUM('2.mell'!C747)</f>
        <v>0</v>
      </c>
      <c r="D206" s="287">
        <f>SUM('2.mell'!D747)</f>
        <v>0</v>
      </c>
      <c r="E206" s="1203">
        <f>SUM('2.mell'!E747)</f>
        <v>0</v>
      </c>
      <c r="F206" s="286"/>
      <c r="G206" s="984"/>
      <c r="H206" s="238"/>
      <c r="I206" s="238"/>
      <c r="J206" s="238"/>
      <c r="K206" s="238"/>
      <c r="L206" s="238"/>
      <c r="M206" s="238"/>
      <c r="N206" s="238"/>
    </row>
    <row r="207" spans="1:14" s="276" customFormat="1" ht="12" x14ac:dyDescent="0.25">
      <c r="A207" s="251">
        <v>1426</v>
      </c>
      <c r="B207" s="259" t="s">
        <v>391</v>
      </c>
      <c r="C207" s="287">
        <f>SUM('2.mell'!C748)</f>
        <v>0</v>
      </c>
      <c r="D207" s="287">
        <f>SUM('2.mell'!D748)</f>
        <v>0</v>
      </c>
      <c r="E207" s="1203">
        <f>SUM('2.mell'!E748)</f>
        <v>0</v>
      </c>
      <c r="F207" s="286"/>
      <c r="G207" s="984"/>
      <c r="H207" s="238"/>
      <c r="I207" s="238"/>
      <c r="J207" s="238"/>
      <c r="K207" s="238"/>
      <c r="L207" s="238"/>
      <c r="M207" s="238"/>
      <c r="N207" s="238"/>
    </row>
    <row r="208" spans="1:14" s="276" customFormat="1" ht="12" x14ac:dyDescent="0.25">
      <c r="A208" s="251">
        <v>1425</v>
      </c>
      <c r="B208" s="250" t="s">
        <v>390</v>
      </c>
      <c r="C208" s="287">
        <f>SUM('2.mell'!C749)</f>
        <v>29925</v>
      </c>
      <c r="D208" s="287">
        <f>SUM('2.mell'!D749)</f>
        <v>29925</v>
      </c>
      <c r="E208" s="1203">
        <f>SUM('2.mell'!E749)</f>
        <v>29925</v>
      </c>
      <c r="F208" s="370">
        <f>E208/D208</f>
        <v>1</v>
      </c>
      <c r="G208" s="984"/>
      <c r="H208" s="238"/>
      <c r="I208" s="238"/>
      <c r="J208" s="238"/>
      <c r="K208" s="238"/>
      <c r="L208" s="238"/>
      <c r="M208" s="238"/>
      <c r="N208" s="238"/>
    </row>
    <row r="209" spans="1:14" s="276" customFormat="1" ht="12.6" thickBot="1" x14ac:dyDescent="0.3">
      <c r="A209" s="247"/>
      <c r="B209" s="246"/>
      <c r="C209" s="285"/>
      <c r="D209" s="285"/>
      <c r="E209" s="1208"/>
      <c r="F209" s="284"/>
      <c r="G209" s="984"/>
      <c r="H209" s="238"/>
      <c r="I209" s="238"/>
      <c r="J209" s="238"/>
      <c r="K209" s="238"/>
      <c r="L209" s="238"/>
      <c r="M209" s="238"/>
      <c r="N209" s="238"/>
    </row>
    <row r="210" spans="1:14" s="276" customFormat="1" ht="14.4" thickBot="1" x14ac:dyDescent="0.3">
      <c r="A210" s="376"/>
      <c r="B210" s="376" t="s">
        <v>322</v>
      </c>
      <c r="C210" s="282">
        <f>SUM(C199+C202+C204+C203+C208+C205+C198+C206)+C207</f>
        <v>755412</v>
      </c>
      <c r="D210" s="282">
        <f>SUM(D199+D202+D204+D203+D208+D205+D198+D206)+D207</f>
        <v>757443</v>
      </c>
      <c r="E210" s="1206">
        <f>SUM(E199+E202+E204+E203+E208+E205+E198+E206)+E207</f>
        <v>757443</v>
      </c>
      <c r="F210" s="350">
        <f>E210/D210</f>
        <v>1</v>
      </c>
      <c r="G210" s="984"/>
      <c r="H210" s="238"/>
      <c r="I210" s="238"/>
      <c r="J210" s="238"/>
      <c r="K210" s="238"/>
      <c r="L210" s="238"/>
      <c r="M210" s="238"/>
      <c r="N210" s="238"/>
    </row>
    <row r="211" spans="1:14" s="276" customFormat="1" ht="12" x14ac:dyDescent="0.25">
      <c r="A211" s="256"/>
      <c r="B211" s="291"/>
      <c r="C211" s="295"/>
      <c r="D211" s="295"/>
      <c r="E211" s="1212"/>
      <c r="F211" s="294"/>
      <c r="G211" s="984"/>
      <c r="H211" s="238"/>
      <c r="I211" s="238"/>
      <c r="J211" s="238"/>
      <c r="K211" s="238"/>
      <c r="L211" s="238"/>
      <c r="M211" s="238"/>
      <c r="N211" s="238"/>
    </row>
    <row r="212" spans="1:14" s="276" customFormat="1" ht="12" x14ac:dyDescent="0.25">
      <c r="A212" s="251">
        <v>1430</v>
      </c>
      <c r="B212" s="250" t="s">
        <v>321</v>
      </c>
      <c r="C212" s="287">
        <f>SUM('2.mell'!C751)</f>
        <v>0</v>
      </c>
      <c r="D212" s="287">
        <f>SUM('2.mell'!D751)</f>
        <v>0</v>
      </c>
      <c r="E212" s="1203">
        <f>SUM('2.mell'!E751)</f>
        <v>0</v>
      </c>
      <c r="F212" s="286">
        <v>0</v>
      </c>
      <c r="G212" s="984"/>
      <c r="H212" s="238"/>
      <c r="I212" s="238"/>
      <c r="J212" s="238"/>
      <c r="K212" s="238"/>
      <c r="L212" s="238"/>
      <c r="M212" s="238"/>
      <c r="N212" s="238"/>
    </row>
    <row r="213" spans="1:14" s="276" customFormat="1" ht="12.6" thickBot="1" x14ac:dyDescent="0.3">
      <c r="A213" s="247"/>
      <c r="B213" s="246"/>
      <c r="C213" s="285"/>
      <c r="D213" s="285"/>
      <c r="E213" s="1208"/>
      <c r="F213" s="284"/>
      <c r="G213" s="984"/>
      <c r="H213" s="238"/>
      <c r="I213" s="238"/>
      <c r="J213" s="238"/>
      <c r="K213" s="238"/>
      <c r="L213" s="238"/>
      <c r="M213" s="238"/>
      <c r="N213" s="238"/>
    </row>
    <row r="214" spans="1:14" s="276" customFormat="1" ht="28.2" thickBot="1" x14ac:dyDescent="0.3">
      <c r="A214" s="376"/>
      <c r="B214" s="376" t="s">
        <v>389</v>
      </c>
      <c r="C214" s="282">
        <f>SUM(C211:C213)</f>
        <v>0</v>
      </c>
      <c r="D214" s="282">
        <f>SUM(D211:D213)</f>
        <v>0</v>
      </c>
      <c r="E214" s="1206">
        <f>SUM(E211:E213)</f>
        <v>0</v>
      </c>
      <c r="F214" s="350"/>
      <c r="G214" s="984"/>
      <c r="H214" s="238"/>
      <c r="I214" s="238"/>
      <c r="J214" s="238"/>
      <c r="K214" s="238"/>
      <c r="L214" s="238"/>
      <c r="M214" s="238"/>
      <c r="N214" s="238"/>
    </row>
    <row r="215" spans="1:14" s="276" customFormat="1" ht="14.4" thickBot="1" x14ac:dyDescent="0.3">
      <c r="A215" s="243"/>
      <c r="B215" s="300"/>
      <c r="C215" s="299"/>
      <c r="D215" s="299"/>
      <c r="E215" s="1219"/>
      <c r="F215" s="298"/>
      <c r="G215" s="984"/>
      <c r="H215" s="238"/>
      <c r="I215" s="238"/>
      <c r="J215" s="238"/>
      <c r="K215" s="238"/>
      <c r="L215" s="238"/>
      <c r="M215" s="238"/>
      <c r="N215" s="238"/>
    </row>
    <row r="216" spans="1:14" s="276" customFormat="1" ht="31.8" thickBot="1" x14ac:dyDescent="0.3">
      <c r="A216" s="385"/>
      <c r="B216" s="385" t="s">
        <v>320</v>
      </c>
      <c r="C216" s="297">
        <f>SUM(C210+C214+C196)</f>
        <v>3290824</v>
      </c>
      <c r="D216" s="297">
        <f>SUM(D210+D214+D196)</f>
        <v>3292855</v>
      </c>
      <c r="E216" s="1214">
        <f>SUM(E210+E214+E196)</f>
        <v>3292855</v>
      </c>
      <c r="F216" s="350">
        <f>E216/D216</f>
        <v>1</v>
      </c>
      <c r="G216" s="984"/>
      <c r="H216" s="238"/>
      <c r="I216" s="238"/>
      <c r="J216" s="238"/>
      <c r="K216" s="238"/>
      <c r="L216" s="238"/>
      <c r="M216" s="238"/>
      <c r="N216" s="238"/>
    </row>
    <row r="217" spans="1:14" s="276" customFormat="1" ht="13.8" x14ac:dyDescent="0.25">
      <c r="A217" s="256"/>
      <c r="B217" s="293"/>
      <c r="C217" s="295"/>
      <c r="D217" s="295"/>
      <c r="E217" s="1212"/>
      <c r="F217" s="294"/>
      <c r="G217" s="984"/>
      <c r="H217" s="238"/>
      <c r="I217" s="238"/>
      <c r="J217" s="238"/>
      <c r="K217" s="238"/>
      <c r="L217" s="238"/>
      <c r="M217" s="238"/>
      <c r="N217" s="238"/>
    </row>
    <row r="218" spans="1:14" s="276" customFormat="1" ht="12" x14ac:dyDescent="0.25">
      <c r="A218" s="251">
        <v>1435</v>
      </c>
      <c r="B218" s="250" t="s">
        <v>388</v>
      </c>
      <c r="C218" s="287"/>
      <c r="D218" s="287"/>
      <c r="E218" s="1203"/>
      <c r="F218" s="296"/>
      <c r="G218" s="984"/>
      <c r="H218" s="238"/>
      <c r="I218" s="238"/>
      <c r="J218" s="238"/>
      <c r="K218" s="238"/>
      <c r="L218" s="238"/>
      <c r="M218" s="238"/>
      <c r="N218" s="238"/>
    </row>
    <row r="219" spans="1:14" s="276" customFormat="1" ht="22.8" x14ac:dyDescent="0.25">
      <c r="A219" s="251">
        <v>1436</v>
      </c>
      <c r="B219" s="250" t="s">
        <v>385</v>
      </c>
      <c r="C219" s="287"/>
      <c r="D219" s="287"/>
      <c r="E219" s="1203">
        <f>SUM('2.mell'!E753)</f>
        <v>300</v>
      </c>
      <c r="F219" s="286"/>
      <c r="G219" s="984"/>
      <c r="H219" s="238"/>
      <c r="I219" s="238"/>
      <c r="J219" s="238"/>
      <c r="K219" s="238"/>
      <c r="L219" s="238"/>
      <c r="M219" s="238"/>
      <c r="N219" s="238"/>
    </row>
    <row r="220" spans="1:14" s="276" customFormat="1" ht="12.6" thickBot="1" x14ac:dyDescent="0.3">
      <c r="A220" s="247"/>
      <c r="B220" s="246"/>
      <c r="C220" s="285"/>
      <c r="D220" s="285"/>
      <c r="E220" s="1208"/>
      <c r="F220" s="284"/>
      <c r="G220" s="984"/>
      <c r="H220" s="238"/>
      <c r="I220" s="238"/>
      <c r="J220" s="238"/>
      <c r="K220" s="238"/>
      <c r="L220" s="238"/>
      <c r="M220" s="238"/>
      <c r="N220" s="238"/>
    </row>
    <row r="221" spans="1:14" s="276" customFormat="1" ht="28.2" thickBot="1" x14ac:dyDescent="0.3">
      <c r="A221" s="376"/>
      <c r="B221" s="376" t="s">
        <v>384</v>
      </c>
      <c r="C221" s="282">
        <f>SUM(C217:C220)</f>
        <v>0</v>
      </c>
      <c r="D221" s="282">
        <f>SUM(D217:D220)</f>
        <v>0</v>
      </c>
      <c r="E221" s="1206">
        <f>SUM(E217:E220)</f>
        <v>300</v>
      </c>
      <c r="F221" s="281">
        <f>SUM(F217:F220)</f>
        <v>0</v>
      </c>
      <c r="G221" s="984"/>
      <c r="H221" s="238"/>
      <c r="I221" s="238"/>
      <c r="J221" s="238"/>
      <c r="K221" s="238"/>
      <c r="L221" s="238"/>
      <c r="M221" s="238"/>
      <c r="N221" s="238"/>
    </row>
    <row r="222" spans="1:14" s="276" customFormat="1" ht="13.8" x14ac:dyDescent="0.25">
      <c r="A222" s="256"/>
      <c r="B222" s="293"/>
      <c r="C222" s="295"/>
      <c r="D222" s="295"/>
      <c r="E222" s="1212"/>
      <c r="F222" s="294"/>
      <c r="G222" s="984"/>
      <c r="H222" s="238"/>
      <c r="I222" s="238"/>
      <c r="J222" s="238"/>
      <c r="K222" s="238"/>
      <c r="L222" s="238"/>
      <c r="M222" s="238"/>
      <c r="N222" s="238"/>
    </row>
    <row r="223" spans="1:14" s="276" customFormat="1" ht="12" x14ac:dyDescent="0.25">
      <c r="A223" s="251">
        <v>1440</v>
      </c>
      <c r="B223" s="250" t="s">
        <v>317</v>
      </c>
      <c r="C223" s="287">
        <f>SUM('2.mell'!C755)</f>
        <v>0</v>
      </c>
      <c r="D223" s="287">
        <f>SUM('2.mell'!D755)</f>
        <v>0</v>
      </c>
      <c r="E223" s="1203">
        <f>SUM('2.mell'!E755)</f>
        <v>0</v>
      </c>
      <c r="F223" s="286"/>
      <c r="G223" s="984"/>
      <c r="H223" s="238"/>
      <c r="I223" s="238"/>
      <c r="J223" s="238"/>
      <c r="K223" s="238"/>
      <c r="L223" s="238"/>
      <c r="M223" s="238"/>
      <c r="N223" s="238"/>
    </row>
    <row r="224" spans="1:14" s="276" customFormat="1" ht="12.6" thickBot="1" x14ac:dyDescent="0.3">
      <c r="A224" s="247"/>
      <c r="B224" s="246"/>
      <c r="C224" s="285"/>
      <c r="D224" s="285"/>
      <c r="E224" s="1208"/>
      <c r="F224" s="284"/>
      <c r="G224" s="984"/>
      <c r="H224" s="238"/>
      <c r="I224" s="238"/>
      <c r="J224" s="238"/>
      <c r="K224" s="238"/>
      <c r="L224" s="238"/>
      <c r="M224" s="238"/>
      <c r="N224" s="238"/>
    </row>
    <row r="225" spans="1:14" s="276" customFormat="1" ht="14.4" thickBot="1" x14ac:dyDescent="0.3">
      <c r="A225" s="376"/>
      <c r="B225" s="376" t="s">
        <v>382</v>
      </c>
      <c r="C225" s="282">
        <f>SUM(C222:C224)</f>
        <v>0</v>
      </c>
      <c r="D225" s="282">
        <f>SUM(D222:D224)</f>
        <v>0</v>
      </c>
      <c r="E225" s="1206">
        <f>SUM(E222:E224)</f>
        <v>0</v>
      </c>
      <c r="F225" s="281">
        <f>SUM(F222:F224)</f>
        <v>0</v>
      </c>
      <c r="G225" s="984"/>
      <c r="H225" s="238"/>
      <c r="I225" s="238"/>
      <c r="J225" s="238"/>
      <c r="K225" s="238"/>
      <c r="L225" s="238"/>
      <c r="M225" s="238"/>
      <c r="N225" s="238"/>
    </row>
    <row r="226" spans="1:14" s="276" customFormat="1" ht="13.8" x14ac:dyDescent="0.25">
      <c r="A226" s="256"/>
      <c r="B226" s="293"/>
      <c r="C226" s="295"/>
      <c r="D226" s="295"/>
      <c r="E226" s="1212"/>
      <c r="F226" s="294"/>
      <c r="G226" s="984"/>
      <c r="H226" s="238"/>
      <c r="I226" s="238"/>
      <c r="J226" s="238"/>
      <c r="K226" s="238"/>
      <c r="L226" s="238"/>
      <c r="M226" s="238"/>
      <c r="N226" s="238"/>
    </row>
    <row r="227" spans="1:14" s="276" customFormat="1" ht="12" x14ac:dyDescent="0.25">
      <c r="A227" s="251">
        <v>1445</v>
      </c>
      <c r="B227" s="250" t="s">
        <v>318</v>
      </c>
      <c r="C227" s="287">
        <f>SUM('2.mell'!C754)</f>
        <v>0</v>
      </c>
      <c r="D227" s="287">
        <f>SUM('2.mell'!D754)</f>
        <v>0</v>
      </c>
      <c r="E227" s="1203">
        <f>SUM('2.mell'!E754)</f>
        <v>0</v>
      </c>
      <c r="F227" s="286"/>
      <c r="G227" s="984"/>
      <c r="H227" s="238"/>
      <c r="I227" s="238"/>
      <c r="J227" s="238"/>
      <c r="K227" s="238"/>
      <c r="L227" s="238"/>
      <c r="M227" s="238"/>
      <c r="N227" s="238"/>
    </row>
    <row r="228" spans="1:14" s="276" customFormat="1" ht="12.6" thickBot="1" x14ac:dyDescent="0.3">
      <c r="A228" s="247"/>
      <c r="B228" s="246"/>
      <c r="C228" s="285"/>
      <c r="D228" s="285"/>
      <c r="E228" s="1208"/>
      <c r="F228" s="284"/>
      <c r="G228" s="984"/>
      <c r="H228" s="238"/>
      <c r="I228" s="238"/>
      <c r="J228" s="238"/>
      <c r="K228" s="238"/>
      <c r="L228" s="238"/>
      <c r="M228" s="238"/>
      <c r="N228" s="238"/>
    </row>
    <row r="229" spans="1:14" s="276" customFormat="1" ht="28.2" thickBot="1" x14ac:dyDescent="0.3">
      <c r="A229" s="376"/>
      <c r="B229" s="376" t="s">
        <v>379</v>
      </c>
      <c r="C229" s="282">
        <f>SUM(C226:C228)</f>
        <v>0</v>
      </c>
      <c r="D229" s="282">
        <f>SUM(D226:D228)</f>
        <v>0</v>
      </c>
      <c r="E229" s="1206">
        <f>SUM(E226:E228)</f>
        <v>0</v>
      </c>
      <c r="F229" s="281">
        <f>SUM(F226:F228)</f>
        <v>0</v>
      </c>
      <c r="G229" s="984"/>
      <c r="H229" s="238"/>
      <c r="I229" s="238"/>
      <c r="J229" s="238"/>
      <c r="K229" s="238"/>
      <c r="L229" s="238"/>
      <c r="M229" s="238"/>
      <c r="N229" s="238"/>
    </row>
    <row r="230" spans="1:14" s="276" customFormat="1" ht="13.8" x14ac:dyDescent="0.25">
      <c r="A230" s="256"/>
      <c r="B230" s="293"/>
      <c r="C230" s="290"/>
      <c r="D230" s="290"/>
      <c r="E230" s="1207"/>
      <c r="F230" s="289"/>
      <c r="G230" s="984"/>
      <c r="H230" s="238"/>
      <c r="I230" s="238"/>
      <c r="J230" s="238"/>
      <c r="K230" s="238"/>
      <c r="L230" s="238"/>
      <c r="M230" s="238"/>
      <c r="N230" s="238"/>
    </row>
    <row r="231" spans="1:14" s="276" customFormat="1" ht="26.4" x14ac:dyDescent="0.25">
      <c r="A231" s="251">
        <v>1459</v>
      </c>
      <c r="B231" s="292" t="s">
        <v>351</v>
      </c>
      <c r="C231" s="287">
        <f>SUM('2.mell'!C758)</f>
        <v>0</v>
      </c>
      <c r="D231" s="287">
        <f>SUM('2.mell'!D758)</f>
        <v>0</v>
      </c>
      <c r="E231" s="1203">
        <f>SUM('2.mell'!E758)</f>
        <v>1862</v>
      </c>
      <c r="F231" s="286"/>
      <c r="G231" s="984"/>
      <c r="H231" s="238"/>
      <c r="I231" s="238"/>
      <c r="J231" s="238"/>
      <c r="K231" s="238"/>
      <c r="L231" s="238"/>
      <c r="M231" s="238"/>
      <c r="N231" s="238"/>
    </row>
    <row r="232" spans="1:14" s="276" customFormat="1" ht="22.8" x14ac:dyDescent="0.25">
      <c r="A232" s="251">
        <v>1450</v>
      </c>
      <c r="B232" s="250" t="s">
        <v>311</v>
      </c>
      <c r="C232" s="287">
        <f>SUM('2.mell'!C757)</f>
        <v>0</v>
      </c>
      <c r="D232" s="287">
        <f>SUM('2.mell'!D757)</f>
        <v>0</v>
      </c>
      <c r="E232" s="1203">
        <f>SUM('2.mell'!E757)</f>
        <v>447970</v>
      </c>
      <c r="F232" s="286"/>
      <c r="G232" s="984"/>
      <c r="H232" s="238"/>
      <c r="I232" s="238"/>
      <c r="J232" s="238"/>
      <c r="K232" s="238"/>
      <c r="L232" s="238"/>
      <c r="M232" s="238"/>
      <c r="N232" s="238"/>
    </row>
    <row r="233" spans="1:14" s="276" customFormat="1" ht="12" x14ac:dyDescent="0.25">
      <c r="A233" s="251">
        <v>1451</v>
      </c>
      <c r="B233" s="250" t="s">
        <v>314</v>
      </c>
      <c r="C233" s="287">
        <f>SUM('2.mell'!C759:C760)</f>
        <v>10708554</v>
      </c>
      <c r="D233" s="287">
        <f>SUM('2.mell'!D759:D760)</f>
        <v>10875654</v>
      </c>
      <c r="E233" s="1203">
        <f>SUM('2.mell'!E759:E760)</f>
        <v>11717806</v>
      </c>
      <c r="F233" s="370">
        <f>E233/D233</f>
        <v>1.077434607610724</v>
      </c>
      <c r="G233" s="984"/>
      <c r="H233" s="238"/>
      <c r="I233" s="238"/>
      <c r="J233" s="238"/>
      <c r="K233" s="238"/>
      <c r="L233" s="238"/>
      <c r="M233" s="238"/>
      <c r="N233" s="238"/>
    </row>
    <row r="234" spans="1:14" s="276" customFormat="1" ht="12.6" thickBot="1" x14ac:dyDescent="0.3">
      <c r="A234" s="247"/>
      <c r="B234" s="246"/>
      <c r="C234" s="285"/>
      <c r="D234" s="285"/>
      <c r="E234" s="1208"/>
      <c r="F234" s="284"/>
      <c r="G234" s="984"/>
      <c r="H234" s="238"/>
      <c r="I234" s="238"/>
      <c r="J234" s="238"/>
      <c r="K234" s="238"/>
      <c r="L234" s="238"/>
      <c r="M234" s="238"/>
      <c r="N234" s="238"/>
    </row>
    <row r="235" spans="1:14" s="276" customFormat="1" ht="28.2" thickBot="1" x14ac:dyDescent="0.3">
      <c r="A235" s="376"/>
      <c r="B235" s="376" t="s">
        <v>411</v>
      </c>
      <c r="C235" s="282">
        <f>SUM(C230:C234)</f>
        <v>10708554</v>
      </c>
      <c r="D235" s="282">
        <f>SUM(D230:D234)</f>
        <v>10875654</v>
      </c>
      <c r="E235" s="1206">
        <f>SUM(E230:E234)</f>
        <v>12167638</v>
      </c>
      <c r="F235" s="350">
        <f>E235/D235</f>
        <v>1.1187959822921913</v>
      </c>
      <c r="G235" s="984"/>
      <c r="H235" s="238"/>
      <c r="I235" s="238"/>
      <c r="J235" s="238"/>
      <c r="K235" s="238"/>
      <c r="L235" s="238"/>
      <c r="M235" s="238"/>
      <c r="N235" s="238"/>
    </row>
    <row r="236" spans="1:14" s="983" customFormat="1" ht="13.2" x14ac:dyDescent="0.25">
      <c r="A236" s="256"/>
      <c r="B236" s="291"/>
      <c r="C236" s="290"/>
      <c r="D236" s="290"/>
      <c r="E236" s="1207"/>
      <c r="F236" s="289"/>
      <c r="G236" s="984"/>
      <c r="H236" s="238"/>
      <c r="I236" s="238"/>
      <c r="J236" s="238"/>
      <c r="K236" s="238"/>
      <c r="L236" s="238"/>
      <c r="M236" s="238"/>
      <c r="N236" s="238"/>
    </row>
    <row r="237" spans="1:14" s="983" customFormat="1" ht="22.8" x14ac:dyDescent="0.25">
      <c r="A237" s="251">
        <v>1455</v>
      </c>
      <c r="B237" s="250" t="s">
        <v>410</v>
      </c>
      <c r="C237" s="287">
        <f>SUM('2.mell'!C762)</f>
        <v>0</v>
      </c>
      <c r="D237" s="287">
        <f>SUM('2.mell'!D762)</f>
        <v>0</v>
      </c>
      <c r="E237" s="1203">
        <f>SUM('2.mell'!E762)</f>
        <v>3294</v>
      </c>
      <c r="F237" s="286"/>
      <c r="G237" s="984"/>
      <c r="H237" s="238"/>
      <c r="I237" s="238"/>
      <c r="J237" s="238"/>
      <c r="K237" s="238"/>
      <c r="L237" s="238"/>
      <c r="M237" s="238"/>
      <c r="N237" s="238"/>
    </row>
    <row r="238" spans="1:14" s="983" customFormat="1" ht="13.8" thickBot="1" x14ac:dyDescent="0.3">
      <c r="A238" s="247"/>
      <c r="B238" s="246"/>
      <c r="C238" s="285"/>
      <c r="D238" s="285"/>
      <c r="E238" s="1208"/>
      <c r="F238" s="284"/>
      <c r="G238" s="984"/>
      <c r="H238" s="238"/>
      <c r="I238" s="238"/>
      <c r="J238" s="238"/>
      <c r="K238" s="238"/>
      <c r="L238" s="238"/>
      <c r="M238" s="238"/>
      <c r="N238" s="238"/>
    </row>
    <row r="239" spans="1:14" s="276" customFormat="1" ht="28.2" thickBot="1" x14ac:dyDescent="0.3">
      <c r="A239" s="376"/>
      <c r="B239" s="376" t="s">
        <v>375</v>
      </c>
      <c r="C239" s="282">
        <f>SUM(C236:C238)</f>
        <v>0</v>
      </c>
      <c r="D239" s="282">
        <f>SUM(D236:D238)</f>
        <v>0</v>
      </c>
      <c r="E239" s="1206">
        <f>SUM(E236:E238)</f>
        <v>3294</v>
      </c>
      <c r="F239" s="281">
        <f>SUM(F236:F238)</f>
        <v>0</v>
      </c>
      <c r="G239" s="984"/>
      <c r="H239" s="238"/>
      <c r="I239" s="238"/>
      <c r="J239" s="238"/>
      <c r="K239" s="238"/>
      <c r="L239" s="238"/>
      <c r="M239" s="238"/>
      <c r="N239" s="238"/>
    </row>
    <row r="240" spans="1:14" s="276" customFormat="1" ht="12.6" thickBot="1" x14ac:dyDescent="0.3">
      <c r="A240" s="243"/>
      <c r="B240" s="280"/>
      <c r="C240" s="279"/>
      <c r="D240" s="279"/>
      <c r="E240" s="1211"/>
      <c r="F240" s="278"/>
      <c r="G240" s="984"/>
      <c r="H240" s="238"/>
      <c r="I240" s="238"/>
      <c r="J240" s="238"/>
      <c r="K240" s="238"/>
      <c r="L240" s="238"/>
      <c r="M240" s="238"/>
      <c r="N240" s="238"/>
    </row>
    <row r="241" spans="1:14" s="276" customFormat="1" ht="31.8" thickBot="1" x14ac:dyDescent="0.3">
      <c r="A241" s="384"/>
      <c r="B241" s="384" t="s">
        <v>409</v>
      </c>
      <c r="C241" s="277">
        <f>SUM(C239+C235+C216+C229+C221+C225)</f>
        <v>13999378</v>
      </c>
      <c r="D241" s="277">
        <f>SUM(D239+D235+D216+D229+D221+D225)</f>
        <v>14168509</v>
      </c>
      <c r="E241" s="1209">
        <f>SUM(E239+E235+E216+E229+E221+E225)</f>
        <v>15464087</v>
      </c>
      <c r="F241" s="350">
        <f>E241/D241</f>
        <v>1.0914406731152868</v>
      </c>
      <c r="G241" s="984"/>
      <c r="H241" s="238"/>
      <c r="I241" s="238"/>
      <c r="J241" s="238"/>
      <c r="K241" s="238"/>
      <c r="L241" s="238"/>
      <c r="M241" s="238"/>
      <c r="N241" s="238"/>
    </row>
    <row r="242" spans="1:14" s="983" customFormat="1" ht="13.2" x14ac:dyDescent="0.25">
      <c r="A242" s="275"/>
      <c r="B242" s="274"/>
      <c r="C242" s="273"/>
      <c r="D242" s="273"/>
      <c r="E242" s="1220"/>
      <c r="F242" s="272"/>
      <c r="G242" s="984"/>
      <c r="H242" s="238"/>
      <c r="I242" s="238"/>
      <c r="J242" s="238"/>
      <c r="K242" s="238"/>
      <c r="L242" s="238"/>
      <c r="M242" s="238"/>
      <c r="N242" s="238"/>
    </row>
    <row r="243" spans="1:14" s="983" customFormat="1" ht="13.8" x14ac:dyDescent="0.25">
      <c r="A243" s="374"/>
      <c r="B243" s="374" t="s">
        <v>408</v>
      </c>
      <c r="C243" s="269"/>
      <c r="D243" s="269"/>
      <c r="E243" s="1221"/>
      <c r="F243" s="268"/>
      <c r="G243" s="984"/>
      <c r="H243" s="238"/>
      <c r="I243" s="238"/>
      <c r="J243" s="238"/>
      <c r="K243" s="238"/>
      <c r="L243" s="238"/>
      <c r="M243" s="238"/>
      <c r="N243" s="238"/>
    </row>
    <row r="244" spans="1:14" s="983" customFormat="1" ht="13.2" x14ac:dyDescent="0.25">
      <c r="A244" s="271"/>
      <c r="B244" s="270"/>
      <c r="C244" s="269"/>
      <c r="D244" s="269"/>
      <c r="E244" s="1221"/>
      <c r="F244" s="268"/>
      <c r="G244" s="984"/>
      <c r="H244" s="238"/>
      <c r="I244" s="238"/>
      <c r="J244" s="238"/>
      <c r="K244" s="238"/>
      <c r="L244" s="238"/>
      <c r="M244" s="238"/>
      <c r="N244" s="238"/>
    </row>
    <row r="245" spans="1:14" s="983" customFormat="1" ht="13.2" x14ac:dyDescent="0.25">
      <c r="A245" s="251">
        <v>1500</v>
      </c>
      <c r="B245" s="250" t="s">
        <v>407</v>
      </c>
      <c r="C245" s="249">
        <f>SUM(C9)</f>
        <v>4286488</v>
      </c>
      <c r="D245" s="249">
        <f>SUM(D9)</f>
        <v>4286488</v>
      </c>
      <c r="E245" s="1204">
        <f>SUM(E9)</f>
        <v>5111886</v>
      </c>
      <c r="F245" s="370">
        <f>E245/D245</f>
        <v>1.1925581035103796</v>
      </c>
      <c r="G245" s="984"/>
      <c r="H245" s="238"/>
      <c r="I245" s="238"/>
      <c r="J245" s="238"/>
      <c r="K245" s="238"/>
      <c r="L245" s="238"/>
      <c r="M245" s="238"/>
      <c r="N245" s="238"/>
    </row>
    <row r="246" spans="1:14" s="983" customFormat="1" ht="13.2" x14ac:dyDescent="0.25">
      <c r="A246" s="251">
        <v>1501</v>
      </c>
      <c r="B246" s="250" t="s">
        <v>406</v>
      </c>
      <c r="C246" s="249">
        <f t="shared" ref="C246:F247" si="3">SUM(C16)</f>
        <v>0</v>
      </c>
      <c r="D246" s="249">
        <f t="shared" si="3"/>
        <v>0</v>
      </c>
      <c r="E246" s="1204">
        <f t="shared" ref="E246" si="4">SUM(E16)</f>
        <v>3281</v>
      </c>
      <c r="F246" s="267">
        <f t="shared" si="3"/>
        <v>0</v>
      </c>
      <c r="G246" s="984"/>
      <c r="H246" s="238"/>
      <c r="I246" s="238"/>
      <c r="J246" s="238"/>
      <c r="K246" s="238"/>
      <c r="L246" s="238"/>
      <c r="M246" s="238"/>
      <c r="N246" s="238"/>
    </row>
    <row r="247" spans="1:14" s="983" customFormat="1" ht="22.8" x14ac:dyDescent="0.25">
      <c r="A247" s="251">
        <v>1502</v>
      </c>
      <c r="B247" s="250" t="s">
        <v>387</v>
      </c>
      <c r="C247" s="249">
        <f t="shared" si="3"/>
        <v>0</v>
      </c>
      <c r="D247" s="249">
        <f t="shared" si="3"/>
        <v>0</v>
      </c>
      <c r="E247" s="1204">
        <f t="shared" ref="E247" si="5">SUM(E17)</f>
        <v>0</v>
      </c>
      <c r="F247" s="267">
        <f t="shared" si="3"/>
        <v>0</v>
      </c>
      <c r="G247" s="984"/>
      <c r="H247" s="238"/>
      <c r="I247" s="238"/>
      <c r="J247" s="238"/>
      <c r="K247" s="238"/>
      <c r="L247" s="238"/>
      <c r="M247" s="238"/>
      <c r="N247" s="238"/>
    </row>
    <row r="248" spans="1:14" s="983" customFormat="1" ht="22.8" x14ac:dyDescent="0.25">
      <c r="A248" s="251">
        <v>1503</v>
      </c>
      <c r="B248" s="250" t="s">
        <v>405</v>
      </c>
      <c r="C248" s="249">
        <f>SUM(C194+C18+C137)</f>
        <v>2543412</v>
      </c>
      <c r="D248" s="249">
        <f>SUM(D194+D18+D137)</f>
        <v>2543412</v>
      </c>
      <c r="E248" s="1204">
        <f>SUM(E194+E18+E137)</f>
        <v>2789893</v>
      </c>
      <c r="F248" s="370">
        <f>E248/D248</f>
        <v>1.0969095844479777</v>
      </c>
      <c r="G248" s="984"/>
      <c r="H248" s="238"/>
      <c r="I248" s="238"/>
      <c r="J248" s="238"/>
      <c r="K248" s="238"/>
      <c r="L248" s="238"/>
      <c r="M248" s="238"/>
      <c r="N248" s="238"/>
    </row>
    <row r="249" spans="1:14" s="983" customFormat="1" ht="22.8" x14ac:dyDescent="0.25">
      <c r="A249" s="251">
        <v>1504</v>
      </c>
      <c r="B249" s="250" t="s">
        <v>404</v>
      </c>
      <c r="C249" s="249">
        <f t="shared" ref="C249:E250" si="6">SUM(C19)</f>
        <v>0</v>
      </c>
      <c r="D249" s="249">
        <f t="shared" si="6"/>
        <v>0</v>
      </c>
      <c r="E249" s="1204">
        <f t="shared" si="6"/>
        <v>0</v>
      </c>
      <c r="F249" s="370"/>
      <c r="G249" s="984"/>
      <c r="H249" s="238"/>
      <c r="I249" s="238"/>
      <c r="J249" s="238"/>
      <c r="K249" s="238"/>
      <c r="L249" s="238"/>
      <c r="M249" s="238"/>
      <c r="N249" s="238"/>
    </row>
    <row r="250" spans="1:14" s="983" customFormat="1" ht="22.8" x14ac:dyDescent="0.25">
      <c r="A250" s="251">
        <v>1506</v>
      </c>
      <c r="B250" s="250" t="s">
        <v>403</v>
      </c>
      <c r="C250" s="249">
        <f t="shared" si="6"/>
        <v>0</v>
      </c>
      <c r="D250" s="249">
        <f t="shared" si="6"/>
        <v>0</v>
      </c>
      <c r="E250" s="1204">
        <f t="shared" si="6"/>
        <v>0</v>
      </c>
      <c r="F250" s="370"/>
      <c r="G250" s="984"/>
      <c r="H250" s="238"/>
      <c r="I250" s="238"/>
      <c r="J250" s="238"/>
      <c r="K250" s="238"/>
      <c r="L250" s="238"/>
      <c r="M250" s="238"/>
      <c r="N250" s="238"/>
    </row>
    <row r="251" spans="1:14" s="983" customFormat="1" ht="13.8" thickBot="1" x14ac:dyDescent="0.3">
      <c r="A251" s="247"/>
      <c r="B251" s="246"/>
      <c r="C251" s="245"/>
      <c r="D251" s="245"/>
      <c r="E251" s="1210"/>
      <c r="F251" s="266"/>
      <c r="G251" s="984"/>
      <c r="H251" s="238"/>
      <c r="I251" s="238"/>
      <c r="J251" s="238"/>
      <c r="K251" s="238"/>
      <c r="L251" s="238"/>
      <c r="M251" s="238"/>
      <c r="N251" s="238"/>
    </row>
    <row r="252" spans="1:14" s="983" customFormat="1" ht="27" thickBot="1" x14ac:dyDescent="0.3">
      <c r="A252" s="383"/>
      <c r="B252" s="383" t="s">
        <v>402</v>
      </c>
      <c r="C252" s="239">
        <f>SUM(C244:C251)</f>
        <v>6829900</v>
      </c>
      <c r="D252" s="239">
        <f>SUM(D244:D251)</f>
        <v>6829900</v>
      </c>
      <c r="E252" s="1222">
        <f>SUM(E244:E251)</f>
        <v>7905060</v>
      </c>
      <c r="F252" s="350">
        <f>E252/D252</f>
        <v>1.1574195815458499</v>
      </c>
      <c r="G252" s="984"/>
      <c r="H252" s="238"/>
      <c r="I252" s="238"/>
      <c r="J252" s="238"/>
      <c r="K252" s="238"/>
      <c r="L252" s="238"/>
      <c r="M252" s="238"/>
      <c r="N252" s="238"/>
    </row>
    <row r="253" spans="1:14" s="983" customFormat="1" ht="13.2" x14ac:dyDescent="0.25">
      <c r="A253" s="265"/>
      <c r="B253" s="264"/>
      <c r="C253" s="263"/>
      <c r="D253" s="263"/>
      <c r="E253" s="1216"/>
      <c r="F253" s="262"/>
      <c r="G253" s="984"/>
      <c r="H253" s="238"/>
      <c r="I253" s="238"/>
      <c r="J253" s="238"/>
      <c r="K253" s="238"/>
      <c r="L253" s="238"/>
      <c r="M253" s="238"/>
      <c r="N253" s="238"/>
    </row>
    <row r="254" spans="1:14" s="983" customFormat="1" ht="13.2" x14ac:dyDescent="0.25">
      <c r="A254" s="251">
        <v>1510</v>
      </c>
      <c r="B254" s="250" t="s">
        <v>401</v>
      </c>
      <c r="C254" s="249">
        <f>SUM(C24)</f>
        <v>7550000</v>
      </c>
      <c r="D254" s="249">
        <f>SUM(D24)</f>
        <v>7550000</v>
      </c>
      <c r="E254" s="1204">
        <f>SUM(E24)</f>
        <v>7550000</v>
      </c>
      <c r="F254" s="370">
        <f>E254/D254</f>
        <v>1</v>
      </c>
      <c r="G254" s="984"/>
      <c r="H254" s="238"/>
      <c r="I254" s="238"/>
      <c r="J254" s="238"/>
      <c r="K254" s="238"/>
      <c r="L254" s="238"/>
      <c r="M254" s="238"/>
      <c r="N254" s="238"/>
    </row>
    <row r="255" spans="1:14" s="983" customFormat="1" ht="13.2" x14ac:dyDescent="0.25">
      <c r="A255" s="251">
        <v>1511</v>
      </c>
      <c r="B255" s="250" t="s">
        <v>400</v>
      </c>
      <c r="C255" s="249">
        <f>SUM(C27)</f>
        <v>10643750</v>
      </c>
      <c r="D255" s="249">
        <f>SUM(D27)</f>
        <v>10643750</v>
      </c>
      <c r="E255" s="1204">
        <f>SUM(E27)</f>
        <v>10643750</v>
      </c>
      <c r="F255" s="370">
        <f>E255/D255</f>
        <v>1</v>
      </c>
      <c r="G255" s="984"/>
      <c r="H255" s="238"/>
      <c r="I255" s="238"/>
      <c r="J255" s="238"/>
      <c r="K255" s="238"/>
      <c r="L255" s="238"/>
      <c r="M255" s="238"/>
      <c r="N255" s="238"/>
    </row>
    <row r="256" spans="1:14" s="983" customFormat="1" ht="13.2" x14ac:dyDescent="0.25">
      <c r="A256" s="251">
        <v>1514</v>
      </c>
      <c r="B256" s="250" t="s">
        <v>399</v>
      </c>
      <c r="C256" s="249">
        <f>SUM(C31+C145)</f>
        <v>1178433</v>
      </c>
      <c r="D256" s="249">
        <f>SUM(D31+D145)</f>
        <v>1178433</v>
      </c>
      <c r="E256" s="1204">
        <f>SUM(E31+E145)</f>
        <v>1178433</v>
      </c>
      <c r="F256" s="370">
        <f>E256/D256</f>
        <v>1</v>
      </c>
      <c r="G256" s="984"/>
      <c r="H256" s="238"/>
      <c r="I256" s="238"/>
      <c r="J256" s="238"/>
      <c r="K256" s="238"/>
      <c r="L256" s="238"/>
      <c r="M256" s="238"/>
      <c r="N256" s="238"/>
    </row>
    <row r="257" spans="1:14" s="983" customFormat="1" ht="13.8" thickBot="1" x14ac:dyDescent="0.3">
      <c r="A257" s="247"/>
      <c r="B257" s="246"/>
      <c r="C257" s="245"/>
      <c r="D257" s="245"/>
      <c r="E257" s="1210"/>
      <c r="F257" s="244"/>
      <c r="G257" s="984"/>
      <c r="H257" s="238"/>
      <c r="I257" s="238"/>
      <c r="J257" s="238"/>
      <c r="K257" s="238"/>
      <c r="L257" s="238"/>
      <c r="M257" s="238"/>
      <c r="N257" s="238"/>
    </row>
    <row r="258" spans="1:14" s="983" customFormat="1" ht="13.8" thickBot="1" x14ac:dyDescent="0.3">
      <c r="A258" s="380"/>
      <c r="B258" s="380" t="s">
        <v>334</v>
      </c>
      <c r="C258" s="239">
        <f>SUM(C253:C257)</f>
        <v>19372183</v>
      </c>
      <c r="D258" s="239">
        <f>SUM(D253:D257)</f>
        <v>19372183</v>
      </c>
      <c r="E258" s="1222">
        <f>SUM(E253:E257)</f>
        <v>19372183</v>
      </c>
      <c r="F258" s="350">
        <f>E258/D258</f>
        <v>1</v>
      </c>
      <c r="G258" s="984"/>
      <c r="H258" s="238"/>
      <c r="I258" s="238"/>
      <c r="J258" s="238"/>
      <c r="K258" s="238"/>
      <c r="L258" s="238"/>
      <c r="M258" s="238"/>
      <c r="N258" s="238"/>
    </row>
    <row r="259" spans="1:14" s="983" customFormat="1" ht="13.2" x14ac:dyDescent="0.25">
      <c r="A259" s="256"/>
      <c r="B259" s="261"/>
      <c r="C259" s="253"/>
      <c r="D259" s="253"/>
      <c r="E259" s="1223"/>
      <c r="F259" s="252"/>
      <c r="G259" s="984"/>
      <c r="H259" s="238"/>
      <c r="I259" s="238"/>
      <c r="J259" s="238"/>
      <c r="K259" s="238"/>
      <c r="L259" s="238"/>
      <c r="M259" s="238"/>
      <c r="N259" s="238"/>
    </row>
    <row r="260" spans="1:14" s="983" customFormat="1" ht="13.2" x14ac:dyDescent="0.25">
      <c r="A260" s="251">
        <v>1519</v>
      </c>
      <c r="B260" s="260" t="s">
        <v>342</v>
      </c>
      <c r="C260" s="249">
        <f>C198</f>
        <v>200</v>
      </c>
      <c r="D260" s="249">
        <f>D198</f>
        <v>200</v>
      </c>
      <c r="E260" s="1204">
        <f>E198</f>
        <v>200</v>
      </c>
      <c r="F260" s="370">
        <f>E260/D260</f>
        <v>1</v>
      </c>
      <c r="G260" s="984"/>
      <c r="H260" s="238"/>
      <c r="I260" s="238"/>
      <c r="J260" s="238"/>
      <c r="K260" s="238"/>
      <c r="L260" s="238"/>
      <c r="M260" s="238"/>
      <c r="N260" s="238"/>
    </row>
    <row r="261" spans="1:14" s="983" customFormat="1" ht="13.2" x14ac:dyDescent="0.25">
      <c r="A261" s="251">
        <v>1520</v>
      </c>
      <c r="B261" s="260" t="s">
        <v>398</v>
      </c>
      <c r="C261" s="249">
        <f>SUM(C45+C147+C199)</f>
        <v>2828612</v>
      </c>
      <c r="D261" s="249">
        <f>SUM(D45+D147+D199)</f>
        <v>2831683</v>
      </c>
      <c r="E261" s="1204">
        <f>SUM(E45+E147+E199)</f>
        <v>2828083</v>
      </c>
      <c r="F261" s="370">
        <f>E261/D261</f>
        <v>0.99872867125310283</v>
      </c>
      <c r="G261" s="984"/>
      <c r="H261" s="238"/>
      <c r="I261" s="238"/>
      <c r="J261" s="238"/>
      <c r="K261" s="238"/>
      <c r="L261" s="238"/>
      <c r="M261" s="238"/>
      <c r="N261" s="238"/>
    </row>
    <row r="262" spans="1:14" s="983" customFormat="1" ht="13.2" x14ac:dyDescent="0.25">
      <c r="A262" s="251">
        <v>1521</v>
      </c>
      <c r="B262" s="260" t="s">
        <v>397</v>
      </c>
      <c r="C262" s="249">
        <f>SUM(C55+C150+C202)</f>
        <v>249324</v>
      </c>
      <c r="D262" s="249">
        <f>SUM(D55+D150+D202)</f>
        <v>247852</v>
      </c>
      <c r="E262" s="1204">
        <f>SUM(E55+E150+E202)</f>
        <v>247852</v>
      </c>
      <c r="F262" s="370">
        <f>E262/D262</f>
        <v>1</v>
      </c>
      <c r="G262" s="984"/>
      <c r="H262" s="238"/>
      <c r="I262" s="238"/>
      <c r="J262" s="238"/>
      <c r="K262" s="238"/>
      <c r="L262" s="238"/>
      <c r="M262" s="238"/>
      <c r="N262" s="238"/>
    </row>
    <row r="263" spans="1:14" s="983" customFormat="1" ht="13.2" x14ac:dyDescent="0.25">
      <c r="A263" s="251">
        <v>1522</v>
      </c>
      <c r="B263" s="250" t="s">
        <v>396</v>
      </c>
      <c r="C263" s="249">
        <f>SUM(C59)</f>
        <v>0</v>
      </c>
      <c r="D263" s="249">
        <f>SUM(D59)</f>
        <v>0</v>
      </c>
      <c r="E263" s="1204">
        <f>SUM(E59)</f>
        <v>0</v>
      </c>
      <c r="F263" s="248">
        <f>SUM(F59)</f>
        <v>0</v>
      </c>
      <c r="G263" s="984"/>
      <c r="H263" s="238"/>
      <c r="I263" s="238"/>
      <c r="J263" s="238"/>
      <c r="K263" s="238"/>
      <c r="L263" s="238"/>
      <c r="M263" s="238"/>
      <c r="N263" s="238"/>
    </row>
    <row r="264" spans="1:14" s="983" customFormat="1" ht="13.2" x14ac:dyDescent="0.25">
      <c r="A264" s="251">
        <v>1523</v>
      </c>
      <c r="B264" s="250" t="s">
        <v>395</v>
      </c>
      <c r="C264" s="249">
        <f>SUM(C151+C203+C60)</f>
        <v>288465</v>
      </c>
      <c r="D264" s="249">
        <f>SUM(D151+D203+D60)</f>
        <v>288465</v>
      </c>
      <c r="E264" s="1204">
        <f>SUM(E151+E203+E60)</f>
        <v>292065</v>
      </c>
      <c r="F264" s="370">
        <f>E264/D264</f>
        <v>1.0124798502417971</v>
      </c>
      <c r="G264" s="984"/>
      <c r="H264" s="238"/>
      <c r="I264" s="238"/>
      <c r="J264" s="238"/>
      <c r="K264" s="238"/>
      <c r="L264" s="238"/>
      <c r="M264" s="238"/>
      <c r="N264" s="238"/>
    </row>
    <row r="265" spans="1:14" s="983" customFormat="1" ht="13.2" x14ac:dyDescent="0.25">
      <c r="A265" s="251">
        <v>1524</v>
      </c>
      <c r="B265" s="250" t="s">
        <v>394</v>
      </c>
      <c r="C265" s="249">
        <f>SUM(C61+C152+C204)</f>
        <v>881172</v>
      </c>
      <c r="D265" s="249">
        <f>SUM(D61+D152+D204)</f>
        <v>881604</v>
      </c>
      <c r="E265" s="1204">
        <f>SUM(E61+E152+E204)</f>
        <v>881604</v>
      </c>
      <c r="F265" s="370">
        <f>E265/D265</f>
        <v>1</v>
      </c>
      <c r="G265" s="984"/>
      <c r="H265" s="238"/>
      <c r="I265" s="238"/>
      <c r="J265" s="238"/>
      <c r="K265" s="238"/>
      <c r="L265" s="238"/>
      <c r="M265" s="238"/>
      <c r="N265" s="238"/>
    </row>
    <row r="266" spans="1:14" s="983" customFormat="1" ht="13.2" x14ac:dyDescent="0.25">
      <c r="A266" s="251">
        <v>1525</v>
      </c>
      <c r="B266" s="250" t="s">
        <v>393</v>
      </c>
      <c r="C266" s="249">
        <f t="shared" ref="C266:E267" si="7">SUM(C65+C153+C205)</f>
        <v>73000</v>
      </c>
      <c r="D266" s="249">
        <f t="shared" si="7"/>
        <v>73000</v>
      </c>
      <c r="E266" s="1204">
        <f t="shared" si="7"/>
        <v>73000</v>
      </c>
      <c r="F266" s="370">
        <f>E266/D266</f>
        <v>1</v>
      </c>
      <c r="G266" s="984"/>
      <c r="H266" s="238"/>
      <c r="I266" s="238"/>
      <c r="J266" s="238"/>
      <c r="K266" s="238"/>
      <c r="L266" s="238"/>
      <c r="M266" s="238"/>
      <c r="N266" s="238"/>
    </row>
    <row r="267" spans="1:14" s="983" customFormat="1" ht="22.8" x14ac:dyDescent="0.25">
      <c r="A267" s="251">
        <v>1526</v>
      </c>
      <c r="B267" s="259" t="s">
        <v>392</v>
      </c>
      <c r="C267" s="249">
        <f t="shared" si="7"/>
        <v>150000</v>
      </c>
      <c r="D267" s="249">
        <f t="shared" si="7"/>
        <v>150000</v>
      </c>
      <c r="E267" s="1204">
        <f t="shared" si="7"/>
        <v>150000</v>
      </c>
      <c r="F267" s="370">
        <f>E267/D267</f>
        <v>1</v>
      </c>
      <c r="G267" s="984"/>
      <c r="H267" s="238"/>
      <c r="I267" s="238"/>
      <c r="J267" s="238"/>
      <c r="K267" s="238"/>
      <c r="L267" s="238"/>
      <c r="M267" s="238"/>
      <c r="N267" s="238"/>
    </row>
    <row r="268" spans="1:14" s="983" customFormat="1" ht="13.2" x14ac:dyDescent="0.25">
      <c r="A268" s="251">
        <v>1529</v>
      </c>
      <c r="B268" s="259" t="s">
        <v>391</v>
      </c>
      <c r="C268" s="249">
        <f>C68+C155+C207</f>
        <v>0</v>
      </c>
      <c r="D268" s="249">
        <f>D68+D155+D207</f>
        <v>0</v>
      </c>
      <c r="E268" s="1204">
        <f>E68+E155+E207</f>
        <v>0</v>
      </c>
      <c r="F268" s="248">
        <f>F68+F155+F207</f>
        <v>0</v>
      </c>
      <c r="G268" s="984"/>
      <c r="H268" s="238"/>
      <c r="I268" s="238"/>
      <c r="J268" s="238"/>
      <c r="K268" s="238"/>
      <c r="L268" s="238"/>
      <c r="M268" s="238"/>
      <c r="N268" s="238"/>
    </row>
    <row r="269" spans="1:14" s="983" customFormat="1" ht="13.2" x14ac:dyDescent="0.25">
      <c r="A269" s="251">
        <v>1528</v>
      </c>
      <c r="B269" s="250" t="s">
        <v>390</v>
      </c>
      <c r="C269" s="249">
        <f>SUM(C69+C156+C208+C70)</f>
        <v>68956</v>
      </c>
      <c r="D269" s="249">
        <f>SUM(D69+D156+D208+D70)</f>
        <v>68956</v>
      </c>
      <c r="E269" s="1204">
        <f>SUM(E69+E156+E208+E70)</f>
        <v>68956</v>
      </c>
      <c r="F269" s="370">
        <f>E269/D269</f>
        <v>1</v>
      </c>
      <c r="G269" s="984"/>
      <c r="H269" s="238"/>
      <c r="I269" s="238"/>
      <c r="J269" s="238"/>
      <c r="K269" s="238"/>
      <c r="L269" s="238"/>
      <c r="M269" s="238"/>
      <c r="N269" s="238"/>
    </row>
    <row r="270" spans="1:14" s="983" customFormat="1" ht="13.8" thickBot="1" x14ac:dyDescent="0.3">
      <c r="A270" s="247"/>
      <c r="B270" s="246"/>
      <c r="C270" s="245"/>
      <c r="D270" s="245"/>
      <c r="E270" s="1210"/>
      <c r="F270" s="244"/>
      <c r="G270" s="984"/>
      <c r="H270" s="238"/>
      <c r="I270" s="238"/>
      <c r="J270" s="238"/>
      <c r="K270" s="238"/>
      <c r="L270" s="238"/>
      <c r="M270" s="238"/>
      <c r="N270" s="238"/>
    </row>
    <row r="271" spans="1:14" s="983" customFormat="1" ht="13.8" thickBot="1" x14ac:dyDescent="0.3">
      <c r="A271" s="383"/>
      <c r="B271" s="383" t="s">
        <v>322</v>
      </c>
      <c r="C271" s="239">
        <f>SUM(C259:C270)</f>
        <v>4539729</v>
      </c>
      <c r="D271" s="239">
        <f>SUM(D259:D270)</f>
        <v>4541760</v>
      </c>
      <c r="E271" s="1222">
        <f>SUM(E259:E270)</f>
        <v>4541760</v>
      </c>
      <c r="F271" s="350">
        <f>E271/D271</f>
        <v>1</v>
      </c>
      <c r="G271" s="984"/>
      <c r="H271" s="238"/>
      <c r="I271" s="238"/>
      <c r="J271" s="238"/>
      <c r="K271" s="238"/>
      <c r="L271" s="238"/>
      <c r="M271" s="238"/>
      <c r="N271" s="238"/>
    </row>
    <row r="272" spans="1:14" s="983" customFormat="1" ht="13.2" x14ac:dyDescent="0.25">
      <c r="A272" s="256"/>
      <c r="B272" s="258"/>
      <c r="C272" s="253"/>
      <c r="D272" s="253"/>
      <c r="E272" s="1223"/>
      <c r="F272" s="252"/>
      <c r="G272" s="984"/>
      <c r="H272" s="238"/>
      <c r="I272" s="238"/>
      <c r="J272" s="238"/>
      <c r="K272" s="238"/>
      <c r="L272" s="238"/>
      <c r="M272" s="238"/>
      <c r="N272" s="238"/>
    </row>
    <row r="273" spans="1:14" s="983" customFormat="1" ht="13.2" x14ac:dyDescent="0.25">
      <c r="A273" s="251">
        <v>1530</v>
      </c>
      <c r="B273" s="250" t="s">
        <v>321</v>
      </c>
      <c r="C273" s="249">
        <f>SUM(C84+C160+C214)</f>
        <v>13775</v>
      </c>
      <c r="D273" s="249">
        <f>SUM(D84+D160+D214)</f>
        <v>13775</v>
      </c>
      <c r="E273" s="1204">
        <f>SUM(E84+E160+E214)</f>
        <v>13775</v>
      </c>
      <c r="F273" s="248"/>
      <c r="G273" s="984"/>
      <c r="H273" s="238"/>
      <c r="I273" s="238"/>
      <c r="J273" s="238"/>
      <c r="K273" s="238"/>
      <c r="L273" s="238"/>
      <c r="M273" s="238"/>
      <c r="N273" s="238"/>
    </row>
    <row r="274" spans="1:14" s="983" customFormat="1" ht="13.8" thickBot="1" x14ac:dyDescent="0.3">
      <c r="A274" s="247"/>
      <c r="B274" s="246"/>
      <c r="C274" s="245"/>
      <c r="D274" s="245"/>
      <c r="E274" s="1210"/>
      <c r="F274" s="244"/>
      <c r="G274" s="984"/>
      <c r="H274" s="238"/>
      <c r="I274" s="238"/>
      <c r="J274" s="238"/>
      <c r="K274" s="238"/>
      <c r="L274" s="238"/>
      <c r="M274" s="238"/>
      <c r="N274" s="238"/>
    </row>
    <row r="275" spans="1:14" s="983" customFormat="1" ht="27" thickBot="1" x14ac:dyDescent="0.3">
      <c r="A275" s="383"/>
      <c r="B275" s="383" t="s">
        <v>389</v>
      </c>
      <c r="C275" s="239">
        <f>SUM(C272:C274)</f>
        <v>13775</v>
      </c>
      <c r="D275" s="239">
        <f>SUM(D272:D274)</f>
        <v>13775</v>
      </c>
      <c r="E275" s="1222">
        <f>SUM(E272:E274)</f>
        <v>13775</v>
      </c>
      <c r="F275" s="350"/>
      <c r="G275" s="984"/>
      <c r="H275" s="238"/>
      <c r="I275" s="238"/>
      <c r="J275" s="238"/>
      <c r="K275" s="238"/>
      <c r="L275" s="238"/>
      <c r="M275" s="238"/>
      <c r="N275" s="238"/>
    </row>
    <row r="276" spans="1:14" s="983" customFormat="1" ht="13.8" thickBot="1" x14ac:dyDescent="0.3">
      <c r="A276" s="243"/>
      <c r="B276" s="242"/>
      <c r="C276" s="241"/>
      <c r="D276" s="241"/>
      <c r="E276" s="1224"/>
      <c r="F276" s="240"/>
      <c r="G276" s="984"/>
      <c r="H276" s="238"/>
      <c r="I276" s="238"/>
      <c r="J276" s="238"/>
      <c r="K276" s="238"/>
      <c r="L276" s="238"/>
      <c r="M276" s="238"/>
      <c r="N276" s="238"/>
    </row>
    <row r="277" spans="1:14" s="983" customFormat="1" ht="31.8" thickBot="1" x14ac:dyDescent="0.3">
      <c r="A277" s="381"/>
      <c r="B277" s="385" t="s">
        <v>320</v>
      </c>
      <c r="C277" s="239">
        <f>SUM(C252+C258+C271+C275)</f>
        <v>30755587</v>
      </c>
      <c r="D277" s="239">
        <f>SUM(D252+D258+D271+D275)</f>
        <v>30757618</v>
      </c>
      <c r="E277" s="1222">
        <f>SUM(E252+E258+E271+E275)</f>
        <v>31832778</v>
      </c>
      <c r="F277" s="350">
        <f>E277/D277</f>
        <v>1.0349558928783107</v>
      </c>
      <c r="G277" s="984"/>
      <c r="H277" s="238"/>
      <c r="I277" s="238"/>
      <c r="J277" s="238"/>
      <c r="K277" s="238"/>
      <c r="L277" s="238"/>
      <c r="M277" s="238"/>
      <c r="N277" s="238"/>
    </row>
    <row r="278" spans="1:14" s="983" customFormat="1" ht="15.6" x14ac:dyDescent="0.25">
      <c r="A278" s="256"/>
      <c r="B278" s="257"/>
      <c r="C278" s="253"/>
      <c r="D278" s="253"/>
      <c r="E278" s="1223"/>
      <c r="F278" s="252"/>
      <c r="G278" s="984"/>
      <c r="H278" s="238"/>
      <c r="I278" s="238"/>
      <c r="J278" s="238"/>
      <c r="K278" s="238"/>
      <c r="L278" s="238"/>
      <c r="M278" s="238"/>
      <c r="N278" s="238"/>
    </row>
    <row r="279" spans="1:14" s="983" customFormat="1" ht="13.2" x14ac:dyDescent="0.25">
      <c r="A279" s="251">
        <v>1540</v>
      </c>
      <c r="B279" s="250" t="s">
        <v>388</v>
      </c>
      <c r="C279" s="249">
        <f t="shared" ref="C279:D282" si="8">SUM(C88)</f>
        <v>750000</v>
      </c>
      <c r="D279" s="249">
        <f t="shared" si="8"/>
        <v>1500000</v>
      </c>
      <c r="E279" s="1204">
        <f t="shared" ref="E279" si="9">SUM(E88)</f>
        <v>1500000</v>
      </c>
      <c r="F279" s="370">
        <f>E279/D279</f>
        <v>1</v>
      </c>
      <c r="G279" s="984"/>
      <c r="H279" s="238"/>
      <c r="I279" s="238"/>
      <c r="J279" s="238"/>
      <c r="K279" s="238"/>
      <c r="L279" s="238"/>
      <c r="M279" s="238"/>
      <c r="N279" s="238"/>
    </row>
    <row r="280" spans="1:14" s="983" customFormat="1" ht="22.8" x14ac:dyDescent="0.25">
      <c r="A280" s="251">
        <v>1541</v>
      </c>
      <c r="B280" s="250" t="s">
        <v>387</v>
      </c>
      <c r="C280" s="249">
        <f t="shared" si="8"/>
        <v>0</v>
      </c>
      <c r="D280" s="249">
        <f t="shared" si="8"/>
        <v>0</v>
      </c>
      <c r="E280" s="1204">
        <f t="shared" ref="E280" si="10">SUM(E89)</f>
        <v>0</v>
      </c>
      <c r="F280" s="370">
        <v>0</v>
      </c>
      <c r="G280" s="984"/>
      <c r="H280" s="238"/>
      <c r="I280" s="238"/>
      <c r="J280" s="238"/>
      <c r="K280" s="238"/>
      <c r="L280" s="238"/>
      <c r="M280" s="238"/>
      <c r="N280" s="238"/>
    </row>
    <row r="281" spans="1:14" s="983" customFormat="1" ht="34.200000000000003" x14ac:dyDescent="0.25">
      <c r="A281" s="251">
        <v>1542</v>
      </c>
      <c r="B281" s="250" t="s">
        <v>386</v>
      </c>
      <c r="C281" s="249">
        <f t="shared" si="8"/>
        <v>0</v>
      </c>
      <c r="D281" s="249">
        <f t="shared" si="8"/>
        <v>0</v>
      </c>
      <c r="E281" s="1204">
        <f t="shared" ref="E281" si="11">SUM(E90)</f>
        <v>0</v>
      </c>
      <c r="F281" s="370">
        <v>0</v>
      </c>
      <c r="G281" s="984"/>
      <c r="H281" s="238"/>
      <c r="I281" s="238"/>
      <c r="J281" s="238"/>
      <c r="K281" s="238"/>
      <c r="L281" s="238"/>
      <c r="M281" s="238"/>
      <c r="N281" s="238"/>
    </row>
    <row r="282" spans="1:14" s="983" customFormat="1" ht="22.8" x14ac:dyDescent="0.25">
      <c r="A282" s="251">
        <v>1542</v>
      </c>
      <c r="B282" s="250" t="s">
        <v>562</v>
      </c>
      <c r="C282" s="249">
        <f t="shared" si="8"/>
        <v>213158</v>
      </c>
      <c r="D282" s="249">
        <f t="shared" si="8"/>
        <v>213158</v>
      </c>
      <c r="E282" s="1204">
        <f t="shared" ref="E282" si="12">SUM(E91)</f>
        <v>213158</v>
      </c>
      <c r="F282" s="370">
        <f>E282/D282</f>
        <v>1</v>
      </c>
      <c r="G282" s="984"/>
      <c r="H282" s="238"/>
      <c r="I282" s="238"/>
      <c r="J282" s="238"/>
      <c r="K282" s="238"/>
      <c r="L282" s="238"/>
      <c r="M282" s="238"/>
      <c r="N282" s="238"/>
    </row>
    <row r="283" spans="1:14" s="983" customFormat="1" ht="22.8" x14ac:dyDescent="0.25">
      <c r="A283" s="251">
        <v>1544</v>
      </c>
      <c r="B283" s="250" t="s">
        <v>385</v>
      </c>
      <c r="C283" s="249">
        <f>SUM(C99+C100+C219)</f>
        <v>0</v>
      </c>
      <c r="D283" s="249">
        <f>SUM(D99+D100+D219)</f>
        <v>0</v>
      </c>
      <c r="E283" s="1204">
        <f>SUM(E99+E100+E219)</f>
        <v>300</v>
      </c>
      <c r="F283" s="370">
        <v>0</v>
      </c>
      <c r="G283" s="984"/>
      <c r="H283" s="238"/>
      <c r="I283" s="238"/>
      <c r="J283" s="238"/>
      <c r="K283" s="238"/>
      <c r="L283" s="238"/>
      <c r="M283" s="238"/>
      <c r="N283" s="238"/>
    </row>
    <row r="284" spans="1:14" s="983" customFormat="1" ht="13.8" thickBot="1" x14ac:dyDescent="0.3">
      <c r="A284" s="247"/>
      <c r="B284" s="246"/>
      <c r="C284" s="245"/>
      <c r="D284" s="245"/>
      <c r="E284" s="1210"/>
      <c r="F284" s="244"/>
      <c r="G284" s="984"/>
      <c r="H284" s="238"/>
      <c r="I284" s="238"/>
      <c r="J284" s="238"/>
      <c r="K284" s="238"/>
      <c r="L284" s="238"/>
      <c r="M284" s="238"/>
      <c r="N284" s="238"/>
    </row>
    <row r="285" spans="1:14" s="983" customFormat="1" ht="27" thickBot="1" x14ac:dyDescent="0.3">
      <c r="A285" s="383"/>
      <c r="B285" s="383" t="s">
        <v>384</v>
      </c>
      <c r="C285" s="239">
        <f>SUM(C278:C284)</f>
        <v>963158</v>
      </c>
      <c r="D285" s="239">
        <f>SUM(D278:D284)</f>
        <v>1713158</v>
      </c>
      <c r="E285" s="1222">
        <f>SUM(E278:E284)</f>
        <v>1713458</v>
      </c>
      <c r="F285" s="350">
        <f>E285/D285</f>
        <v>1.0001751151966134</v>
      </c>
      <c r="G285" s="984"/>
      <c r="H285" s="238"/>
      <c r="I285" s="238"/>
      <c r="J285" s="238"/>
      <c r="K285" s="238"/>
      <c r="L285" s="238"/>
      <c r="M285" s="238"/>
      <c r="N285" s="238"/>
    </row>
    <row r="286" spans="1:14" s="983" customFormat="1" ht="13.2" x14ac:dyDescent="0.25">
      <c r="A286" s="256"/>
      <c r="B286" s="258"/>
      <c r="C286" s="253"/>
      <c r="D286" s="253"/>
      <c r="E286" s="1223"/>
      <c r="F286" s="252"/>
      <c r="G286" s="984"/>
      <c r="H286" s="238"/>
      <c r="I286" s="238"/>
      <c r="J286" s="238"/>
      <c r="K286" s="238"/>
      <c r="L286" s="238"/>
      <c r="M286" s="238"/>
      <c r="N286" s="238"/>
    </row>
    <row r="287" spans="1:14" s="983" customFormat="1" ht="13.2" x14ac:dyDescent="0.25">
      <c r="A287" s="251">
        <v>1550</v>
      </c>
      <c r="B287" s="250" t="s">
        <v>383</v>
      </c>
      <c r="C287" s="249">
        <f>SUM(C104)</f>
        <v>950000</v>
      </c>
      <c r="D287" s="249">
        <f>SUM(D104)</f>
        <v>950000</v>
      </c>
      <c r="E287" s="1204">
        <f>SUM(E104)</f>
        <v>950000</v>
      </c>
      <c r="F287" s="370">
        <f>E287/D287</f>
        <v>1</v>
      </c>
      <c r="G287" s="984"/>
      <c r="H287" s="238"/>
      <c r="I287" s="238"/>
      <c r="J287" s="238"/>
      <c r="K287" s="238"/>
      <c r="L287" s="238"/>
      <c r="M287" s="238"/>
      <c r="N287" s="238"/>
    </row>
    <row r="288" spans="1:14" s="983" customFormat="1" ht="13.2" x14ac:dyDescent="0.25">
      <c r="A288" s="251">
        <v>1551</v>
      </c>
      <c r="B288" s="250" t="s">
        <v>317</v>
      </c>
      <c r="C288" s="249">
        <f>C171+C223</f>
        <v>0</v>
      </c>
      <c r="D288" s="249">
        <f>D171+D223</f>
        <v>0</v>
      </c>
      <c r="E288" s="1204">
        <f>E171+E223</f>
        <v>0</v>
      </c>
      <c r="F288" s="248">
        <f>F171+F223</f>
        <v>0</v>
      </c>
      <c r="G288" s="984"/>
      <c r="H288" s="238"/>
      <c r="I288" s="238"/>
      <c r="J288" s="238"/>
      <c r="K288" s="238"/>
      <c r="L288" s="238"/>
      <c r="M288" s="238"/>
      <c r="N288" s="238"/>
    </row>
    <row r="289" spans="1:14" s="983" customFormat="1" ht="13.8" thickBot="1" x14ac:dyDescent="0.3">
      <c r="A289" s="247"/>
      <c r="B289" s="246"/>
      <c r="C289" s="245"/>
      <c r="D289" s="245"/>
      <c r="E289" s="1210"/>
      <c r="F289" s="244"/>
      <c r="G289" s="984"/>
      <c r="H289" s="238"/>
      <c r="I289" s="238"/>
      <c r="J289" s="238"/>
      <c r="K289" s="238"/>
      <c r="L289" s="238"/>
      <c r="M289" s="238"/>
      <c r="N289" s="238"/>
    </row>
    <row r="290" spans="1:14" s="983" customFormat="1" ht="13.8" thickBot="1" x14ac:dyDescent="0.3">
      <c r="A290" s="383"/>
      <c r="B290" s="383" t="s">
        <v>382</v>
      </c>
      <c r="C290" s="239">
        <f>SUM(C286:C289)</f>
        <v>950000</v>
      </c>
      <c r="D290" s="239">
        <f>SUM(D286:D289)</f>
        <v>950000</v>
      </c>
      <c r="E290" s="1222">
        <f>SUM(E286:E289)</f>
        <v>950000</v>
      </c>
      <c r="F290" s="350">
        <f>E290/D290</f>
        <v>1</v>
      </c>
      <c r="G290" s="984"/>
      <c r="H290" s="238"/>
      <c r="I290" s="238"/>
      <c r="J290" s="238"/>
      <c r="K290" s="238"/>
      <c r="L290" s="238"/>
      <c r="M290" s="238"/>
      <c r="N290" s="238"/>
    </row>
    <row r="291" spans="1:14" s="983" customFormat="1" ht="13.2" x14ac:dyDescent="0.25">
      <c r="A291" s="256"/>
      <c r="B291" s="258"/>
      <c r="C291" s="253"/>
      <c r="D291" s="253"/>
      <c r="E291" s="1223"/>
      <c r="F291" s="252"/>
      <c r="G291" s="984"/>
      <c r="H291" s="238"/>
      <c r="I291" s="238"/>
      <c r="J291" s="238"/>
      <c r="K291" s="238"/>
      <c r="L291" s="238"/>
      <c r="M291" s="238"/>
      <c r="N291" s="238"/>
    </row>
    <row r="292" spans="1:14" s="983" customFormat="1" ht="34.200000000000003" x14ac:dyDescent="0.25">
      <c r="A292" s="251">
        <v>1560</v>
      </c>
      <c r="B292" s="250" t="s">
        <v>381</v>
      </c>
      <c r="C292" s="249">
        <f>SUM(C111+C176)</f>
        <v>17000</v>
      </c>
      <c r="D292" s="249">
        <f>SUM(D111+D176)</f>
        <v>17000</v>
      </c>
      <c r="E292" s="1204">
        <f>SUM(E111+E176)</f>
        <v>17000</v>
      </c>
      <c r="F292" s="370">
        <f>E292/D292</f>
        <v>1</v>
      </c>
      <c r="G292" s="984"/>
      <c r="H292" s="238"/>
      <c r="I292" s="238"/>
      <c r="J292" s="238"/>
      <c r="K292" s="238"/>
      <c r="L292" s="238"/>
      <c r="M292" s="238"/>
      <c r="N292" s="238"/>
    </row>
    <row r="293" spans="1:14" s="983" customFormat="1" ht="13.2" x14ac:dyDescent="0.25">
      <c r="A293" s="251">
        <v>1561</v>
      </c>
      <c r="B293" s="250" t="s">
        <v>318</v>
      </c>
      <c r="C293" s="249">
        <f>C115+C229+C114</f>
        <v>0</v>
      </c>
      <c r="D293" s="249">
        <f>D115+D229+D114</f>
        <v>0</v>
      </c>
      <c r="E293" s="1204">
        <f>E115+E229+E114</f>
        <v>0</v>
      </c>
      <c r="F293" s="248">
        <f>F115+F229+F114</f>
        <v>0</v>
      </c>
      <c r="G293" s="984"/>
      <c r="H293" s="238"/>
      <c r="I293" s="238"/>
      <c r="J293" s="238"/>
      <c r="K293" s="238"/>
      <c r="L293" s="238"/>
      <c r="M293" s="238"/>
      <c r="N293" s="238"/>
    </row>
    <row r="294" spans="1:14" s="983" customFormat="1" ht="13.2" x14ac:dyDescent="0.25">
      <c r="A294" s="251">
        <v>1562</v>
      </c>
      <c r="B294" s="250" t="s">
        <v>380</v>
      </c>
      <c r="C294" s="249">
        <f>C116</f>
        <v>0</v>
      </c>
      <c r="D294" s="249">
        <f>D116</f>
        <v>0</v>
      </c>
      <c r="E294" s="1204">
        <f>E116</f>
        <v>0</v>
      </c>
      <c r="F294" s="248">
        <f>F116</f>
        <v>0</v>
      </c>
      <c r="G294" s="984"/>
      <c r="H294" s="238"/>
      <c r="I294" s="238"/>
      <c r="J294" s="238"/>
      <c r="K294" s="238"/>
      <c r="L294" s="238"/>
      <c r="M294" s="238"/>
      <c r="N294" s="238"/>
    </row>
    <row r="295" spans="1:14" s="983" customFormat="1" ht="13.8" thickBot="1" x14ac:dyDescent="0.3">
      <c r="A295" s="247"/>
      <c r="B295" s="246"/>
      <c r="C295" s="245"/>
      <c r="D295" s="245"/>
      <c r="E295" s="1210"/>
      <c r="F295" s="244"/>
      <c r="G295" s="984"/>
      <c r="H295" s="238"/>
      <c r="I295" s="238"/>
      <c r="J295" s="238"/>
      <c r="K295" s="238"/>
      <c r="L295" s="238"/>
      <c r="M295" s="238"/>
      <c r="N295" s="238"/>
    </row>
    <row r="296" spans="1:14" s="983" customFormat="1" ht="27" thickBot="1" x14ac:dyDescent="0.3">
      <c r="A296" s="383"/>
      <c r="B296" s="383" t="s">
        <v>379</v>
      </c>
      <c r="C296" s="239">
        <f>SUM(C291:C295)</f>
        <v>17000</v>
      </c>
      <c r="D296" s="239">
        <f>SUM(D291:D295)</f>
        <v>17000</v>
      </c>
      <c r="E296" s="1222">
        <f>SUM(E291:E295)</f>
        <v>17000</v>
      </c>
      <c r="F296" s="350">
        <f>E296/D296</f>
        <v>1</v>
      </c>
      <c r="G296" s="984"/>
      <c r="H296" s="238"/>
      <c r="I296" s="238"/>
      <c r="J296" s="238"/>
      <c r="K296" s="238"/>
      <c r="L296" s="238"/>
      <c r="M296" s="238"/>
      <c r="N296" s="238"/>
    </row>
    <row r="297" spans="1:14" s="983" customFormat="1" ht="13.8" thickBot="1" x14ac:dyDescent="0.3">
      <c r="A297" s="243"/>
      <c r="B297" s="242"/>
      <c r="C297" s="241"/>
      <c r="D297" s="241"/>
      <c r="E297" s="1224"/>
      <c r="F297" s="240"/>
      <c r="G297" s="984"/>
      <c r="H297" s="238"/>
      <c r="I297" s="238"/>
      <c r="J297" s="238"/>
      <c r="K297" s="238"/>
      <c r="L297" s="238"/>
      <c r="M297" s="238"/>
      <c r="N297" s="238"/>
    </row>
    <row r="298" spans="1:14" s="983" customFormat="1" ht="31.8" thickBot="1" x14ac:dyDescent="0.3">
      <c r="A298" s="385"/>
      <c r="B298" s="385" t="s">
        <v>316</v>
      </c>
      <c r="C298" s="239">
        <f>SUM(C285+C290+C296)</f>
        <v>1930158</v>
      </c>
      <c r="D298" s="239">
        <f>SUM(D285+D290+D296)</f>
        <v>2680158</v>
      </c>
      <c r="E298" s="1222">
        <f>SUM(E285+E290+E296)</f>
        <v>2680458</v>
      </c>
      <c r="F298" s="350">
        <f>E298/D298</f>
        <v>1.0001119336994311</v>
      </c>
      <c r="G298" s="984"/>
      <c r="H298" s="238"/>
      <c r="I298" s="238"/>
      <c r="J298" s="238"/>
      <c r="K298" s="238"/>
      <c r="L298" s="238"/>
      <c r="M298" s="238"/>
      <c r="N298" s="238"/>
    </row>
    <row r="299" spans="1:14" s="983" customFormat="1" ht="15.6" x14ac:dyDescent="0.25">
      <c r="A299" s="256"/>
      <c r="B299" s="257"/>
      <c r="C299" s="253"/>
      <c r="D299" s="253"/>
      <c r="E299" s="1223"/>
      <c r="F299" s="252"/>
      <c r="G299" s="984"/>
      <c r="H299" s="238"/>
      <c r="I299" s="238"/>
      <c r="J299" s="238"/>
      <c r="K299" s="238"/>
      <c r="L299" s="238"/>
      <c r="M299" s="238"/>
      <c r="N299" s="238"/>
    </row>
    <row r="300" spans="1:14" s="983" customFormat="1" ht="22.8" x14ac:dyDescent="0.25">
      <c r="A300" s="251">
        <v>1570</v>
      </c>
      <c r="B300" s="250" t="s">
        <v>311</v>
      </c>
      <c r="C300" s="249">
        <f>SUM(C180+C122+C232)</f>
        <v>550000</v>
      </c>
      <c r="D300" s="249">
        <f>SUM(D180+D122+D232)</f>
        <v>550000</v>
      </c>
      <c r="E300" s="1204">
        <f>SUM(E180+E122+E232)</f>
        <v>2225936</v>
      </c>
      <c r="F300" s="370">
        <f>E300/D300</f>
        <v>4.0471563636363639</v>
      </c>
      <c r="G300" s="984"/>
      <c r="H300" s="238"/>
      <c r="I300" s="238"/>
      <c r="J300" s="238"/>
      <c r="K300" s="238"/>
      <c r="L300" s="238"/>
      <c r="M300" s="238"/>
      <c r="N300" s="238"/>
    </row>
    <row r="301" spans="1:14" s="983" customFormat="1" ht="13.2" x14ac:dyDescent="0.25">
      <c r="A301" s="251">
        <v>1571</v>
      </c>
      <c r="B301" s="250" t="s">
        <v>314</v>
      </c>
      <c r="C301" s="249">
        <f>SUM(C233+C181)</f>
        <v>15574501</v>
      </c>
      <c r="D301" s="249">
        <f>SUM(D233+D181)</f>
        <v>15741601</v>
      </c>
      <c r="E301" s="1204">
        <f>SUM(E233+E181)</f>
        <v>16732773</v>
      </c>
      <c r="F301" s="370">
        <f>E301/D301</f>
        <v>1.0629651329620158</v>
      </c>
      <c r="G301" s="984"/>
      <c r="H301" s="238"/>
      <c r="I301" s="238"/>
      <c r="J301" s="238"/>
      <c r="K301" s="238"/>
      <c r="L301" s="238"/>
      <c r="M301" s="238"/>
      <c r="N301" s="238"/>
    </row>
    <row r="302" spans="1:14" s="983" customFormat="1" ht="13.2" x14ac:dyDescent="0.25">
      <c r="A302" s="251">
        <v>1572</v>
      </c>
      <c r="B302" s="250" t="s">
        <v>378</v>
      </c>
      <c r="C302" s="249">
        <f>SUM(C124)</f>
        <v>0</v>
      </c>
      <c r="D302" s="249">
        <f>SUM(D124)</f>
        <v>0</v>
      </c>
      <c r="E302" s="1204">
        <f>SUM(E124)</f>
        <v>0</v>
      </c>
      <c r="F302" s="248">
        <f>SUM(F124)</f>
        <v>0</v>
      </c>
      <c r="G302" s="984"/>
      <c r="H302" s="238"/>
      <c r="I302" s="238"/>
      <c r="J302" s="238"/>
      <c r="K302" s="238"/>
      <c r="L302" s="238"/>
      <c r="M302" s="238"/>
      <c r="N302" s="238"/>
    </row>
    <row r="303" spans="1:14" s="983" customFormat="1" ht="13.2" x14ac:dyDescent="0.25">
      <c r="A303" s="251"/>
      <c r="B303" s="250" t="s">
        <v>377</v>
      </c>
      <c r="C303" s="249">
        <f>SUM(C123)</f>
        <v>11500000</v>
      </c>
      <c r="D303" s="249">
        <f>SUM(D123)</f>
        <v>11500000</v>
      </c>
      <c r="E303" s="1204">
        <f>SUM(E123)</f>
        <v>11500000</v>
      </c>
      <c r="F303" s="248">
        <f>SUM(F123)</f>
        <v>0</v>
      </c>
      <c r="G303" s="984"/>
      <c r="H303" s="238"/>
      <c r="I303" s="238"/>
      <c r="J303" s="238"/>
      <c r="K303" s="238"/>
      <c r="L303" s="238"/>
      <c r="M303" s="238"/>
      <c r="N303" s="238"/>
    </row>
    <row r="304" spans="1:14" s="983" customFormat="1" ht="22.8" x14ac:dyDescent="0.25">
      <c r="A304" s="251">
        <v>1573</v>
      </c>
      <c r="B304" s="250" t="s">
        <v>376</v>
      </c>
      <c r="C304" s="249">
        <f>SUM(C231)</f>
        <v>0</v>
      </c>
      <c r="D304" s="249">
        <f>SUM(D231)</f>
        <v>0</v>
      </c>
      <c r="E304" s="1204">
        <f>SUM(E231)</f>
        <v>1862</v>
      </c>
      <c r="F304" s="248">
        <f>SUM(F231)</f>
        <v>0</v>
      </c>
      <c r="G304" s="984"/>
      <c r="H304" s="238"/>
      <c r="I304" s="238"/>
      <c r="J304" s="238"/>
      <c r="K304" s="238"/>
      <c r="L304" s="238"/>
      <c r="M304" s="238"/>
      <c r="N304" s="238"/>
    </row>
    <row r="305" spans="1:14" s="983" customFormat="1" ht="13.8" thickBot="1" x14ac:dyDescent="0.3">
      <c r="A305" s="247"/>
      <c r="B305" s="246"/>
      <c r="C305" s="245"/>
      <c r="D305" s="245"/>
      <c r="E305" s="1210"/>
      <c r="F305" s="244"/>
      <c r="G305" s="984"/>
      <c r="H305" s="238"/>
      <c r="I305" s="238"/>
      <c r="J305" s="238"/>
      <c r="K305" s="238"/>
      <c r="L305" s="238"/>
      <c r="M305" s="238"/>
      <c r="N305" s="238"/>
    </row>
    <row r="306" spans="1:14" s="983" customFormat="1" ht="14.4" thickBot="1" x14ac:dyDescent="0.3">
      <c r="A306" s="375"/>
      <c r="B306" s="375" t="s">
        <v>312</v>
      </c>
      <c r="C306" s="239">
        <f>SUM(C299:C305)</f>
        <v>27624501</v>
      </c>
      <c r="D306" s="239">
        <f>SUM(D299:D305)</f>
        <v>27791601</v>
      </c>
      <c r="E306" s="1222">
        <f>SUM(E299:E305)</f>
        <v>30460571</v>
      </c>
      <c r="F306" s="350">
        <f>E306/D306</f>
        <v>1.096035129462315</v>
      </c>
      <c r="G306" s="984"/>
      <c r="H306" s="238"/>
      <c r="I306" s="238"/>
      <c r="J306" s="238"/>
      <c r="K306" s="238"/>
      <c r="L306" s="238"/>
      <c r="M306" s="238"/>
      <c r="N306" s="238"/>
    </row>
    <row r="307" spans="1:14" s="983" customFormat="1" ht="13.8" x14ac:dyDescent="0.25">
      <c r="A307" s="256"/>
      <c r="B307" s="254"/>
      <c r="C307" s="253"/>
      <c r="D307" s="253"/>
      <c r="E307" s="1223"/>
      <c r="F307" s="252"/>
      <c r="G307" s="984"/>
      <c r="H307" s="238"/>
      <c r="I307" s="238"/>
      <c r="J307" s="238"/>
      <c r="K307" s="238"/>
      <c r="L307" s="238"/>
      <c r="M307" s="238"/>
      <c r="N307" s="238"/>
    </row>
    <row r="308" spans="1:14" s="983" customFormat="1" ht="22.8" x14ac:dyDescent="0.25">
      <c r="A308" s="251">
        <v>1581</v>
      </c>
      <c r="B308" s="250" t="s">
        <v>311</v>
      </c>
      <c r="C308" s="249">
        <f>SUM(C128+C185+C239)</f>
        <v>0</v>
      </c>
      <c r="D308" s="249">
        <f>SUM(D128+D185+D239)</f>
        <v>0</v>
      </c>
      <c r="E308" s="1204">
        <f>SUM(E128+E185+E239)</f>
        <v>654761</v>
      </c>
      <c r="F308" s="370">
        <v>0</v>
      </c>
      <c r="G308" s="984"/>
      <c r="H308" s="238"/>
      <c r="I308" s="238"/>
      <c r="J308" s="238"/>
      <c r="K308" s="238"/>
      <c r="L308" s="238"/>
      <c r="M308" s="238"/>
      <c r="N308" s="238"/>
    </row>
    <row r="309" spans="1:14" s="983" customFormat="1" ht="13.8" thickBot="1" x14ac:dyDescent="0.3">
      <c r="A309" s="247"/>
      <c r="B309" s="246"/>
      <c r="C309" s="245"/>
      <c r="D309" s="245"/>
      <c r="E309" s="1210"/>
      <c r="F309" s="244"/>
      <c r="G309" s="984"/>
      <c r="H309" s="238"/>
      <c r="I309" s="238"/>
      <c r="J309" s="238"/>
      <c r="K309" s="238"/>
      <c r="L309" s="238"/>
      <c r="M309" s="238"/>
      <c r="N309" s="238"/>
    </row>
    <row r="310" spans="1:14" s="983" customFormat="1" ht="27" thickBot="1" x14ac:dyDescent="0.3">
      <c r="A310" s="383"/>
      <c r="B310" s="383" t="s">
        <v>375</v>
      </c>
      <c r="C310" s="239">
        <f>SUM(C307:C309)</f>
        <v>0</v>
      </c>
      <c r="D310" s="239">
        <f>SUM(D307:D309)</f>
        <v>0</v>
      </c>
      <c r="E310" s="1222">
        <f>SUM(E307:E309)</f>
        <v>654761</v>
      </c>
      <c r="F310" s="350">
        <v>0</v>
      </c>
      <c r="G310" s="984"/>
      <c r="H310" s="238"/>
      <c r="I310" s="238"/>
      <c r="J310" s="238"/>
      <c r="K310" s="238"/>
      <c r="L310" s="238"/>
      <c r="M310" s="238"/>
      <c r="N310" s="238"/>
    </row>
    <row r="311" spans="1:14" s="983" customFormat="1" ht="13.8" thickBot="1" x14ac:dyDescent="0.3">
      <c r="A311" s="243"/>
      <c r="B311" s="242"/>
      <c r="C311" s="241"/>
      <c r="D311" s="241"/>
      <c r="E311" s="1224"/>
      <c r="F311" s="240"/>
      <c r="G311" s="984"/>
      <c r="H311" s="238"/>
      <c r="I311" s="238"/>
      <c r="J311" s="238"/>
      <c r="K311" s="238"/>
      <c r="L311" s="238"/>
      <c r="M311" s="238"/>
      <c r="N311" s="238"/>
    </row>
    <row r="312" spans="1:14" s="983" customFormat="1" ht="42" thickBot="1" x14ac:dyDescent="0.3">
      <c r="A312" s="382"/>
      <c r="B312" s="382" t="s">
        <v>374</v>
      </c>
      <c r="C312" s="239">
        <f>C277+C298+C300+C302+C303+C304+C308</f>
        <v>44735745</v>
      </c>
      <c r="D312" s="239">
        <f>D277+D298+D300+D302+D303+D304+D308</f>
        <v>45487776</v>
      </c>
      <c r="E312" s="1222">
        <f>E277+E298+E300+E302+E303+E304+E308</f>
        <v>48895795</v>
      </c>
      <c r="F312" s="350">
        <f>E312/D312</f>
        <v>1.0749216448832319</v>
      </c>
      <c r="G312" s="984"/>
      <c r="H312" s="238"/>
      <c r="I312" s="238"/>
      <c r="J312" s="238"/>
      <c r="K312" s="238"/>
      <c r="L312" s="238"/>
      <c r="M312" s="238"/>
      <c r="N312" s="238"/>
    </row>
  </sheetData>
  <mergeCells count="8">
    <mergeCell ref="A1:F1"/>
    <mergeCell ref="A4:A6"/>
    <mergeCell ref="B4:B6"/>
    <mergeCell ref="C4:C6"/>
    <mergeCell ref="F4:F6"/>
    <mergeCell ref="A2:F2"/>
    <mergeCell ref="D4:D6"/>
    <mergeCell ref="E4:E6"/>
  </mergeCells>
  <printOptions horizontalCentered="1"/>
  <pageMargins left="0.19685039370078741" right="0.19685039370078741" top="0.19685039370078741" bottom="0.19685039370078741" header="0" footer="0"/>
  <pageSetup paperSize="9" firstPageNumber="2" fitToHeight="0" orientation="portrait" useFirstPageNumber="1" horizontalDpi="300" verticalDpi="300" r:id="rId1"/>
  <headerFooter alignWithMargins="0">
    <oddFooter>&amp;C&amp;P. oldal</oddFooter>
  </headerFooter>
  <rowBreaks count="6" manualBreakCount="6">
    <brk id="55" max="4" man="1"/>
    <brk id="102" max="4" man="1"/>
    <brk id="145" max="4" man="1"/>
    <brk id="189" max="4" man="1"/>
    <brk id="239" max="4" man="1"/>
    <brk id="287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1"/>
  <sheetViews>
    <sheetView zoomScaleNormal="100" zoomScaleSheetLayoutView="100" workbookViewId="0">
      <selection activeCell="H21" sqref="H21"/>
    </sheetView>
  </sheetViews>
  <sheetFormatPr defaultColWidth="9.33203125" defaultRowHeight="11.4" x14ac:dyDescent="0.2"/>
  <cols>
    <col min="1" max="1" width="7" style="12" customWidth="1"/>
    <col min="2" max="2" width="72.33203125" style="12" customWidth="1"/>
    <col min="3" max="5" width="13.5546875" style="12" customWidth="1"/>
    <col min="6" max="6" width="10.6640625" style="12" customWidth="1"/>
    <col min="7" max="16384" width="9.33203125" style="12"/>
  </cols>
  <sheetData>
    <row r="1" spans="1:7" ht="13.2" x14ac:dyDescent="0.25">
      <c r="A1" s="1481" t="s">
        <v>1423</v>
      </c>
      <c r="B1" s="1481"/>
      <c r="C1" s="1482"/>
      <c r="D1" s="1482"/>
      <c r="E1" s="1482"/>
      <c r="F1" s="1482"/>
    </row>
    <row r="2" spans="1:7" ht="13.2" x14ac:dyDescent="0.25">
      <c r="A2" s="1481" t="s">
        <v>567</v>
      </c>
      <c r="B2" s="1481"/>
      <c r="C2" s="1482"/>
      <c r="D2" s="1482"/>
      <c r="E2" s="1482"/>
      <c r="F2" s="1482"/>
    </row>
    <row r="3" spans="1:7" ht="9" customHeight="1" x14ac:dyDescent="0.25">
      <c r="A3" s="442"/>
      <c r="B3" s="442"/>
    </row>
    <row r="4" spans="1:7" ht="12" customHeight="1" thickBot="1" x14ac:dyDescent="0.3">
      <c r="A4" s="443"/>
      <c r="B4" s="444"/>
      <c r="C4" s="34"/>
      <c r="D4" s="34"/>
      <c r="E4" s="34"/>
      <c r="F4" s="34" t="s">
        <v>87</v>
      </c>
    </row>
    <row r="5" spans="1:7" ht="12" customHeight="1" x14ac:dyDescent="0.2">
      <c r="A5" s="1466" t="s">
        <v>114</v>
      </c>
      <c r="B5" s="1469" t="s">
        <v>76</v>
      </c>
      <c r="C5" s="1472" t="s">
        <v>1431</v>
      </c>
      <c r="D5" s="1472" t="s">
        <v>1437</v>
      </c>
      <c r="E5" s="1478" t="s">
        <v>281</v>
      </c>
      <c r="F5" s="1475" t="s">
        <v>1443</v>
      </c>
    </row>
    <row r="6" spans="1:7" ht="12" customHeight="1" x14ac:dyDescent="0.2">
      <c r="A6" s="1467"/>
      <c r="B6" s="1470"/>
      <c r="C6" s="1473"/>
      <c r="D6" s="1473"/>
      <c r="E6" s="1479"/>
      <c r="F6" s="1476"/>
    </row>
    <row r="7" spans="1:7" ht="12.75" customHeight="1" thickBot="1" x14ac:dyDescent="0.25">
      <c r="A7" s="1468"/>
      <c r="B7" s="1471"/>
      <c r="C7" s="1474"/>
      <c r="D7" s="1474"/>
      <c r="E7" s="1480"/>
      <c r="F7" s="1477"/>
    </row>
    <row r="8" spans="1:7" ht="12" customHeight="1" thickBot="1" x14ac:dyDescent="0.25">
      <c r="A8" s="337" t="s">
        <v>373</v>
      </c>
      <c r="B8" s="338" t="s">
        <v>372</v>
      </c>
      <c r="C8" s="339" t="s">
        <v>79</v>
      </c>
      <c r="D8" s="339" t="s">
        <v>191</v>
      </c>
      <c r="E8" s="1200" t="s">
        <v>192</v>
      </c>
      <c r="F8" s="340" t="s">
        <v>197</v>
      </c>
    </row>
    <row r="9" spans="1:7" ht="15" customHeight="1" x14ac:dyDescent="0.25">
      <c r="A9" s="499"/>
      <c r="B9" s="446" t="s">
        <v>514</v>
      </c>
      <c r="C9" s="4"/>
      <c r="D9" s="4"/>
      <c r="E9" s="1225"/>
      <c r="F9" s="500"/>
    </row>
    <row r="10" spans="1:7" ht="12" x14ac:dyDescent="0.25">
      <c r="A10" s="499"/>
      <c r="B10" s="447"/>
      <c r="C10" s="4"/>
      <c r="D10" s="4"/>
      <c r="E10" s="1225"/>
      <c r="F10" s="501"/>
    </row>
    <row r="11" spans="1:7" ht="12" x14ac:dyDescent="0.25">
      <c r="A11" s="502">
        <v>1710</v>
      </c>
      <c r="B11" s="2" t="s">
        <v>515</v>
      </c>
      <c r="C11" s="448">
        <f>SUM(C12:C19)</f>
        <v>4995397</v>
      </c>
      <c r="D11" s="448">
        <f>SUM(D12:D19)</f>
        <v>4995397</v>
      </c>
      <c r="E11" s="1226">
        <f>SUM(E12:E19)</f>
        <v>5376303</v>
      </c>
      <c r="F11" s="503">
        <f>SUM(E11/D11)</f>
        <v>1.0762513970361114</v>
      </c>
      <c r="G11" s="984"/>
    </row>
    <row r="12" spans="1:7" x14ac:dyDescent="0.2">
      <c r="A12" s="504">
        <v>1711</v>
      </c>
      <c r="B12" s="4" t="s">
        <v>516</v>
      </c>
      <c r="C12" s="4">
        <f>'3 mell 1. pont'!C72</f>
        <v>3332083</v>
      </c>
      <c r="D12" s="4">
        <f>'3 mell 1. pont'!D72</f>
        <v>3332083</v>
      </c>
      <c r="E12" s="1227">
        <f>'3 mell 1. pont'!E72</f>
        <v>3457779</v>
      </c>
      <c r="F12" s="370">
        <f>E12/D12</f>
        <v>1.0377229498784994</v>
      </c>
      <c r="G12" s="984"/>
    </row>
    <row r="13" spans="1:7" x14ac:dyDescent="0.2">
      <c r="A13" s="504">
        <v>1712</v>
      </c>
      <c r="B13" s="4" t="s">
        <v>39</v>
      </c>
      <c r="C13" s="4">
        <f>'3 mell 1. pont'!C73</f>
        <v>454723</v>
      </c>
      <c r="D13" s="4">
        <f>'3 mell 1. pont'!D73</f>
        <v>454723</v>
      </c>
      <c r="E13" s="1227">
        <f>'3 mell 1. pont'!E73</f>
        <v>494810</v>
      </c>
      <c r="F13" s="367">
        <f>E13/D13</f>
        <v>1.0881569658891237</v>
      </c>
      <c r="G13" s="984"/>
    </row>
    <row r="14" spans="1:7" x14ac:dyDescent="0.2">
      <c r="A14" s="504">
        <v>1713</v>
      </c>
      <c r="B14" s="4" t="s">
        <v>40</v>
      </c>
      <c r="C14" s="4">
        <f>'3 mell 1. pont'!C74</f>
        <v>633736</v>
      </c>
      <c r="D14" s="4">
        <f>'3 mell 1. pont'!D74</f>
        <v>633736</v>
      </c>
      <c r="E14" s="1227">
        <f>'3 mell 1. pont'!E74</f>
        <v>832229</v>
      </c>
      <c r="F14" s="370">
        <f>E14/D14</f>
        <v>1.3132108638297335</v>
      </c>
      <c r="G14" s="984"/>
    </row>
    <row r="15" spans="1:7" x14ac:dyDescent="0.2">
      <c r="A15" s="504">
        <v>1714</v>
      </c>
      <c r="B15" s="4" t="s">
        <v>517</v>
      </c>
      <c r="C15" s="4">
        <f>'3 mell 1. pont'!C75</f>
        <v>0</v>
      </c>
      <c r="D15" s="4">
        <f>'3 mell 1. pont'!D75</f>
        <v>0</v>
      </c>
      <c r="E15" s="1227">
        <f>'3 mell 1. pont'!E75</f>
        <v>0</v>
      </c>
      <c r="F15" s="367"/>
      <c r="G15" s="984"/>
    </row>
    <row r="16" spans="1:7" x14ac:dyDescent="0.2">
      <c r="A16" s="504">
        <v>1715</v>
      </c>
      <c r="B16" s="3" t="s">
        <v>121</v>
      </c>
      <c r="C16" s="4">
        <f>'3 mell 1. pont'!C76</f>
        <v>0</v>
      </c>
      <c r="D16" s="4">
        <f>'3 mell 1. pont'!D76</f>
        <v>0</v>
      </c>
      <c r="E16" s="1227">
        <f>'3 mell 1. pont'!E76</f>
        <v>0</v>
      </c>
      <c r="F16" s="370"/>
      <c r="G16" s="984"/>
    </row>
    <row r="17" spans="1:7" x14ac:dyDescent="0.2">
      <c r="A17" s="504">
        <v>1716</v>
      </c>
      <c r="B17" s="21" t="s">
        <v>94</v>
      </c>
      <c r="C17" s="4">
        <f>'3 mell 1. pont'!C80</f>
        <v>415755</v>
      </c>
      <c r="D17" s="4">
        <f>'3 mell 1. pont'!D80</f>
        <v>415755</v>
      </c>
      <c r="E17" s="1227">
        <f>'3 mell 1. pont'!E80</f>
        <v>419245</v>
      </c>
      <c r="F17" s="367">
        <f>E17/D17</f>
        <v>1.0083943668747219</v>
      </c>
      <c r="G17" s="984"/>
    </row>
    <row r="18" spans="1:7" x14ac:dyDescent="0.2">
      <c r="A18" s="504">
        <v>1717</v>
      </c>
      <c r="B18" s="22" t="s">
        <v>95</v>
      </c>
      <c r="C18" s="4">
        <f>'3 mell 1. pont'!C79</f>
        <v>156100</v>
      </c>
      <c r="D18" s="4">
        <f>'3 mell 1. pont'!D79</f>
        <v>156100</v>
      </c>
      <c r="E18" s="1227">
        <f>'3 mell 1. pont'!E79</f>
        <v>169240</v>
      </c>
      <c r="F18" s="370">
        <f>E18/D18</f>
        <v>1.0841768097373479</v>
      </c>
      <c r="G18" s="984"/>
    </row>
    <row r="19" spans="1:7" x14ac:dyDescent="0.2">
      <c r="A19" s="504">
        <v>1718</v>
      </c>
      <c r="B19" s="22" t="s">
        <v>518</v>
      </c>
      <c r="C19" s="4">
        <f>'3 mell 1. pont'!C81</f>
        <v>3000</v>
      </c>
      <c r="D19" s="4">
        <f>'3 mell 1. pont'!D81</f>
        <v>3000</v>
      </c>
      <c r="E19" s="1227">
        <f>'3 mell 1. pont'!E81</f>
        <v>3000</v>
      </c>
      <c r="F19" s="367">
        <f>E19/D19</f>
        <v>1</v>
      </c>
      <c r="G19" s="984"/>
    </row>
    <row r="20" spans="1:7" ht="12" x14ac:dyDescent="0.25">
      <c r="A20" s="504"/>
      <c r="B20" s="4"/>
      <c r="C20" s="4"/>
      <c r="D20" s="4"/>
      <c r="E20" s="1227"/>
      <c r="F20" s="503"/>
      <c r="G20" s="984"/>
    </row>
    <row r="21" spans="1:7" ht="13.2" x14ac:dyDescent="0.25">
      <c r="A21" s="504"/>
      <c r="B21" s="449" t="s">
        <v>519</v>
      </c>
      <c r="C21" s="4"/>
      <c r="D21" s="4"/>
      <c r="E21" s="1227"/>
      <c r="F21" s="503"/>
      <c r="G21" s="984"/>
    </row>
    <row r="22" spans="1:7" ht="12" customHeight="1" x14ac:dyDescent="0.25">
      <c r="A22" s="499"/>
      <c r="B22" s="447"/>
      <c r="C22" s="4"/>
      <c r="D22" s="4"/>
      <c r="E22" s="1227"/>
      <c r="F22" s="503"/>
      <c r="G22" s="984"/>
    </row>
    <row r="23" spans="1:7" ht="12" x14ac:dyDescent="0.25">
      <c r="A23" s="505">
        <v>1750</v>
      </c>
      <c r="B23" s="5" t="s">
        <v>520</v>
      </c>
      <c r="C23" s="450">
        <f>SUM(C24:C32)</f>
        <v>7231873</v>
      </c>
      <c r="D23" s="450">
        <f>SUM(D24:D32)</f>
        <v>7064773</v>
      </c>
      <c r="E23" s="1228">
        <f>SUM(E24:E32)</f>
        <v>7738125</v>
      </c>
      <c r="F23" s="503">
        <f>SUM(E23/D23)</f>
        <v>1.0953112010817616</v>
      </c>
      <c r="G23" s="984"/>
    </row>
    <row r="24" spans="1:7" x14ac:dyDescent="0.2">
      <c r="A24" s="504">
        <v>1751</v>
      </c>
      <c r="B24" s="4" t="s">
        <v>516</v>
      </c>
      <c r="C24" s="4">
        <f>'3 mell. 2. pont'!C941</f>
        <v>420407</v>
      </c>
      <c r="D24" s="4">
        <f>'3 mell. 2. pont'!D941</f>
        <v>420407</v>
      </c>
      <c r="E24" s="1227">
        <f>'3 mell. 2. pont'!E941</f>
        <v>436344</v>
      </c>
      <c r="F24" s="370">
        <f t="shared" ref="F24:F29" si="0">E24/D24</f>
        <v>1.037908502950712</v>
      </c>
      <c r="G24" s="984"/>
    </row>
    <row r="25" spans="1:7" x14ac:dyDescent="0.2">
      <c r="A25" s="504">
        <v>1752</v>
      </c>
      <c r="B25" s="4" t="s">
        <v>39</v>
      </c>
      <c r="C25" s="4">
        <f>'3 mell. 2. pont'!C942</f>
        <v>64421</v>
      </c>
      <c r="D25" s="4">
        <f>'3 mell. 2. pont'!D942</f>
        <v>64421</v>
      </c>
      <c r="E25" s="1227">
        <f>'3 mell. 2. pont'!E942</f>
        <v>68721</v>
      </c>
      <c r="F25" s="367">
        <f t="shared" si="0"/>
        <v>1.0667484205460953</v>
      </c>
      <c r="G25" s="984"/>
    </row>
    <row r="26" spans="1:7" x14ac:dyDescent="0.2">
      <c r="A26" s="504">
        <v>1753</v>
      </c>
      <c r="B26" s="4" t="s">
        <v>40</v>
      </c>
      <c r="C26" s="4">
        <f>'3 mell. 2. pont'!C943</f>
        <v>5086437</v>
      </c>
      <c r="D26" s="4">
        <f>'3 mell. 2. pont'!D943</f>
        <v>4919337</v>
      </c>
      <c r="E26" s="1227">
        <f>'3 mell. 2. pont'!E943</f>
        <v>5519916</v>
      </c>
      <c r="F26" s="370">
        <f t="shared" si="0"/>
        <v>1.1220853541849236</v>
      </c>
      <c r="G26" s="984"/>
    </row>
    <row r="27" spans="1:7" x14ac:dyDescent="0.2">
      <c r="A27" s="504">
        <v>1754</v>
      </c>
      <c r="B27" s="4" t="s">
        <v>517</v>
      </c>
      <c r="C27" s="4">
        <f>'3 mell. 2. pont'!C944</f>
        <v>244500</v>
      </c>
      <c r="D27" s="4">
        <f>'3 mell. 2. pont'!D944</f>
        <v>244500</v>
      </c>
      <c r="E27" s="1227">
        <f>'3 mell. 2. pont'!E944</f>
        <v>251619</v>
      </c>
      <c r="F27" s="370">
        <f t="shared" si="0"/>
        <v>1.0291165644171778</v>
      </c>
      <c r="G27" s="984"/>
    </row>
    <row r="28" spans="1:7" x14ac:dyDescent="0.2">
      <c r="A28" s="504">
        <v>1755</v>
      </c>
      <c r="B28" s="4" t="s">
        <v>121</v>
      </c>
      <c r="C28" s="4">
        <f>'3 mell. 2. pont'!C945</f>
        <v>111788</v>
      </c>
      <c r="D28" s="4">
        <f>'3 mell. 2. pont'!D945</f>
        <v>111788</v>
      </c>
      <c r="E28" s="1227">
        <f>'3 mell. 2. pont'!E945</f>
        <v>116088</v>
      </c>
      <c r="F28" s="370">
        <f t="shared" si="0"/>
        <v>1.0384656671556876</v>
      </c>
      <c r="G28" s="984"/>
    </row>
    <row r="29" spans="1:7" x14ac:dyDescent="0.2">
      <c r="A29" s="504">
        <v>1756</v>
      </c>
      <c r="B29" s="4" t="s">
        <v>94</v>
      </c>
      <c r="C29" s="4">
        <f>'3 mell. 2. pont'!C948</f>
        <v>53400</v>
      </c>
      <c r="D29" s="4">
        <f>'3 mell. 2. pont'!D948</f>
        <v>53400</v>
      </c>
      <c r="E29" s="1227">
        <f>'3 mell. 2. pont'!E948</f>
        <v>85395</v>
      </c>
      <c r="F29" s="370">
        <f t="shared" si="0"/>
        <v>1.5991573033707864</v>
      </c>
      <c r="G29" s="984"/>
    </row>
    <row r="30" spans="1:7" x14ac:dyDescent="0.2">
      <c r="A30" s="506">
        <v>1757</v>
      </c>
      <c r="B30" s="3" t="s">
        <v>95</v>
      </c>
      <c r="C30" s="4">
        <f>'3 mell. 2. pont'!C949</f>
        <v>0</v>
      </c>
      <c r="D30" s="4">
        <f>'3 mell. 2. pont'!D949</f>
        <v>0</v>
      </c>
      <c r="E30" s="1227">
        <f>'3 mell. 2. pont'!E949</f>
        <v>0</v>
      </c>
      <c r="F30" s="370"/>
      <c r="G30" s="984"/>
    </row>
    <row r="31" spans="1:7" x14ac:dyDescent="0.2">
      <c r="A31" s="504">
        <v>1758</v>
      </c>
      <c r="B31" s="4" t="s">
        <v>521</v>
      </c>
      <c r="C31" s="4">
        <f>'3 mell. 2. pont'!C950</f>
        <v>1250920</v>
      </c>
      <c r="D31" s="4">
        <f>'3 mell. 2. pont'!D950</f>
        <v>1250920</v>
      </c>
      <c r="E31" s="1227">
        <f>'3 mell. 2. pont'!E950</f>
        <v>1260042</v>
      </c>
      <c r="F31" s="370">
        <f>E31/D31</f>
        <v>1.0072922329165734</v>
      </c>
      <c r="G31" s="984"/>
    </row>
    <row r="32" spans="1:7" ht="12" x14ac:dyDescent="0.25">
      <c r="A32" s="504"/>
      <c r="B32" s="4"/>
      <c r="C32" s="4"/>
      <c r="D32" s="4"/>
      <c r="E32" s="1227"/>
      <c r="F32" s="503"/>
      <c r="G32" s="984"/>
    </row>
    <row r="33" spans="1:7" ht="12" x14ac:dyDescent="0.25">
      <c r="A33" s="502">
        <v>1760</v>
      </c>
      <c r="B33" s="2" t="s">
        <v>522</v>
      </c>
      <c r="C33" s="448">
        <f t="shared" ref="C33:D33" si="1">SUM(C34:C40)</f>
        <v>1887001</v>
      </c>
      <c r="D33" s="448">
        <f t="shared" si="1"/>
        <v>1887001</v>
      </c>
      <c r="E33" s="1226">
        <f t="shared" ref="E33" si="2">SUM(E34:E40)</f>
        <v>2409237</v>
      </c>
      <c r="F33" s="503">
        <f>SUM(E33/D33)</f>
        <v>1.2767544903261843</v>
      </c>
      <c r="G33" s="984"/>
    </row>
    <row r="34" spans="1:7" x14ac:dyDescent="0.2">
      <c r="A34" s="504">
        <v>1761</v>
      </c>
      <c r="B34" s="4" t="s">
        <v>516</v>
      </c>
      <c r="C34" s="3">
        <f>'3 mell 3. pont'!C66</f>
        <v>10644</v>
      </c>
      <c r="D34" s="3">
        <f>'3 mell 3. pont'!D66</f>
        <v>10644</v>
      </c>
      <c r="E34" s="1229">
        <f>'3 mell 3. pont'!E66</f>
        <v>11879</v>
      </c>
      <c r="F34" s="370">
        <f t="shared" ref="F34:F39" si="3">E34/D34</f>
        <v>1.1160278090943254</v>
      </c>
      <c r="G34" s="984"/>
    </row>
    <row r="35" spans="1:7" x14ac:dyDescent="0.2">
      <c r="A35" s="506">
        <v>1762</v>
      </c>
      <c r="B35" s="3" t="s">
        <v>39</v>
      </c>
      <c r="C35" s="3">
        <f>'3 mell 3. pont'!C67</f>
        <v>2004</v>
      </c>
      <c r="D35" s="3">
        <f>'3 mell 3. pont'!D67</f>
        <v>2004</v>
      </c>
      <c r="E35" s="1229">
        <f>'3 mell 3. pont'!E67</f>
        <v>2286</v>
      </c>
      <c r="F35" s="532">
        <f t="shared" si="3"/>
        <v>1.1407185628742516</v>
      </c>
      <c r="G35" s="984"/>
    </row>
    <row r="36" spans="1:7" x14ac:dyDescent="0.2">
      <c r="A36" s="504">
        <v>1763</v>
      </c>
      <c r="B36" s="4" t="s">
        <v>40</v>
      </c>
      <c r="C36" s="3">
        <f>'3 mell 3. pont'!C68</f>
        <v>14243</v>
      </c>
      <c r="D36" s="3">
        <f>'3 mell 3. pont'!D68</f>
        <v>14243</v>
      </c>
      <c r="E36" s="1229">
        <f>'3 mell 3. pont'!E68</f>
        <v>14243</v>
      </c>
      <c r="F36" s="370">
        <f t="shared" si="3"/>
        <v>1</v>
      </c>
      <c r="G36" s="984"/>
    </row>
    <row r="37" spans="1:7" x14ac:dyDescent="0.2">
      <c r="A37" s="504">
        <v>1764</v>
      </c>
      <c r="B37" s="4" t="s">
        <v>121</v>
      </c>
      <c r="C37" s="3">
        <f>'3 mell 3. pont'!C69</f>
        <v>1617610</v>
      </c>
      <c r="D37" s="3">
        <f>'3 mell 3. pont'!D69</f>
        <v>1617610</v>
      </c>
      <c r="E37" s="1229">
        <f>'3 mell 3. pont'!E69</f>
        <v>1937570</v>
      </c>
      <c r="F37" s="367">
        <f t="shared" si="3"/>
        <v>1.1977979859174956</v>
      </c>
      <c r="G37" s="984"/>
    </row>
    <row r="38" spans="1:7" x14ac:dyDescent="0.2">
      <c r="A38" s="504">
        <v>1765</v>
      </c>
      <c r="B38" s="4" t="s">
        <v>523</v>
      </c>
      <c r="C38" s="3">
        <f>'3 mell 3. pont'!C72</f>
        <v>5000</v>
      </c>
      <c r="D38" s="3">
        <f>'3 mell 3. pont'!D72</f>
        <v>5000</v>
      </c>
      <c r="E38" s="1229">
        <f>'3 mell 3. pont'!E72</f>
        <v>5000</v>
      </c>
      <c r="F38" s="370">
        <f t="shared" si="3"/>
        <v>1</v>
      </c>
      <c r="G38" s="984"/>
    </row>
    <row r="39" spans="1:7" x14ac:dyDescent="0.2">
      <c r="A39" s="504">
        <v>1766</v>
      </c>
      <c r="B39" s="4" t="s">
        <v>130</v>
      </c>
      <c r="C39" s="3">
        <f>'3 mell 3. pont'!C73</f>
        <v>237500</v>
      </c>
      <c r="D39" s="3">
        <f>'3 mell 3. pont'!D73</f>
        <v>237500</v>
      </c>
      <c r="E39" s="1229">
        <f>'3 mell 3. pont'!E73</f>
        <v>438259</v>
      </c>
      <c r="F39" s="370">
        <f t="shared" si="3"/>
        <v>1.845301052631579</v>
      </c>
      <c r="G39" s="984"/>
    </row>
    <row r="40" spans="1:7" ht="12" x14ac:dyDescent="0.25">
      <c r="A40" s="504"/>
      <c r="B40" s="4"/>
      <c r="C40" s="3"/>
      <c r="D40" s="3"/>
      <c r="E40" s="1229"/>
      <c r="F40" s="503"/>
      <c r="G40" s="984"/>
    </row>
    <row r="41" spans="1:7" ht="12" x14ac:dyDescent="0.25">
      <c r="A41" s="502">
        <v>1770</v>
      </c>
      <c r="B41" s="451" t="s">
        <v>524</v>
      </c>
      <c r="C41" s="448">
        <f t="shared" ref="C41:D41" si="4">SUM(C42:C48)</f>
        <v>8743502</v>
      </c>
      <c r="D41" s="448">
        <f t="shared" si="4"/>
        <v>8743502</v>
      </c>
      <c r="E41" s="1226">
        <f t="shared" ref="E41" si="5">SUM(E42:E48)</f>
        <v>9146490</v>
      </c>
      <c r="F41" s="503">
        <f>SUM(E41/D41)</f>
        <v>1.0460899991788188</v>
      </c>
      <c r="G41" s="984"/>
    </row>
    <row r="42" spans="1:7" x14ac:dyDescent="0.2">
      <c r="A42" s="507">
        <v>1771</v>
      </c>
      <c r="B42" s="4" t="s">
        <v>516</v>
      </c>
      <c r="C42" s="3">
        <f>'4.mell.'!C71</f>
        <v>0</v>
      </c>
      <c r="D42" s="3">
        <f>'4.mell.'!D71</f>
        <v>0</v>
      </c>
      <c r="E42" s="1229">
        <f>'4.mell.'!E71</f>
        <v>0</v>
      </c>
      <c r="F42" s="370"/>
      <c r="G42" s="984"/>
    </row>
    <row r="43" spans="1:7" x14ac:dyDescent="0.2">
      <c r="A43" s="507">
        <v>1772</v>
      </c>
      <c r="B43" s="4" t="s">
        <v>39</v>
      </c>
      <c r="C43" s="3">
        <f>'4.mell.'!C72</f>
        <v>0</v>
      </c>
      <c r="D43" s="3">
        <f>'4.mell.'!D72</f>
        <v>0</v>
      </c>
      <c r="E43" s="1229">
        <f>'4.mell.'!E72</f>
        <v>0</v>
      </c>
      <c r="F43" s="532"/>
      <c r="G43" s="984"/>
    </row>
    <row r="44" spans="1:7" x14ac:dyDescent="0.2">
      <c r="A44" s="504">
        <v>1773</v>
      </c>
      <c r="B44" s="4" t="s">
        <v>40</v>
      </c>
      <c r="C44" s="3">
        <f>'4.mell.'!C73</f>
        <v>0</v>
      </c>
      <c r="D44" s="3">
        <f>'4.mell.'!D73</f>
        <v>0</v>
      </c>
      <c r="E44" s="1229">
        <f>'4.mell.'!E73</f>
        <v>0</v>
      </c>
      <c r="F44" s="370"/>
      <c r="G44" s="984"/>
    </row>
    <row r="45" spans="1:7" x14ac:dyDescent="0.2">
      <c r="A45" s="504">
        <v>1774</v>
      </c>
      <c r="B45" s="4" t="s">
        <v>525</v>
      </c>
      <c r="C45" s="3">
        <f>'4.mell.'!C74</f>
        <v>0</v>
      </c>
      <c r="D45" s="3">
        <f>'4.mell.'!D74</f>
        <v>0</v>
      </c>
      <c r="E45" s="1229">
        <f>'4.mell.'!E74</f>
        <v>0</v>
      </c>
      <c r="F45" s="370"/>
      <c r="G45" s="984"/>
    </row>
    <row r="46" spans="1:7" x14ac:dyDescent="0.2">
      <c r="A46" s="504">
        <v>1775</v>
      </c>
      <c r="B46" s="4" t="s">
        <v>94</v>
      </c>
      <c r="C46" s="3">
        <f>'4.mell.'!C77</f>
        <v>0</v>
      </c>
      <c r="D46" s="3">
        <f>'4.mell.'!D77</f>
        <v>0</v>
      </c>
      <c r="E46" s="1229">
        <f>'4.mell.'!E77</f>
        <v>0</v>
      </c>
      <c r="F46" s="370"/>
      <c r="G46" s="984"/>
    </row>
    <row r="47" spans="1:7" x14ac:dyDescent="0.2">
      <c r="A47" s="504">
        <v>1776</v>
      </c>
      <c r="B47" s="4" t="s">
        <v>95</v>
      </c>
      <c r="C47" s="3">
        <f>'4.mell.'!C78</f>
        <v>8696381</v>
      </c>
      <c r="D47" s="3">
        <f>'4.mell.'!D78</f>
        <v>8696381</v>
      </c>
      <c r="E47" s="1229">
        <f>'4.mell.'!E78</f>
        <v>9099369</v>
      </c>
      <c r="F47" s="370">
        <f>E47/D47</f>
        <v>1.0463397360350242</v>
      </c>
      <c r="G47" s="984"/>
    </row>
    <row r="48" spans="1:7" x14ac:dyDescent="0.2">
      <c r="A48" s="504">
        <v>1777</v>
      </c>
      <c r="B48" s="4" t="s">
        <v>130</v>
      </c>
      <c r="C48" s="3">
        <f>'4.mell.'!C79</f>
        <v>47121</v>
      </c>
      <c r="D48" s="3">
        <f>'4.mell.'!D79</f>
        <v>47121</v>
      </c>
      <c r="E48" s="1229">
        <f>'4.mell.'!E79</f>
        <v>47121</v>
      </c>
      <c r="F48" s="370">
        <f>E48/D48</f>
        <v>1</v>
      </c>
      <c r="G48" s="984"/>
    </row>
    <row r="49" spans="1:16" ht="12" x14ac:dyDescent="0.25">
      <c r="A49" s="504"/>
      <c r="B49" s="4"/>
      <c r="C49" s="4"/>
      <c r="D49" s="4"/>
      <c r="E49" s="1227"/>
      <c r="F49" s="503"/>
      <c r="G49" s="984"/>
    </row>
    <row r="50" spans="1:16" ht="12" x14ac:dyDescent="0.25">
      <c r="A50" s="502">
        <v>1780</v>
      </c>
      <c r="B50" s="2" t="s">
        <v>526</v>
      </c>
      <c r="C50" s="448">
        <f>SUM(C51:C57)</f>
        <v>3354874</v>
      </c>
      <c r="D50" s="448">
        <f>SUM(D51:D57)</f>
        <v>3354874</v>
      </c>
      <c r="E50" s="1226">
        <f>SUM(E51:E57)</f>
        <v>3364874</v>
      </c>
      <c r="F50" s="503">
        <f>SUM(E50/D50)</f>
        <v>1.0029807378756996</v>
      </c>
      <c r="G50" s="984"/>
    </row>
    <row r="51" spans="1:16" ht="12" x14ac:dyDescent="0.25">
      <c r="A51" s="507">
        <v>1781</v>
      </c>
      <c r="B51" s="4" t="s">
        <v>516</v>
      </c>
      <c r="C51" s="453">
        <f>'5.mell. '!C54</f>
        <v>0</v>
      </c>
      <c r="D51" s="453">
        <f>'5.mell. '!D54</f>
        <v>0</v>
      </c>
      <c r="E51" s="1230">
        <f>'5.mell. '!E54</f>
        <v>0</v>
      </c>
      <c r="F51" s="503"/>
      <c r="G51" s="984"/>
    </row>
    <row r="52" spans="1:16" ht="12" x14ac:dyDescent="0.25">
      <c r="A52" s="507">
        <v>1782</v>
      </c>
      <c r="B52" s="4" t="s">
        <v>39</v>
      </c>
      <c r="C52" s="453">
        <f>'5.mell. '!C55</f>
        <v>0</v>
      </c>
      <c r="D52" s="453">
        <f>'5.mell. '!D55</f>
        <v>0</v>
      </c>
      <c r="E52" s="1230">
        <f>'5.mell. '!E55</f>
        <v>0</v>
      </c>
      <c r="F52" s="503"/>
      <c r="G52" s="984"/>
    </row>
    <row r="53" spans="1:16" ht="12" x14ac:dyDescent="0.25">
      <c r="A53" s="504">
        <v>1783</v>
      </c>
      <c r="B53" s="4" t="s">
        <v>40</v>
      </c>
      <c r="C53" s="453">
        <f>'5.mell. '!C56</f>
        <v>0</v>
      </c>
      <c r="D53" s="453">
        <f>'5.mell. '!D56</f>
        <v>0</v>
      </c>
      <c r="E53" s="1230">
        <f>'5.mell. '!E56</f>
        <v>0</v>
      </c>
      <c r="F53" s="503"/>
      <c r="G53" s="984"/>
    </row>
    <row r="54" spans="1:16" ht="12" x14ac:dyDescent="0.25">
      <c r="A54" s="504">
        <v>1784</v>
      </c>
      <c r="B54" s="4" t="s">
        <v>525</v>
      </c>
      <c r="C54" s="453">
        <f>'5.mell. '!C57</f>
        <v>0</v>
      </c>
      <c r="D54" s="453">
        <f>'5.mell. '!D57</f>
        <v>0</v>
      </c>
      <c r="E54" s="1230">
        <f>'5.mell. '!E57</f>
        <v>0</v>
      </c>
      <c r="F54" s="503"/>
      <c r="G54" s="984"/>
    </row>
    <row r="55" spans="1:16" x14ac:dyDescent="0.2">
      <c r="A55" s="504">
        <v>1785</v>
      </c>
      <c r="B55" s="4" t="s">
        <v>94</v>
      </c>
      <c r="C55" s="3">
        <f>'5.mell. '!C61</f>
        <v>3354874</v>
      </c>
      <c r="D55" s="3">
        <f>'5.mell. '!D61</f>
        <v>3354874</v>
      </c>
      <c r="E55" s="1229">
        <f>'5.mell. '!E61</f>
        <v>3364874</v>
      </c>
      <c r="F55" s="370">
        <f>E55/D55</f>
        <v>1.0029807378756996</v>
      </c>
      <c r="G55" s="984"/>
    </row>
    <row r="56" spans="1:16" ht="12" x14ac:dyDescent="0.25">
      <c r="A56" s="504">
        <v>1786</v>
      </c>
      <c r="B56" s="4" t="s">
        <v>95</v>
      </c>
      <c r="C56" s="454">
        <f>'5.mell. '!C60</f>
        <v>0</v>
      </c>
      <c r="D56" s="454">
        <f>'5.mell. '!D60</f>
        <v>0</v>
      </c>
      <c r="E56" s="1229">
        <f>'5.mell. '!E60</f>
        <v>0</v>
      </c>
      <c r="F56" s="503"/>
      <c r="G56" s="984"/>
    </row>
    <row r="57" spans="1:16" ht="12" x14ac:dyDescent="0.25">
      <c r="A57" s="506">
        <v>1787</v>
      </c>
      <c r="B57" s="4" t="s">
        <v>130</v>
      </c>
      <c r="C57" s="454">
        <f>'5.mell. '!C62</f>
        <v>0</v>
      </c>
      <c r="D57" s="454">
        <f>'5.mell. '!D62</f>
        <v>0</v>
      </c>
      <c r="E57" s="1229">
        <f>'5.mell. '!E62</f>
        <v>0</v>
      </c>
      <c r="F57" s="503"/>
      <c r="G57" s="984"/>
    </row>
    <row r="58" spans="1:16" ht="12" x14ac:dyDescent="0.25">
      <c r="A58" s="506"/>
      <c r="B58" s="4"/>
      <c r="C58" s="455"/>
      <c r="D58" s="455"/>
      <c r="E58" s="1227"/>
      <c r="F58" s="503"/>
      <c r="G58" s="984"/>
    </row>
    <row r="59" spans="1:16" ht="0.6" hidden="1" customHeight="1" x14ac:dyDescent="0.25">
      <c r="A59" s="508">
        <v>1790</v>
      </c>
      <c r="B59" s="456" t="s">
        <v>527</v>
      </c>
      <c r="C59" s="457"/>
      <c r="D59" s="457"/>
      <c r="E59" s="1231"/>
      <c r="F59" s="503"/>
      <c r="G59" s="984"/>
    </row>
    <row r="60" spans="1:16" ht="12" hidden="1" x14ac:dyDescent="0.25">
      <c r="A60" s="506">
        <v>1795</v>
      </c>
      <c r="B60" s="3" t="s">
        <v>528</v>
      </c>
      <c r="C60" s="458"/>
      <c r="D60" s="458"/>
      <c r="E60" s="1230"/>
      <c r="F60" s="503"/>
      <c r="G60" s="984"/>
    </row>
    <row r="61" spans="1:16" ht="12" x14ac:dyDescent="0.25">
      <c r="A61" s="506"/>
      <c r="B61" s="459"/>
      <c r="C61" s="4"/>
      <c r="D61" s="4"/>
      <c r="E61" s="1227"/>
      <c r="F61" s="503"/>
      <c r="G61" s="984"/>
    </row>
    <row r="62" spans="1:16" s="460" customFormat="1" ht="14.1" customHeight="1" x14ac:dyDescent="0.25">
      <c r="A62" s="502">
        <v>1801</v>
      </c>
      <c r="B62" s="5" t="s">
        <v>529</v>
      </c>
      <c r="C62" s="2">
        <v>95000</v>
      </c>
      <c r="D62" s="2">
        <v>95000</v>
      </c>
      <c r="E62" s="1226">
        <f>95000+4640</f>
        <v>99640</v>
      </c>
      <c r="F62" s="503">
        <f>SUM(E62/D62)</f>
        <v>1.0488421052631578</v>
      </c>
      <c r="G62" s="984"/>
      <c r="H62" s="12"/>
      <c r="I62" s="12"/>
      <c r="J62" s="12"/>
      <c r="K62" s="12"/>
      <c r="L62" s="12"/>
      <c r="M62" s="12"/>
      <c r="N62" s="12"/>
      <c r="O62" s="12"/>
      <c r="P62" s="12"/>
    </row>
    <row r="63" spans="1:16" s="460" customFormat="1" ht="11.7" customHeight="1" x14ac:dyDescent="0.25">
      <c r="A63" s="502"/>
      <c r="B63" s="5"/>
      <c r="C63" s="2"/>
      <c r="D63" s="2"/>
      <c r="E63" s="1226"/>
      <c r="F63" s="503"/>
      <c r="G63" s="984"/>
      <c r="H63" s="12"/>
      <c r="I63" s="12"/>
      <c r="J63" s="12"/>
      <c r="K63" s="12"/>
      <c r="L63" s="12"/>
      <c r="M63" s="12"/>
      <c r="N63" s="12"/>
      <c r="O63" s="12"/>
      <c r="P63" s="12"/>
    </row>
    <row r="64" spans="1:16" s="460" customFormat="1" ht="14.1" customHeight="1" x14ac:dyDescent="0.25">
      <c r="A64" s="502">
        <v>1802</v>
      </c>
      <c r="B64" s="5" t="s">
        <v>530</v>
      </c>
      <c r="C64" s="2">
        <v>18321</v>
      </c>
      <c r="D64" s="2">
        <v>18321</v>
      </c>
      <c r="E64" s="1226">
        <v>18321</v>
      </c>
      <c r="F64" s="503">
        <f>SUM(E64/D64)</f>
        <v>1</v>
      </c>
      <c r="G64" s="984"/>
      <c r="H64" s="12"/>
      <c r="I64" s="12"/>
      <c r="J64" s="12"/>
      <c r="K64" s="12"/>
      <c r="L64" s="12"/>
      <c r="M64" s="12"/>
      <c r="N64" s="12"/>
      <c r="O64" s="12"/>
      <c r="P64" s="12"/>
    </row>
    <row r="65" spans="1:16" s="460" customFormat="1" ht="14.1" customHeight="1" x14ac:dyDescent="0.25">
      <c r="A65" s="502"/>
      <c r="B65" s="5"/>
      <c r="C65" s="2"/>
      <c r="D65" s="2"/>
      <c r="E65" s="1226"/>
      <c r="F65" s="503"/>
      <c r="G65" s="984"/>
      <c r="H65" s="12"/>
      <c r="I65" s="12"/>
      <c r="J65" s="12"/>
      <c r="K65" s="12"/>
      <c r="L65" s="12"/>
      <c r="M65" s="12"/>
      <c r="N65" s="12"/>
      <c r="O65" s="12"/>
      <c r="P65" s="12"/>
    </row>
    <row r="66" spans="1:16" s="460" customFormat="1" ht="14.1" customHeight="1" x14ac:dyDescent="0.25">
      <c r="A66" s="502">
        <v>1803</v>
      </c>
      <c r="B66" s="5" t="s">
        <v>531</v>
      </c>
      <c r="C66" s="2">
        <v>3011230</v>
      </c>
      <c r="D66" s="2">
        <v>3011230</v>
      </c>
      <c r="E66" s="1226">
        <v>3011230</v>
      </c>
      <c r="F66" s="503">
        <f>SUM(E66/D66)</f>
        <v>1</v>
      </c>
      <c r="G66" s="984"/>
      <c r="H66" s="12"/>
      <c r="I66" s="12"/>
      <c r="J66" s="12"/>
      <c r="K66" s="12"/>
      <c r="L66" s="12"/>
      <c r="M66" s="12"/>
      <c r="N66" s="12"/>
      <c r="O66" s="12"/>
      <c r="P66" s="12"/>
    </row>
    <row r="67" spans="1:16" s="460" customFormat="1" ht="11.1" customHeight="1" x14ac:dyDescent="0.25">
      <c r="A67" s="502"/>
      <c r="B67" s="5"/>
      <c r="C67" s="2"/>
      <c r="D67" s="2"/>
      <c r="E67" s="1226"/>
      <c r="F67" s="503"/>
      <c r="G67" s="984"/>
      <c r="H67" s="12"/>
      <c r="I67" s="12"/>
      <c r="J67" s="12"/>
      <c r="K67" s="12"/>
      <c r="L67" s="12"/>
      <c r="M67" s="12"/>
      <c r="N67" s="12"/>
      <c r="O67" s="12"/>
      <c r="P67" s="12"/>
    </row>
    <row r="68" spans="1:16" s="460" customFormat="1" ht="12" x14ac:dyDescent="0.25">
      <c r="A68" s="502">
        <v>1804</v>
      </c>
      <c r="B68" s="5" t="s">
        <v>532</v>
      </c>
      <c r="C68" s="2">
        <v>268296</v>
      </c>
      <c r="D68" s="2">
        <v>268296</v>
      </c>
      <c r="E68" s="1226">
        <v>268296</v>
      </c>
      <c r="F68" s="503">
        <f>SUM(E68/D68)</f>
        <v>1</v>
      </c>
      <c r="G68" s="984"/>
      <c r="H68" s="12"/>
      <c r="I68" s="12"/>
      <c r="J68" s="12"/>
      <c r="K68" s="12"/>
      <c r="L68" s="12"/>
      <c r="M68" s="12"/>
      <c r="N68" s="12"/>
      <c r="O68" s="12"/>
      <c r="P68" s="12"/>
    </row>
    <row r="69" spans="1:16" s="460" customFormat="1" ht="12" x14ac:dyDescent="0.25">
      <c r="A69" s="502"/>
      <c r="B69" s="5"/>
      <c r="C69" s="445"/>
      <c r="D69" s="445"/>
      <c r="E69" s="1232"/>
      <c r="F69" s="503"/>
      <c r="G69" s="984"/>
      <c r="H69" s="12"/>
      <c r="I69" s="12"/>
      <c r="J69" s="12"/>
      <c r="K69" s="12"/>
      <c r="L69" s="12"/>
      <c r="M69" s="12"/>
      <c r="N69" s="12"/>
      <c r="O69" s="12"/>
      <c r="P69" s="12"/>
    </row>
    <row r="70" spans="1:16" s="460" customFormat="1" ht="12" x14ac:dyDescent="0.25">
      <c r="A70" s="502">
        <v>1806</v>
      </c>
      <c r="B70" s="2" t="s">
        <v>533</v>
      </c>
      <c r="C70" s="32">
        <f>C71</f>
        <v>0</v>
      </c>
      <c r="D70" s="32">
        <f>D71</f>
        <v>0</v>
      </c>
      <c r="E70" s="1233">
        <f>E71</f>
        <v>0</v>
      </c>
      <c r="F70" s="503"/>
      <c r="G70" s="984"/>
      <c r="H70" s="12"/>
      <c r="I70" s="12"/>
      <c r="J70" s="12"/>
      <c r="K70" s="12"/>
      <c r="L70" s="12"/>
      <c r="M70" s="12"/>
      <c r="N70" s="12"/>
      <c r="O70" s="12"/>
      <c r="P70" s="12"/>
    </row>
    <row r="71" spans="1:16" s="460" customFormat="1" ht="12" x14ac:dyDescent="0.25">
      <c r="A71" s="509"/>
      <c r="B71" s="453" t="s">
        <v>534</v>
      </c>
      <c r="C71" s="453"/>
      <c r="D71" s="453"/>
      <c r="E71" s="1230"/>
      <c r="F71" s="503"/>
      <c r="G71" s="984"/>
      <c r="H71" s="12"/>
      <c r="I71" s="12"/>
      <c r="J71" s="12"/>
      <c r="K71" s="12"/>
      <c r="L71" s="12"/>
      <c r="M71" s="12"/>
      <c r="N71" s="12"/>
      <c r="O71" s="12"/>
      <c r="P71" s="12"/>
    </row>
    <row r="72" spans="1:16" s="460" customFormat="1" ht="12" x14ac:dyDescent="0.25">
      <c r="A72" s="509">
        <v>1807</v>
      </c>
      <c r="B72" s="2" t="s">
        <v>533</v>
      </c>
      <c r="C72" s="32">
        <f>C73</f>
        <v>0</v>
      </c>
      <c r="D72" s="32">
        <f>D73</f>
        <v>750000</v>
      </c>
      <c r="E72" s="1233">
        <f>E73</f>
        <v>750000</v>
      </c>
      <c r="F72" s="503"/>
      <c r="G72" s="984"/>
      <c r="H72" s="12"/>
      <c r="I72" s="12"/>
      <c r="J72" s="12"/>
      <c r="K72" s="12"/>
      <c r="L72" s="12"/>
      <c r="M72" s="12"/>
      <c r="N72" s="12"/>
      <c r="O72" s="12"/>
      <c r="P72" s="12"/>
    </row>
    <row r="73" spans="1:16" s="460" customFormat="1" ht="12" x14ac:dyDescent="0.25">
      <c r="A73" s="509"/>
      <c r="B73" s="453" t="s">
        <v>535</v>
      </c>
      <c r="C73" s="453"/>
      <c r="D73" s="453">
        <v>750000</v>
      </c>
      <c r="E73" s="1230">
        <v>750000</v>
      </c>
      <c r="F73" s="503"/>
      <c r="G73" s="984"/>
      <c r="H73" s="12"/>
      <c r="I73" s="12"/>
      <c r="J73" s="12"/>
      <c r="K73" s="12"/>
      <c r="L73" s="12"/>
      <c r="M73" s="12"/>
      <c r="N73" s="12"/>
      <c r="O73" s="12"/>
      <c r="P73" s="12"/>
    </row>
    <row r="74" spans="1:16" s="460" customFormat="1" ht="12" x14ac:dyDescent="0.25">
      <c r="A74" s="509"/>
      <c r="B74" s="453"/>
      <c r="C74" s="461"/>
      <c r="D74" s="461"/>
      <c r="E74" s="1234"/>
      <c r="F74" s="503"/>
      <c r="G74" s="984"/>
      <c r="H74" s="12"/>
      <c r="I74" s="12"/>
      <c r="J74" s="12"/>
      <c r="K74" s="12"/>
      <c r="L74" s="12"/>
      <c r="M74" s="12"/>
      <c r="N74" s="12"/>
      <c r="O74" s="12"/>
      <c r="P74" s="12"/>
    </row>
    <row r="75" spans="1:16" s="460" customFormat="1" ht="12" x14ac:dyDescent="0.25">
      <c r="A75" s="509">
        <v>1809</v>
      </c>
      <c r="B75" s="32" t="s">
        <v>536</v>
      </c>
      <c r="C75" s="462">
        <f>C76</f>
        <v>0</v>
      </c>
      <c r="D75" s="462">
        <f>D76</f>
        <v>0</v>
      </c>
      <c r="E75" s="1233">
        <f>E76</f>
        <v>0</v>
      </c>
      <c r="F75" s="503"/>
      <c r="G75" s="984"/>
      <c r="H75" s="12"/>
      <c r="I75" s="12"/>
      <c r="J75" s="12"/>
      <c r="K75" s="12"/>
      <c r="L75" s="12"/>
      <c r="M75" s="12"/>
      <c r="N75" s="12"/>
      <c r="O75" s="12"/>
      <c r="P75" s="12"/>
    </row>
    <row r="76" spans="1:16" s="460" customFormat="1" ht="12" x14ac:dyDescent="0.25">
      <c r="A76" s="509"/>
      <c r="B76" s="463" t="s">
        <v>537</v>
      </c>
      <c r="C76" s="458"/>
      <c r="D76" s="458"/>
      <c r="E76" s="1230"/>
      <c r="F76" s="503"/>
      <c r="G76" s="984"/>
      <c r="H76" s="12"/>
      <c r="I76" s="12"/>
      <c r="J76" s="12"/>
      <c r="K76" s="12"/>
      <c r="L76" s="12"/>
      <c r="M76" s="12"/>
      <c r="N76" s="12"/>
      <c r="O76" s="12"/>
      <c r="P76" s="12"/>
    </row>
    <row r="77" spans="1:16" s="460" customFormat="1" ht="12" x14ac:dyDescent="0.25">
      <c r="A77" s="509"/>
      <c r="B77" s="463"/>
      <c r="C77" s="458"/>
      <c r="D77" s="458"/>
      <c r="E77" s="1230"/>
      <c r="F77" s="503"/>
      <c r="G77" s="984"/>
      <c r="H77" s="12"/>
      <c r="I77" s="12"/>
      <c r="J77" s="12"/>
      <c r="K77" s="12"/>
      <c r="L77" s="12"/>
      <c r="M77" s="12"/>
      <c r="N77" s="12"/>
      <c r="O77" s="12"/>
      <c r="P77" s="12"/>
    </row>
    <row r="78" spans="1:16" s="460" customFormat="1" ht="12" x14ac:dyDescent="0.25">
      <c r="A78" s="1088">
        <v>1810</v>
      </c>
      <c r="B78" s="32" t="s">
        <v>1458</v>
      </c>
      <c r="C78" s="462">
        <v>0</v>
      </c>
      <c r="D78" s="462">
        <v>0</v>
      </c>
      <c r="E78" s="1233">
        <f>E79</f>
        <v>36451</v>
      </c>
      <c r="F78" s="503"/>
      <c r="G78" s="984"/>
      <c r="H78" s="12"/>
      <c r="I78" s="12"/>
      <c r="J78" s="12"/>
      <c r="K78" s="12"/>
      <c r="L78" s="12"/>
      <c r="M78" s="12"/>
      <c r="N78" s="12"/>
      <c r="O78" s="12"/>
      <c r="P78" s="12"/>
    </row>
    <row r="79" spans="1:16" s="460" customFormat="1" ht="12" x14ac:dyDescent="0.25">
      <c r="A79" s="1088"/>
      <c r="B79" s="463" t="s">
        <v>1459</v>
      </c>
      <c r="C79" s="458"/>
      <c r="D79" s="458"/>
      <c r="E79" s="1230">
        <v>36451</v>
      </c>
      <c r="F79" s="503"/>
      <c r="G79" s="984"/>
      <c r="H79" s="12"/>
      <c r="I79" s="12"/>
      <c r="J79" s="12"/>
      <c r="K79" s="12"/>
      <c r="L79" s="12"/>
      <c r="M79" s="12"/>
      <c r="N79" s="12"/>
      <c r="O79" s="12"/>
      <c r="P79" s="12"/>
    </row>
    <row r="80" spans="1:16" s="460" customFormat="1" ht="12" x14ac:dyDescent="0.25">
      <c r="A80" s="509"/>
      <c r="B80" s="463"/>
      <c r="C80" s="458"/>
      <c r="D80" s="458"/>
      <c r="E80" s="1230"/>
      <c r="F80" s="503"/>
      <c r="G80" s="984"/>
      <c r="H80" s="12"/>
      <c r="I80" s="12"/>
      <c r="J80" s="12"/>
      <c r="K80" s="12"/>
      <c r="L80" s="12"/>
      <c r="M80" s="12"/>
      <c r="N80" s="12"/>
      <c r="O80" s="12"/>
      <c r="P80" s="12"/>
    </row>
    <row r="81" spans="1:16" s="460" customFormat="1" ht="12" x14ac:dyDescent="0.25">
      <c r="A81" s="502"/>
      <c r="B81" s="2"/>
      <c r="C81" s="448"/>
      <c r="D81" s="448"/>
      <c r="E81" s="1226"/>
      <c r="F81" s="503"/>
      <c r="G81" s="984"/>
      <c r="H81" s="12"/>
      <c r="I81" s="12"/>
      <c r="J81" s="12"/>
      <c r="K81" s="12"/>
      <c r="L81" s="12"/>
      <c r="M81" s="12"/>
      <c r="N81" s="12"/>
      <c r="O81" s="12"/>
      <c r="P81" s="12"/>
    </row>
    <row r="82" spans="1:16" s="460" customFormat="1" ht="12" x14ac:dyDescent="0.25">
      <c r="A82" s="508">
        <v>1812</v>
      </c>
      <c r="B82" s="44" t="s">
        <v>538</v>
      </c>
      <c r="C82" s="462">
        <f>'6.mell. '!C12</f>
        <v>350000</v>
      </c>
      <c r="D82" s="462">
        <f>'6.mell. '!D12</f>
        <v>350000</v>
      </c>
      <c r="E82" s="1233">
        <f>'6.mell. '!E12</f>
        <v>431868</v>
      </c>
      <c r="F82" s="503"/>
      <c r="G82" s="984"/>
      <c r="H82" s="12"/>
      <c r="I82" s="12"/>
      <c r="J82" s="12"/>
      <c r="K82" s="12"/>
      <c r="L82" s="12"/>
      <c r="M82" s="12"/>
      <c r="N82" s="12"/>
      <c r="O82" s="12"/>
      <c r="P82" s="12"/>
    </row>
    <row r="83" spans="1:16" s="460" customFormat="1" ht="12" x14ac:dyDescent="0.25">
      <c r="A83" s="508">
        <v>1813</v>
      </c>
      <c r="B83" s="42" t="s">
        <v>539</v>
      </c>
      <c r="C83" s="462">
        <f>'6.mell. '!C14</f>
        <v>609413</v>
      </c>
      <c r="D83" s="462">
        <f>'6.mell. '!D14</f>
        <v>609413</v>
      </c>
      <c r="E83" s="1233">
        <f>SUM('6.mell. '!E16)</f>
        <v>0</v>
      </c>
      <c r="F83" s="503"/>
      <c r="G83" s="984"/>
      <c r="H83" s="12"/>
      <c r="I83" s="12"/>
      <c r="J83" s="12"/>
      <c r="K83" s="12"/>
      <c r="L83" s="12"/>
      <c r="M83" s="12"/>
      <c r="N83" s="12"/>
      <c r="O83" s="12"/>
      <c r="P83" s="12"/>
    </row>
    <row r="84" spans="1:16" s="460" customFormat="1" ht="12" x14ac:dyDescent="0.25">
      <c r="A84" s="1117">
        <v>1814</v>
      </c>
      <c r="B84" s="42" t="s">
        <v>1476</v>
      </c>
      <c r="C84" s="462"/>
      <c r="D84" s="462"/>
      <c r="E84" s="1233">
        <f>SUM('6.mell. '!E20)</f>
        <v>609413</v>
      </c>
      <c r="F84" s="503"/>
      <c r="G84" s="984"/>
      <c r="H84" s="12"/>
      <c r="I84" s="12"/>
      <c r="J84" s="12"/>
      <c r="K84" s="12"/>
      <c r="L84" s="12"/>
      <c r="M84" s="12"/>
      <c r="N84" s="12"/>
      <c r="O84" s="12"/>
      <c r="P84" s="12"/>
    </row>
    <row r="85" spans="1:16" s="460" customFormat="1" ht="12" x14ac:dyDescent="0.25">
      <c r="A85" s="509">
        <v>1816</v>
      </c>
      <c r="B85" s="32" t="s">
        <v>540</v>
      </c>
      <c r="C85" s="462">
        <f>'6.mell. '!C26</f>
        <v>959413</v>
      </c>
      <c r="D85" s="462">
        <f>'6.mell. '!D26</f>
        <v>959413</v>
      </c>
      <c r="E85" s="1233">
        <f>'6.mell. '!E26</f>
        <v>1041281</v>
      </c>
      <c r="F85" s="503"/>
      <c r="G85" s="984"/>
      <c r="H85" s="12"/>
      <c r="I85" s="12"/>
      <c r="J85" s="12"/>
      <c r="K85" s="12"/>
      <c r="L85" s="12"/>
      <c r="M85" s="12"/>
      <c r="N85" s="12"/>
      <c r="O85" s="12"/>
      <c r="P85" s="12"/>
    </row>
    <row r="86" spans="1:16" ht="12" x14ac:dyDescent="0.25">
      <c r="A86" s="506"/>
      <c r="B86" s="3"/>
      <c r="C86" s="462"/>
      <c r="D86" s="462"/>
      <c r="E86" s="1233"/>
      <c r="F86" s="503"/>
      <c r="G86" s="984"/>
    </row>
    <row r="87" spans="1:16" s="465" customFormat="1" ht="14.1" customHeight="1" x14ac:dyDescent="0.25">
      <c r="A87" s="510"/>
      <c r="B87" s="36" t="s">
        <v>20</v>
      </c>
      <c r="C87" s="464"/>
      <c r="D87" s="464"/>
      <c r="E87" s="1235"/>
      <c r="F87" s="503"/>
      <c r="G87" s="984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" customHeight="1" x14ac:dyDescent="0.2">
      <c r="A88" s="506">
        <v>1821</v>
      </c>
      <c r="B88" s="4" t="s">
        <v>516</v>
      </c>
      <c r="C88" s="466">
        <f t="shared" ref="C88:E89" si="6">SUM(C12+C24+C34+C42+C51)</f>
        <v>3763134</v>
      </c>
      <c r="D88" s="466">
        <f t="shared" si="6"/>
        <v>3763134</v>
      </c>
      <c r="E88" s="1236">
        <f t="shared" si="6"/>
        <v>3906002</v>
      </c>
      <c r="F88" s="370">
        <f t="shared" ref="F88:F94" si="7">E88/D88</f>
        <v>1.0379651641424408</v>
      </c>
      <c r="G88" s="984"/>
    </row>
    <row r="89" spans="1:16" ht="12" customHeight="1" x14ac:dyDescent="0.2">
      <c r="A89" s="506">
        <v>1822</v>
      </c>
      <c r="B89" s="4" t="s">
        <v>39</v>
      </c>
      <c r="C89" s="454">
        <f t="shared" si="6"/>
        <v>521148</v>
      </c>
      <c r="D89" s="454">
        <f t="shared" si="6"/>
        <v>521148</v>
      </c>
      <c r="E89" s="1229">
        <f t="shared" si="6"/>
        <v>565817</v>
      </c>
      <c r="F89" s="370">
        <f t="shared" si="7"/>
        <v>1.0857126958176948</v>
      </c>
      <c r="G89" s="984"/>
    </row>
    <row r="90" spans="1:16" x14ac:dyDescent="0.2">
      <c r="A90" s="511">
        <v>1823</v>
      </c>
      <c r="B90" s="4" t="s">
        <v>40</v>
      </c>
      <c r="C90" s="454">
        <f>SUM(C14+C26+C36+C44+C53+C62+C64+C68)</f>
        <v>6116033</v>
      </c>
      <c r="D90" s="454">
        <f>SUM(D14+D26+D36+D44+D53+D62+D64+D68)</f>
        <v>5948933</v>
      </c>
      <c r="E90" s="1229">
        <f>SUM(E14+E26+E36+E44+E53+E62+E64+E68)</f>
        <v>6752645</v>
      </c>
      <c r="F90" s="370">
        <f t="shared" si="7"/>
        <v>1.1351018745714567</v>
      </c>
      <c r="G90" s="984"/>
    </row>
    <row r="91" spans="1:16" x14ac:dyDescent="0.2">
      <c r="A91" s="511">
        <v>1824</v>
      </c>
      <c r="B91" s="4" t="s">
        <v>517</v>
      </c>
      <c r="C91" s="466">
        <f>SUM(C15+C27)</f>
        <v>244500</v>
      </c>
      <c r="D91" s="466">
        <f>SUM(D15+D27)</f>
        <v>244500</v>
      </c>
      <c r="E91" s="1236">
        <f>SUM(E15+E27)</f>
        <v>251619</v>
      </c>
      <c r="F91" s="370">
        <f t="shared" si="7"/>
        <v>1.0291165644171778</v>
      </c>
      <c r="G91" s="984"/>
    </row>
    <row r="92" spans="1:16" x14ac:dyDescent="0.2">
      <c r="A92" s="506">
        <v>1825</v>
      </c>
      <c r="B92" s="4" t="s">
        <v>121</v>
      </c>
      <c r="C92" s="454">
        <f>SUM(C16+C28+C37+C45+C54+C66+C70+C82+C83)</f>
        <v>5700041</v>
      </c>
      <c r="D92" s="454">
        <f>SUM(D16+D28+D37+D45+D54+D66+D70+D82+D83)</f>
        <v>5700041</v>
      </c>
      <c r="E92" s="1229">
        <f>SUM(E16+E28+E37+E45+E54+E66+E70+E82+E83)+E78</f>
        <v>5533207</v>
      </c>
      <c r="F92" s="370">
        <f t="shared" si="7"/>
        <v>0.97073108772375494</v>
      </c>
      <c r="G92" s="984"/>
    </row>
    <row r="93" spans="1:16" ht="12" thickBot="1" x14ac:dyDescent="0.25">
      <c r="A93" s="512"/>
      <c r="B93" s="467" t="s">
        <v>541</v>
      </c>
      <c r="C93" s="468">
        <f>SUM(C85)</f>
        <v>959413</v>
      </c>
      <c r="D93" s="468">
        <f>SUM(D85)</f>
        <v>959413</v>
      </c>
      <c r="E93" s="1237">
        <f>SUM('6.mell. '!E12,'6.mell. '!E16)</f>
        <v>431868</v>
      </c>
      <c r="F93" s="370">
        <f t="shared" si="7"/>
        <v>0.45013774047255978</v>
      </c>
      <c r="G93" s="984"/>
    </row>
    <row r="94" spans="1:16" ht="17.25" customHeight="1" thickBot="1" x14ac:dyDescent="0.25">
      <c r="A94" s="514">
        <v>1820</v>
      </c>
      <c r="B94" s="469" t="s">
        <v>18</v>
      </c>
      <c r="C94" s="470">
        <f t="shared" ref="C94:D94" si="8">SUM(C88:C93)-C93</f>
        <v>16344856</v>
      </c>
      <c r="D94" s="470">
        <f t="shared" si="8"/>
        <v>16177756</v>
      </c>
      <c r="E94" s="1238">
        <f t="shared" ref="E94" si="9">SUM(E88:E93)-E93</f>
        <v>17009290</v>
      </c>
      <c r="F94" s="228">
        <f t="shared" si="7"/>
        <v>1.0513998356756029</v>
      </c>
      <c r="G94" s="984"/>
    </row>
    <row r="95" spans="1:16" ht="12" x14ac:dyDescent="0.25">
      <c r="A95" s="516"/>
      <c r="B95" s="33"/>
      <c r="C95" s="457"/>
      <c r="D95" s="457"/>
      <c r="E95" s="1231"/>
      <c r="F95" s="517"/>
      <c r="G95" s="984"/>
    </row>
    <row r="96" spans="1:16" ht="12" x14ac:dyDescent="0.25">
      <c r="A96" s="506"/>
      <c r="B96" s="44" t="s">
        <v>21</v>
      </c>
      <c r="C96" s="462"/>
      <c r="D96" s="462"/>
      <c r="E96" s="1233"/>
      <c r="F96" s="503"/>
      <c r="G96" s="984"/>
    </row>
    <row r="97" spans="1:7" x14ac:dyDescent="0.2">
      <c r="A97" s="506">
        <v>1831</v>
      </c>
      <c r="B97" s="4" t="s">
        <v>94</v>
      </c>
      <c r="C97" s="466">
        <f>SUM(C17+C29+C46+C55+C38)</f>
        <v>3829029</v>
      </c>
      <c r="D97" s="466">
        <f>SUM(D17+D29+D46+D55+D38)</f>
        <v>3829029</v>
      </c>
      <c r="E97" s="1236">
        <f>SUM(E17+E29+E46+E55+E38)</f>
        <v>3874514</v>
      </c>
      <c r="F97" s="370">
        <f>E97/D97</f>
        <v>1.0118789907310706</v>
      </c>
      <c r="G97" s="984"/>
    </row>
    <row r="98" spans="1:7" x14ac:dyDescent="0.2">
      <c r="A98" s="506">
        <v>1832</v>
      </c>
      <c r="B98" s="4" t="s">
        <v>95</v>
      </c>
      <c r="C98" s="466">
        <f>SUM(C18+C30+C47+C56)</f>
        <v>8852481</v>
      </c>
      <c r="D98" s="466">
        <f>SUM(D18+D30+D47+D56)</f>
        <v>8852481</v>
      </c>
      <c r="E98" s="1236">
        <f>SUM(E18+E30+E47+E56)</f>
        <v>9268609</v>
      </c>
      <c r="F98" s="370">
        <f>E98/D98</f>
        <v>1.0470069351179629</v>
      </c>
      <c r="G98" s="984"/>
    </row>
    <row r="99" spans="1:7" x14ac:dyDescent="0.2">
      <c r="A99" s="506">
        <v>1833</v>
      </c>
      <c r="B99" s="4" t="s">
        <v>130</v>
      </c>
      <c r="C99" s="471">
        <f>SUM(C31+C48+C39+C57+C59+C19+C72+C75)</f>
        <v>1538541</v>
      </c>
      <c r="D99" s="471">
        <f>SUM(D31+D48+D39+D57+D59+D19+D72+D75)</f>
        <v>2288541</v>
      </c>
      <c r="E99" s="1236">
        <f>SUM(E31+E48+E39+E57+E59+E19+E72+E75)</f>
        <v>2498422</v>
      </c>
      <c r="F99" s="370">
        <f>E99/D99</f>
        <v>1.0917095214811532</v>
      </c>
      <c r="G99" s="984"/>
    </row>
    <row r="100" spans="1:7" ht="12" thickBot="1" x14ac:dyDescent="0.25">
      <c r="A100" s="1118"/>
      <c r="B100" s="14" t="s">
        <v>1477</v>
      </c>
      <c r="C100" s="471"/>
      <c r="D100" s="471"/>
      <c r="E100" s="1236">
        <f>SUM(E84)</f>
        <v>609413</v>
      </c>
      <c r="F100" s="532"/>
      <c r="G100" s="984"/>
    </row>
    <row r="101" spans="1:7" ht="18.75" customHeight="1" thickBot="1" x14ac:dyDescent="0.25">
      <c r="A101" s="518">
        <v>1830</v>
      </c>
      <c r="B101" s="472" t="s">
        <v>22</v>
      </c>
      <c r="C101" s="473">
        <f>SUM(C97:C100)</f>
        <v>14220051</v>
      </c>
      <c r="D101" s="473">
        <f t="shared" ref="D101:E101" si="10">SUM(D97:D100)</f>
        <v>14970051</v>
      </c>
      <c r="E101" s="1238">
        <f t="shared" si="10"/>
        <v>16250958</v>
      </c>
      <c r="F101" s="702">
        <f>E101/D101</f>
        <v>1.0855646383569435</v>
      </c>
      <c r="G101" s="984"/>
    </row>
    <row r="102" spans="1:7" ht="18.75" customHeight="1" x14ac:dyDescent="0.25">
      <c r="A102" s="519"/>
      <c r="B102" s="474"/>
      <c r="C102" s="475"/>
      <c r="D102" s="475"/>
      <c r="E102" s="1239"/>
      <c r="F102" s="517"/>
      <c r="G102" s="984"/>
    </row>
    <row r="103" spans="1:7" ht="12" x14ac:dyDescent="0.25">
      <c r="A103" s="520">
        <v>1842</v>
      </c>
      <c r="B103" s="401" t="s">
        <v>378</v>
      </c>
      <c r="C103" s="453"/>
      <c r="D103" s="453"/>
      <c r="E103" s="1230"/>
      <c r="F103" s="503"/>
      <c r="G103" s="984"/>
    </row>
    <row r="104" spans="1:7" x14ac:dyDescent="0.2">
      <c r="A104" s="520">
        <v>1843</v>
      </c>
      <c r="B104" s="401" t="s">
        <v>505</v>
      </c>
      <c r="C104" s="452">
        <v>171460</v>
      </c>
      <c r="D104" s="452">
        <v>171460</v>
      </c>
      <c r="E104" s="1240">
        <v>171460</v>
      </c>
      <c r="F104" s="370">
        <f>E104/D104</f>
        <v>1</v>
      </c>
      <c r="G104" s="984"/>
    </row>
    <row r="105" spans="1:7" ht="12" x14ac:dyDescent="0.25">
      <c r="A105" s="520">
        <v>1844</v>
      </c>
      <c r="B105" s="401" t="s">
        <v>542</v>
      </c>
      <c r="C105" s="33"/>
      <c r="D105" s="33"/>
      <c r="E105" s="1231"/>
      <c r="F105" s="503"/>
      <c r="G105" s="984"/>
    </row>
    <row r="106" spans="1:7" ht="12" x14ac:dyDescent="0.25">
      <c r="A106" s="508">
        <v>1845</v>
      </c>
      <c r="B106" s="456" t="s">
        <v>543</v>
      </c>
      <c r="C106" s="33">
        <f>SUM(C107:C109)</f>
        <v>15574501</v>
      </c>
      <c r="D106" s="33">
        <f>SUM(D107:D109)</f>
        <v>15741601</v>
      </c>
      <c r="E106" s="1231">
        <f>SUM(E107:E109)</f>
        <v>16732773</v>
      </c>
      <c r="F106" s="503">
        <f>SUM(E106/D106)</f>
        <v>1.0629651329620158</v>
      </c>
      <c r="G106" s="984"/>
    </row>
    <row r="107" spans="1:7" x14ac:dyDescent="0.2">
      <c r="A107" s="520">
        <v>1846</v>
      </c>
      <c r="B107" s="452" t="s">
        <v>544</v>
      </c>
      <c r="C107" s="476">
        <f>'2.mell'!C759</f>
        <v>9900247</v>
      </c>
      <c r="D107" s="476">
        <f>'2.mell'!D759</f>
        <v>10067347</v>
      </c>
      <c r="E107" s="1240">
        <f>'2.mell'!E759</f>
        <v>10909499</v>
      </c>
      <c r="F107" s="370">
        <f>E107/D107</f>
        <v>1.0836518300203619</v>
      </c>
      <c r="G107" s="984"/>
    </row>
    <row r="108" spans="1:7" x14ac:dyDescent="0.2">
      <c r="A108" s="520">
        <v>1847</v>
      </c>
      <c r="B108" s="453" t="s">
        <v>545</v>
      </c>
      <c r="C108" s="476">
        <f>'2.mell'!C760</f>
        <v>808307</v>
      </c>
      <c r="D108" s="476">
        <f>'2.mell'!D760</f>
        <v>808307</v>
      </c>
      <c r="E108" s="1240">
        <f>'2.mell'!E760</f>
        <v>808307</v>
      </c>
      <c r="F108" s="370">
        <f>E108/D108</f>
        <v>1</v>
      </c>
      <c r="G108" s="984"/>
    </row>
    <row r="109" spans="1:7" ht="12" thickBot="1" x14ac:dyDescent="0.25">
      <c r="A109" s="521">
        <v>1849</v>
      </c>
      <c r="B109" s="452" t="s">
        <v>546</v>
      </c>
      <c r="C109" s="477">
        <f>'1. mell 2 pont '!C181</f>
        <v>4865947</v>
      </c>
      <c r="D109" s="477">
        <f>'1. mell 2 pont '!D181</f>
        <v>4865947</v>
      </c>
      <c r="E109" s="1241">
        <f>'1. mell 2 pont '!E181</f>
        <v>5014967</v>
      </c>
      <c r="F109" s="370">
        <f>E109/D109</f>
        <v>1.0306250766808598</v>
      </c>
      <c r="G109" s="984"/>
    </row>
    <row r="110" spans="1:7" ht="18.75" customHeight="1" thickBot="1" x14ac:dyDescent="0.25">
      <c r="A110" s="522">
        <v>1840</v>
      </c>
      <c r="B110" s="472" t="s">
        <v>509</v>
      </c>
      <c r="C110" s="478">
        <f>SUM(C106+C104+C105)+C103</f>
        <v>15745961</v>
      </c>
      <c r="D110" s="478">
        <f>SUM(D106+D104+D105)+D103</f>
        <v>15913061</v>
      </c>
      <c r="E110" s="1242">
        <f>SUM(E106+E104+E105)+E103</f>
        <v>16904233</v>
      </c>
      <c r="F110" s="228">
        <f>E110/D110</f>
        <v>1.0622866964438835</v>
      </c>
      <c r="G110" s="984"/>
    </row>
    <row r="111" spans="1:7" ht="12" x14ac:dyDescent="0.25">
      <c r="A111" s="523"/>
      <c r="B111" s="479"/>
      <c r="C111" s="457"/>
      <c r="D111" s="457"/>
      <c r="E111" s="1231"/>
      <c r="F111" s="517"/>
      <c r="G111" s="984"/>
    </row>
    <row r="112" spans="1:7" ht="12" thickBot="1" x14ac:dyDescent="0.25">
      <c r="A112" s="507">
        <v>1851</v>
      </c>
      <c r="B112" s="480" t="s">
        <v>547</v>
      </c>
      <c r="C112" s="477"/>
      <c r="D112" s="477"/>
      <c r="E112" s="1241"/>
      <c r="F112" s="513"/>
      <c r="G112" s="984"/>
    </row>
    <row r="113" spans="1:16" ht="18.75" customHeight="1" thickBot="1" x14ac:dyDescent="0.3">
      <c r="A113" s="522">
        <v>1865</v>
      </c>
      <c r="B113" s="472" t="s">
        <v>548</v>
      </c>
      <c r="C113" s="478">
        <f t="shared" ref="C113" si="11">SUM(C112)</f>
        <v>0</v>
      </c>
      <c r="D113" s="478">
        <f t="shared" ref="D113:E113" si="12">SUM(D112)</f>
        <v>0</v>
      </c>
      <c r="E113" s="1242">
        <f t="shared" si="12"/>
        <v>0</v>
      </c>
      <c r="F113" s="524"/>
      <c r="G113" s="984"/>
    </row>
    <row r="114" spans="1:16" ht="18.75" customHeight="1" thickBot="1" x14ac:dyDescent="0.3">
      <c r="A114" s="522"/>
      <c r="B114" s="481"/>
      <c r="C114" s="470"/>
      <c r="D114" s="470"/>
      <c r="E114" s="1238"/>
      <c r="F114" s="515"/>
      <c r="G114" s="984"/>
    </row>
    <row r="115" spans="1:16" ht="18" customHeight="1" thickBot="1" x14ac:dyDescent="0.3">
      <c r="A115" s="525">
        <v>1870</v>
      </c>
      <c r="B115" s="482" t="s">
        <v>549</v>
      </c>
      <c r="C115" s="483">
        <f>SUM(C113+C110+C101+C94)</f>
        <v>46310868</v>
      </c>
      <c r="D115" s="483">
        <f>SUM(D113+D110+D101+D94)</f>
        <v>47060868</v>
      </c>
      <c r="E115" s="1243">
        <f>SUM(E113+E110+E101+E94)</f>
        <v>50164481</v>
      </c>
      <c r="F115" s="228">
        <f>E115/D115</f>
        <v>1.0659489110995573</v>
      </c>
      <c r="G115" s="984"/>
    </row>
    <row r="116" spans="1:16" ht="15" customHeight="1" x14ac:dyDescent="0.25">
      <c r="A116" s="505"/>
      <c r="B116" s="484"/>
      <c r="C116" s="450"/>
      <c r="D116" s="450"/>
      <c r="E116" s="1228"/>
      <c r="F116" s="517"/>
      <c r="G116" s="984"/>
    </row>
    <row r="117" spans="1:16" s="15" customFormat="1" ht="12" customHeight="1" x14ac:dyDescent="0.25">
      <c r="A117" s="526"/>
      <c r="B117" s="485" t="s">
        <v>550</v>
      </c>
      <c r="C117" s="486"/>
      <c r="D117" s="486"/>
      <c r="E117" s="1244"/>
      <c r="F117" s="503"/>
      <c r="G117" s="984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1:16" s="15" customFormat="1" ht="13.95" customHeight="1" x14ac:dyDescent="0.25">
      <c r="A118" s="526"/>
      <c r="B118" s="485"/>
      <c r="C118" s="486"/>
      <c r="D118" s="486"/>
      <c r="E118" s="1244"/>
      <c r="F118" s="503"/>
      <c r="G118" s="984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1:16" s="15" customFormat="1" ht="12" customHeight="1" x14ac:dyDescent="0.25">
      <c r="A119" s="526"/>
      <c r="B119" s="36" t="s">
        <v>20</v>
      </c>
      <c r="C119" s="486"/>
      <c r="D119" s="486"/>
      <c r="E119" s="1244"/>
      <c r="F119" s="503"/>
      <c r="G119" s="984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 x14ac:dyDescent="0.2">
      <c r="A120" s="506">
        <v>1911</v>
      </c>
      <c r="B120" s="4" t="s">
        <v>516</v>
      </c>
      <c r="C120" s="454">
        <f>'2.mell'!C765</f>
        <v>8352523</v>
      </c>
      <c r="D120" s="454">
        <f>'2.mell'!D765</f>
        <v>8431128</v>
      </c>
      <c r="E120" s="1229">
        <f>'2.mell'!E765</f>
        <v>8665106</v>
      </c>
      <c r="F120" s="370">
        <f>E120/D120</f>
        <v>1.027751683997681</v>
      </c>
      <c r="G120" s="984"/>
    </row>
    <row r="121" spans="1:16" x14ac:dyDescent="0.2">
      <c r="A121" s="506">
        <v>1912</v>
      </c>
      <c r="B121" s="4" t="s">
        <v>39</v>
      </c>
      <c r="C121" s="454">
        <f>'2.mell'!C766</f>
        <v>1124924</v>
      </c>
      <c r="D121" s="454">
        <f>'2.mell'!D766</f>
        <v>1130624</v>
      </c>
      <c r="E121" s="1229">
        <f>'2.mell'!E766</f>
        <v>1203546</v>
      </c>
      <c r="F121" s="370">
        <f>E121/D121</f>
        <v>1.0644971272500849</v>
      </c>
      <c r="G121" s="984"/>
    </row>
    <row r="122" spans="1:16" x14ac:dyDescent="0.2">
      <c r="A122" s="506">
        <v>1913</v>
      </c>
      <c r="B122" s="3" t="s">
        <v>40</v>
      </c>
      <c r="C122" s="454">
        <f>'2.mell'!C767</f>
        <v>3753246</v>
      </c>
      <c r="D122" s="454">
        <f>'2.mell'!D767</f>
        <v>3837437</v>
      </c>
      <c r="E122" s="1229">
        <f>'2.mell'!E767</f>
        <v>4336236</v>
      </c>
      <c r="F122" s="370">
        <f>E122/D122</f>
        <v>1.1299823293515958</v>
      </c>
      <c r="G122" s="984"/>
    </row>
    <row r="123" spans="1:16" s="487" customFormat="1" x14ac:dyDescent="0.2">
      <c r="A123" s="520">
        <v>1915</v>
      </c>
      <c r="B123" s="4" t="s">
        <v>551</v>
      </c>
      <c r="C123" s="454">
        <f>'2.mell'!C768</f>
        <v>345</v>
      </c>
      <c r="D123" s="454">
        <f>'2.mell'!D768</f>
        <v>345</v>
      </c>
      <c r="E123" s="1229">
        <f>'2.mell'!E768</f>
        <v>345</v>
      </c>
      <c r="F123" s="370">
        <f>E123/D123</f>
        <v>1</v>
      </c>
      <c r="G123" s="984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 x14ac:dyDescent="0.2">
      <c r="A124" s="506">
        <v>1916</v>
      </c>
      <c r="B124" s="4" t="s">
        <v>121</v>
      </c>
      <c r="C124" s="454">
        <f>'2.mell'!C769</f>
        <v>0</v>
      </c>
      <c r="D124" s="454">
        <f>'2.mell'!D769</f>
        <v>0</v>
      </c>
      <c r="E124" s="1229">
        <f>'2.mell'!E769</f>
        <v>3284</v>
      </c>
      <c r="F124" s="370"/>
      <c r="G124" s="984"/>
    </row>
    <row r="125" spans="1:16" ht="12" x14ac:dyDescent="0.25">
      <c r="A125" s="508">
        <v>1910</v>
      </c>
      <c r="B125" s="33" t="s">
        <v>18</v>
      </c>
      <c r="C125" s="462">
        <f t="shared" ref="C125:D125" si="13">SUM(C120:C124)</f>
        <v>13231038</v>
      </c>
      <c r="D125" s="462">
        <f t="shared" si="13"/>
        <v>13399534</v>
      </c>
      <c r="E125" s="1233">
        <f t="shared" ref="E125" si="14">SUM(E120:E124)</f>
        <v>14208517</v>
      </c>
      <c r="F125" s="503">
        <f>SUM(E125/D125)</f>
        <v>1.060373965243866</v>
      </c>
      <c r="G125" s="984"/>
    </row>
    <row r="126" spans="1:16" ht="12" x14ac:dyDescent="0.25">
      <c r="A126" s="506"/>
      <c r="B126" s="42" t="s">
        <v>21</v>
      </c>
      <c r="C126" s="462"/>
      <c r="D126" s="462"/>
      <c r="E126" s="1233"/>
      <c r="F126" s="503"/>
      <c r="G126" s="984"/>
    </row>
    <row r="127" spans="1:16" x14ac:dyDescent="0.2">
      <c r="A127" s="506">
        <v>1921</v>
      </c>
      <c r="B127" s="4" t="s">
        <v>94</v>
      </c>
      <c r="C127" s="454">
        <f>'2.mell'!C771</f>
        <v>377434</v>
      </c>
      <c r="D127" s="454">
        <f>'2.mell'!D771</f>
        <v>378069</v>
      </c>
      <c r="E127" s="1229">
        <f>'2.mell'!E771</f>
        <v>613540.86400000006</v>
      </c>
      <c r="F127" s="370">
        <f>E127/D127</f>
        <v>1.6228277483739741</v>
      </c>
      <c r="G127" s="984"/>
    </row>
    <row r="128" spans="1:16" x14ac:dyDescent="0.2">
      <c r="A128" s="506">
        <v>1922</v>
      </c>
      <c r="B128" s="4" t="s">
        <v>95</v>
      </c>
      <c r="C128" s="454">
        <f>'2.mell'!C772</f>
        <v>390906</v>
      </c>
      <c r="D128" s="454">
        <f>'2.mell'!D772</f>
        <v>390906</v>
      </c>
      <c r="E128" s="1229">
        <f>'2.mell'!E772</f>
        <v>642029.05536999996</v>
      </c>
      <c r="F128" s="370">
        <f>E128/D128</f>
        <v>1.6424128956066164</v>
      </c>
      <c r="G128" s="984"/>
    </row>
    <row r="129" spans="1:16" ht="12" x14ac:dyDescent="0.25">
      <c r="A129" s="506">
        <v>1923</v>
      </c>
      <c r="B129" s="4" t="s">
        <v>130</v>
      </c>
      <c r="C129" s="454">
        <f>'2.mell'!C773</f>
        <v>0</v>
      </c>
      <c r="D129" s="454">
        <f>'2.mell'!D773</f>
        <v>0</v>
      </c>
      <c r="E129" s="1229">
        <f>'2.mell'!E773</f>
        <v>0</v>
      </c>
      <c r="F129" s="503"/>
      <c r="G129" s="984"/>
    </row>
    <row r="130" spans="1:16" ht="12.6" thickBot="1" x14ac:dyDescent="0.3">
      <c r="A130" s="527">
        <v>1920</v>
      </c>
      <c r="B130" s="488" t="s">
        <v>19</v>
      </c>
      <c r="C130" s="483">
        <f>SUM(C127:C129)</f>
        <v>768340</v>
      </c>
      <c r="D130" s="483">
        <f>SUM(D127:D129)</f>
        <v>768975</v>
      </c>
      <c r="E130" s="1243">
        <f>SUM(E127:E129)</f>
        <v>1255569.91937</v>
      </c>
      <c r="F130" s="503">
        <f>SUM(E130/D130)</f>
        <v>1.6327837957931013</v>
      </c>
      <c r="G130" s="984"/>
    </row>
    <row r="131" spans="1:16" ht="16.5" customHeight="1" thickBot="1" x14ac:dyDescent="0.3">
      <c r="A131" s="525"/>
      <c r="B131" s="472"/>
      <c r="C131" s="100"/>
      <c r="D131" s="100"/>
      <c r="E131" s="1245"/>
      <c r="F131" s="515"/>
      <c r="G131" s="984"/>
    </row>
    <row r="132" spans="1:16" s="487" customFormat="1" ht="13.8" thickBot="1" x14ac:dyDescent="0.3">
      <c r="A132" s="528">
        <v>1940</v>
      </c>
      <c r="B132" s="489" t="s">
        <v>552</v>
      </c>
      <c r="C132" s="490">
        <f>SUM(C125+C130)</f>
        <v>13999378</v>
      </c>
      <c r="D132" s="490">
        <f>SUM(D125+D130)</f>
        <v>14168509</v>
      </c>
      <c r="E132" s="1246">
        <f>SUM(E125+E130)</f>
        <v>15464086.919369999</v>
      </c>
      <c r="F132" s="228">
        <f>E132/D132</f>
        <v>1.0914406674244974</v>
      </c>
      <c r="G132" s="984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 s="487" customFormat="1" ht="13.2" x14ac:dyDescent="0.25">
      <c r="A133" s="529"/>
      <c r="B133" s="491"/>
      <c r="C133" s="492"/>
      <c r="D133" s="492"/>
      <c r="E133" s="1247"/>
      <c r="F133" s="517"/>
      <c r="G133" s="984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16" ht="14.25" customHeight="1" x14ac:dyDescent="0.25">
      <c r="A134" s="526"/>
      <c r="B134" s="10" t="s">
        <v>553</v>
      </c>
      <c r="C134" s="493"/>
      <c r="D134" s="493"/>
      <c r="E134" s="1248"/>
      <c r="F134" s="503"/>
      <c r="G134" s="984"/>
    </row>
    <row r="135" spans="1:16" ht="14.25" customHeight="1" x14ac:dyDescent="0.25">
      <c r="A135" s="526"/>
      <c r="B135" s="36" t="s">
        <v>20</v>
      </c>
      <c r="C135" s="486"/>
      <c r="D135" s="486"/>
      <c r="E135" s="1244"/>
      <c r="F135" s="503"/>
      <c r="G135" s="984"/>
    </row>
    <row r="136" spans="1:16" x14ac:dyDescent="0.2">
      <c r="A136" s="506">
        <v>1951</v>
      </c>
      <c r="B136" s="4" t="s">
        <v>554</v>
      </c>
      <c r="C136" s="455">
        <f t="shared" ref="C136:E138" si="15">SUM(C88+C120)</f>
        <v>12115657</v>
      </c>
      <c r="D136" s="455">
        <f t="shared" si="15"/>
        <v>12194262</v>
      </c>
      <c r="E136" s="1227">
        <f t="shared" si="15"/>
        <v>12571108</v>
      </c>
      <c r="F136" s="370">
        <f t="shared" ref="F136:F141" si="16">E136/D136</f>
        <v>1.0309035511948161</v>
      </c>
      <c r="G136" s="984"/>
    </row>
    <row r="137" spans="1:16" x14ac:dyDescent="0.2">
      <c r="A137" s="506">
        <v>1952</v>
      </c>
      <c r="B137" s="4" t="s">
        <v>555</v>
      </c>
      <c r="C137" s="455">
        <f t="shared" si="15"/>
        <v>1646072</v>
      </c>
      <c r="D137" s="455">
        <f t="shared" si="15"/>
        <v>1651772</v>
      </c>
      <c r="E137" s="1227">
        <f t="shared" si="15"/>
        <v>1769363</v>
      </c>
      <c r="F137" s="370">
        <f t="shared" si="16"/>
        <v>1.0711908181032248</v>
      </c>
      <c r="G137" s="984"/>
    </row>
    <row r="138" spans="1:16" x14ac:dyDescent="0.2">
      <c r="A138" s="506">
        <v>1953</v>
      </c>
      <c r="B138" s="4" t="s">
        <v>556</v>
      </c>
      <c r="C138" s="455">
        <f t="shared" si="15"/>
        <v>9869279</v>
      </c>
      <c r="D138" s="455">
        <f t="shared" si="15"/>
        <v>9786370</v>
      </c>
      <c r="E138" s="1227">
        <f t="shared" si="15"/>
        <v>11088881</v>
      </c>
      <c r="F138" s="370">
        <f t="shared" si="16"/>
        <v>1.1330943955726178</v>
      </c>
      <c r="G138" s="984"/>
    </row>
    <row r="139" spans="1:16" x14ac:dyDescent="0.2">
      <c r="A139" s="506">
        <v>1954</v>
      </c>
      <c r="B139" s="4" t="s">
        <v>557</v>
      </c>
      <c r="C139" s="455">
        <f>SUM(C123+C91)</f>
        <v>244845</v>
      </c>
      <c r="D139" s="455">
        <f>SUM(D123+D91)</f>
        <v>244845</v>
      </c>
      <c r="E139" s="1227">
        <f>SUM(E123+E91)</f>
        <v>251964</v>
      </c>
      <c r="F139" s="370">
        <f t="shared" si="16"/>
        <v>1.0290755375850027</v>
      </c>
      <c r="G139" s="984"/>
    </row>
    <row r="140" spans="1:16" ht="12" thickBot="1" x14ac:dyDescent="0.25">
      <c r="A140" s="506">
        <v>1955</v>
      </c>
      <c r="B140" s="4" t="s">
        <v>1478</v>
      </c>
      <c r="C140" s="494">
        <f>SUM(C92+C124)</f>
        <v>5700041</v>
      </c>
      <c r="D140" s="494">
        <f>SUM(D92+D124)</f>
        <v>5700041</v>
      </c>
      <c r="E140" s="1249">
        <f>SUM(E92+E124)</f>
        <v>5536491</v>
      </c>
      <c r="F140" s="370">
        <f t="shared" si="16"/>
        <v>0.97130722393049451</v>
      </c>
      <c r="G140" s="984"/>
    </row>
    <row r="141" spans="1:16" ht="18" customHeight="1" thickBot="1" x14ac:dyDescent="0.25">
      <c r="A141" s="518">
        <v>1950</v>
      </c>
      <c r="B141" s="472" t="s">
        <v>18</v>
      </c>
      <c r="C141" s="478">
        <f t="shared" ref="C141:D141" si="17">SUM(C136:C140)</f>
        <v>29575894</v>
      </c>
      <c r="D141" s="478">
        <f t="shared" si="17"/>
        <v>29577290</v>
      </c>
      <c r="E141" s="1242">
        <f t="shared" ref="E141" si="18">SUM(E136:E140)</f>
        <v>31217807</v>
      </c>
      <c r="F141" s="228">
        <f t="shared" si="16"/>
        <v>1.0554654263456862</v>
      </c>
      <c r="G141" s="984"/>
    </row>
    <row r="142" spans="1:16" ht="12" x14ac:dyDescent="0.25">
      <c r="A142" s="504"/>
      <c r="B142" s="42" t="s">
        <v>21</v>
      </c>
      <c r="C142" s="455"/>
      <c r="D142" s="455"/>
      <c r="E142" s="1227"/>
      <c r="F142" s="517"/>
      <c r="G142" s="984"/>
    </row>
    <row r="143" spans="1:16" x14ac:dyDescent="0.2">
      <c r="A143" s="504">
        <v>1961</v>
      </c>
      <c r="B143" s="42" t="s">
        <v>558</v>
      </c>
      <c r="C143" s="458">
        <f t="shared" ref="C143:E144" si="19">SUM(C97+C127)</f>
        <v>4206463</v>
      </c>
      <c r="D143" s="458">
        <f t="shared" si="19"/>
        <v>4207098</v>
      </c>
      <c r="E143" s="1230">
        <f t="shared" si="19"/>
        <v>4488054.8640000001</v>
      </c>
      <c r="F143" s="370">
        <f>E143/D143</f>
        <v>1.066781630473072</v>
      </c>
      <c r="G143" s="984"/>
    </row>
    <row r="144" spans="1:16" x14ac:dyDescent="0.2">
      <c r="A144" s="506">
        <v>1962</v>
      </c>
      <c r="B144" s="4" t="s">
        <v>95</v>
      </c>
      <c r="C144" s="476">
        <f t="shared" si="19"/>
        <v>9243387</v>
      </c>
      <c r="D144" s="476">
        <f t="shared" si="19"/>
        <v>9243387</v>
      </c>
      <c r="E144" s="1240">
        <f t="shared" si="19"/>
        <v>9910638.0553699993</v>
      </c>
      <c r="F144" s="370">
        <f>E144/D144</f>
        <v>1.0721868569789406</v>
      </c>
      <c r="G144" s="984"/>
    </row>
    <row r="145" spans="1:7" x14ac:dyDescent="0.2">
      <c r="A145" s="506">
        <v>1963</v>
      </c>
      <c r="B145" s="4" t="s">
        <v>130</v>
      </c>
      <c r="C145" s="458">
        <f>SUM(C129+C99)</f>
        <v>1538541</v>
      </c>
      <c r="D145" s="458">
        <f>SUM(D129+D99)</f>
        <v>2288541</v>
      </c>
      <c r="E145" s="1230">
        <f>SUM(E129+E99)</f>
        <v>2498422</v>
      </c>
      <c r="F145" s="370">
        <f>E145/D145</f>
        <v>1.0917095214811532</v>
      </c>
      <c r="G145" s="984"/>
    </row>
    <row r="146" spans="1:7" ht="12" thickBot="1" x14ac:dyDescent="0.25">
      <c r="A146" s="1118"/>
      <c r="B146" s="14" t="s">
        <v>1477</v>
      </c>
      <c r="C146" s="495"/>
      <c r="D146" s="495"/>
      <c r="E146" s="1250">
        <f>SUM(E100)</f>
        <v>609413</v>
      </c>
      <c r="F146" s="370"/>
      <c r="G146" s="984"/>
    </row>
    <row r="147" spans="1:7" ht="17.25" customHeight="1" thickBot="1" x14ac:dyDescent="0.25">
      <c r="A147" s="518">
        <v>1960</v>
      </c>
      <c r="B147" s="472" t="s">
        <v>19</v>
      </c>
      <c r="C147" s="478">
        <f>SUM(C143:C146)</f>
        <v>14988391</v>
      </c>
      <c r="D147" s="478">
        <f>SUM(D143:D146)</f>
        <v>15739026</v>
      </c>
      <c r="E147" s="1242">
        <f>SUM(E143:E146)</f>
        <v>17506527.919369999</v>
      </c>
      <c r="F147" s="228">
        <f>E147/D147</f>
        <v>1.1123005908605781</v>
      </c>
      <c r="G147" s="984"/>
    </row>
    <row r="148" spans="1:7" ht="13.5" customHeight="1" x14ac:dyDescent="0.2">
      <c r="A148" s="520">
        <v>1973</v>
      </c>
      <c r="B148" s="401" t="s">
        <v>378</v>
      </c>
      <c r="C148" s="496">
        <f>C103</f>
        <v>0</v>
      </c>
      <c r="D148" s="496">
        <f>D103</f>
        <v>0</v>
      </c>
      <c r="E148" s="1251">
        <f>E103</f>
        <v>0</v>
      </c>
      <c r="F148" s="370"/>
      <c r="G148" s="984"/>
    </row>
    <row r="149" spans="1:7" x14ac:dyDescent="0.2">
      <c r="A149" s="520">
        <v>1974</v>
      </c>
      <c r="B149" s="401" t="s">
        <v>543</v>
      </c>
      <c r="C149" s="458">
        <f>SUM(C106)</f>
        <v>15574501</v>
      </c>
      <c r="D149" s="458">
        <f>SUM(D106)</f>
        <v>15741601</v>
      </c>
      <c r="E149" s="1230">
        <f>SUM(E106)</f>
        <v>16732773</v>
      </c>
      <c r="F149" s="370">
        <f>E149/D149</f>
        <v>1.0629651329620158</v>
      </c>
      <c r="G149" s="984"/>
    </row>
    <row r="150" spans="1:7" ht="12" thickBot="1" x14ac:dyDescent="0.25">
      <c r="A150" s="530">
        <v>1975</v>
      </c>
      <c r="B150" s="401" t="s">
        <v>505</v>
      </c>
      <c r="C150" s="497">
        <f>SUM(C104)</f>
        <v>171460</v>
      </c>
      <c r="D150" s="497">
        <f>SUM(D104)</f>
        <v>171460</v>
      </c>
      <c r="E150" s="1252">
        <f>SUM(E104)</f>
        <v>171460</v>
      </c>
      <c r="F150" s="370">
        <f>E150/D150</f>
        <v>1</v>
      </c>
      <c r="G150" s="984"/>
    </row>
    <row r="151" spans="1:7" ht="17.25" customHeight="1" thickBot="1" x14ac:dyDescent="0.25">
      <c r="A151" s="522">
        <v>1970</v>
      </c>
      <c r="B151" s="472" t="s">
        <v>559</v>
      </c>
      <c r="C151" s="473">
        <f>SUM(C148:C150)</f>
        <v>15745961</v>
      </c>
      <c r="D151" s="473">
        <f>SUM(D148:D150)</f>
        <v>15913061</v>
      </c>
      <c r="E151" s="1253">
        <f>SUM(E148:E150)</f>
        <v>16904233</v>
      </c>
      <c r="F151" s="228">
        <f>E151/D151</f>
        <v>1.0622866964438835</v>
      </c>
      <c r="G151" s="984"/>
    </row>
    <row r="152" spans="1:7" ht="12" customHeight="1" thickBot="1" x14ac:dyDescent="0.25">
      <c r="A152" s="504">
        <v>1981</v>
      </c>
      <c r="B152" s="480" t="s">
        <v>547</v>
      </c>
      <c r="C152" s="91">
        <f>SUM(C112)</f>
        <v>0</v>
      </c>
      <c r="D152" s="91">
        <f>SUM(D112)</f>
        <v>0</v>
      </c>
      <c r="E152" s="1254">
        <f>SUM(E112)</f>
        <v>0</v>
      </c>
      <c r="F152" s="531"/>
      <c r="G152" s="984"/>
    </row>
    <row r="153" spans="1:7" ht="17.25" customHeight="1" thickBot="1" x14ac:dyDescent="0.3">
      <c r="A153" s="522">
        <v>1980</v>
      </c>
      <c r="B153" s="472" t="s">
        <v>560</v>
      </c>
      <c r="C153" s="473">
        <f t="shared" ref="C153" si="20">SUM(C152:C152)</f>
        <v>0</v>
      </c>
      <c r="D153" s="473">
        <f t="shared" ref="D153:E153" si="21">SUM(D152:D152)</f>
        <v>0</v>
      </c>
      <c r="E153" s="1253">
        <f t="shared" si="21"/>
        <v>0</v>
      </c>
      <c r="F153" s="515"/>
      <c r="G153" s="984"/>
    </row>
    <row r="154" spans="1:7" ht="26.25" customHeight="1" thickBot="1" x14ac:dyDescent="0.25">
      <c r="A154" s="528"/>
      <c r="B154" s="701" t="s">
        <v>561</v>
      </c>
      <c r="C154" s="473">
        <f>SUM(C152+C147+C141+C150)+C148</f>
        <v>44735745</v>
      </c>
      <c r="D154" s="473">
        <f>SUM(D152+D147+D141+D150)+D148</f>
        <v>45487776</v>
      </c>
      <c r="E154" s="1253">
        <f>SUM(E152+E147+E141+E150)+E148</f>
        <v>48895794.919369996</v>
      </c>
      <c r="F154" s="702">
        <f>E154/D154</f>
        <v>1.0749216431106676</v>
      </c>
      <c r="G154" s="984"/>
    </row>
    <row r="155" spans="1:7" ht="12" x14ac:dyDescent="0.25">
      <c r="E155" s="1255"/>
      <c r="F155" s="498"/>
    </row>
    <row r="156" spans="1:7" ht="12" x14ac:dyDescent="0.25">
      <c r="E156" s="1255"/>
      <c r="F156" s="498"/>
    </row>
    <row r="157" spans="1:7" ht="12" x14ac:dyDescent="0.25">
      <c r="E157" s="1255"/>
      <c r="F157" s="498"/>
    </row>
    <row r="158" spans="1:7" ht="12" x14ac:dyDescent="0.25">
      <c r="E158" s="1255"/>
      <c r="F158" s="498"/>
    </row>
    <row r="159" spans="1:7" ht="12" x14ac:dyDescent="0.25">
      <c r="E159" s="1255"/>
      <c r="F159" s="498"/>
    </row>
    <row r="160" spans="1:7" ht="12" x14ac:dyDescent="0.25">
      <c r="E160" s="1255"/>
      <c r="F160" s="498"/>
    </row>
    <row r="161" spans="5:6" ht="12" x14ac:dyDescent="0.25">
      <c r="E161" s="1255"/>
      <c r="F161" s="498"/>
    </row>
    <row r="162" spans="5:6" ht="12" x14ac:dyDescent="0.25">
      <c r="E162" s="1255"/>
      <c r="F162" s="498"/>
    </row>
    <row r="163" spans="5:6" ht="12" x14ac:dyDescent="0.25">
      <c r="E163" s="1255"/>
      <c r="F163" s="498"/>
    </row>
    <row r="164" spans="5:6" x14ac:dyDescent="0.2">
      <c r="E164" s="1255"/>
    </row>
    <row r="165" spans="5:6" x14ac:dyDescent="0.2">
      <c r="E165" s="1255"/>
    </row>
    <row r="166" spans="5:6" x14ac:dyDescent="0.2">
      <c r="E166" s="1255"/>
    </row>
    <row r="167" spans="5:6" x14ac:dyDescent="0.2">
      <c r="E167" s="1255"/>
    </row>
    <row r="168" spans="5:6" x14ac:dyDescent="0.2">
      <c r="E168" s="1255"/>
    </row>
    <row r="169" spans="5:6" x14ac:dyDescent="0.2">
      <c r="E169" s="1255"/>
    </row>
    <row r="170" spans="5:6" x14ac:dyDescent="0.2">
      <c r="E170" s="1255"/>
    </row>
    <row r="171" spans="5:6" x14ac:dyDescent="0.2">
      <c r="E171" s="1255"/>
    </row>
    <row r="172" spans="5:6" x14ac:dyDescent="0.2">
      <c r="E172" s="1255"/>
    </row>
    <row r="173" spans="5:6" x14ac:dyDescent="0.2">
      <c r="E173" s="1255"/>
    </row>
    <row r="174" spans="5:6" x14ac:dyDescent="0.2">
      <c r="E174" s="1255"/>
    </row>
    <row r="175" spans="5:6" x14ac:dyDescent="0.2">
      <c r="E175" s="1255"/>
    </row>
    <row r="176" spans="5:6" x14ac:dyDescent="0.2">
      <c r="E176" s="1255"/>
    </row>
    <row r="177" spans="5:5" x14ac:dyDescent="0.2">
      <c r="E177" s="1255"/>
    </row>
    <row r="178" spans="5:5" x14ac:dyDescent="0.2">
      <c r="E178" s="1255"/>
    </row>
    <row r="179" spans="5:5" x14ac:dyDescent="0.2">
      <c r="E179" s="1255"/>
    </row>
    <row r="180" spans="5:5" x14ac:dyDescent="0.2">
      <c r="E180" s="1255"/>
    </row>
    <row r="181" spans="5:5" x14ac:dyDescent="0.2">
      <c r="E181" s="1255"/>
    </row>
    <row r="182" spans="5:5" x14ac:dyDescent="0.2">
      <c r="E182" s="1255"/>
    </row>
    <row r="183" spans="5:5" x14ac:dyDescent="0.2">
      <c r="E183" s="1255"/>
    </row>
    <row r="184" spans="5:5" x14ac:dyDescent="0.2">
      <c r="E184" s="1255"/>
    </row>
    <row r="185" spans="5:5" x14ac:dyDescent="0.2">
      <c r="E185" s="1255"/>
    </row>
    <row r="186" spans="5:5" x14ac:dyDescent="0.2">
      <c r="E186" s="1255"/>
    </row>
    <row r="187" spans="5:5" x14ac:dyDescent="0.2">
      <c r="E187" s="1255"/>
    </row>
    <row r="188" spans="5:5" x14ac:dyDescent="0.2">
      <c r="E188" s="1255"/>
    </row>
    <row r="189" spans="5:5" x14ac:dyDescent="0.2">
      <c r="E189" s="1255"/>
    </row>
    <row r="190" spans="5:5" x14ac:dyDescent="0.2">
      <c r="E190" s="1255"/>
    </row>
    <row r="191" spans="5:5" x14ac:dyDescent="0.2">
      <c r="E191" s="1255"/>
    </row>
    <row r="192" spans="5:5" x14ac:dyDescent="0.2">
      <c r="E192" s="1255"/>
    </row>
    <row r="193" spans="5:5" x14ac:dyDescent="0.2">
      <c r="E193" s="1255"/>
    </row>
    <row r="194" spans="5:5" x14ac:dyDescent="0.2">
      <c r="E194" s="1255"/>
    </row>
    <row r="195" spans="5:5" x14ac:dyDescent="0.2">
      <c r="E195" s="1255"/>
    </row>
    <row r="196" spans="5:5" x14ac:dyDescent="0.2">
      <c r="E196" s="1255"/>
    </row>
    <row r="197" spans="5:5" x14ac:dyDescent="0.2">
      <c r="E197" s="1255"/>
    </row>
    <row r="198" spans="5:5" x14ac:dyDescent="0.2">
      <c r="E198" s="1255"/>
    </row>
    <row r="199" spans="5:5" x14ac:dyDescent="0.2">
      <c r="E199" s="1255"/>
    </row>
    <row r="200" spans="5:5" x14ac:dyDescent="0.2">
      <c r="E200" s="1255"/>
    </row>
    <row r="201" spans="5:5" x14ac:dyDescent="0.2">
      <c r="E201" s="1255"/>
    </row>
    <row r="202" spans="5:5" x14ac:dyDescent="0.2">
      <c r="E202" s="1255"/>
    </row>
    <row r="203" spans="5:5" x14ac:dyDescent="0.2">
      <c r="E203" s="1255"/>
    </row>
    <row r="204" spans="5:5" x14ac:dyDescent="0.2">
      <c r="E204" s="1255"/>
    </row>
    <row r="205" spans="5:5" x14ac:dyDescent="0.2">
      <c r="E205" s="1255"/>
    </row>
    <row r="206" spans="5:5" x14ac:dyDescent="0.2">
      <c r="E206" s="1255"/>
    </row>
    <row r="207" spans="5:5" x14ac:dyDescent="0.2">
      <c r="E207" s="1255"/>
    </row>
    <row r="208" spans="5:5" x14ac:dyDescent="0.2">
      <c r="E208" s="1255"/>
    </row>
    <row r="209" spans="1:5" x14ac:dyDescent="0.2">
      <c r="E209" s="1255"/>
    </row>
    <row r="210" spans="1:5" x14ac:dyDescent="0.2">
      <c r="E210" s="1255"/>
    </row>
    <row r="211" spans="1:5" x14ac:dyDescent="0.2">
      <c r="E211" s="1255"/>
    </row>
    <row r="212" spans="1:5" x14ac:dyDescent="0.2">
      <c r="E212" s="1255"/>
    </row>
    <row r="213" spans="1:5" x14ac:dyDescent="0.2">
      <c r="E213" s="1255"/>
    </row>
    <row r="214" spans="1:5" x14ac:dyDescent="0.2">
      <c r="E214" s="1255"/>
    </row>
    <row r="215" spans="1:5" x14ac:dyDescent="0.2">
      <c r="E215" s="1255"/>
    </row>
    <row r="216" spans="1:5" x14ac:dyDescent="0.2">
      <c r="E216" s="1255"/>
    </row>
    <row r="217" spans="1:5" x14ac:dyDescent="0.2">
      <c r="E217" s="1255"/>
    </row>
    <row r="218" spans="1:5" x14ac:dyDescent="0.2">
      <c r="E218" s="1255"/>
    </row>
    <row r="219" spans="1:5" x14ac:dyDescent="0.2">
      <c r="E219" s="1255"/>
    </row>
    <row r="220" spans="1:5" x14ac:dyDescent="0.2">
      <c r="E220" s="1255"/>
    </row>
    <row r="221" spans="1:5" ht="13.2" x14ac:dyDescent="0.25">
      <c r="A221"/>
      <c r="B221"/>
      <c r="E221" s="1255"/>
    </row>
    <row r="222" spans="1:5" ht="13.2" x14ac:dyDescent="0.25">
      <c r="A222"/>
      <c r="B222"/>
      <c r="E222" s="1255"/>
    </row>
    <row r="223" spans="1:5" ht="13.2" x14ac:dyDescent="0.25">
      <c r="A223"/>
      <c r="B223"/>
      <c r="E223" s="1255"/>
    </row>
    <row r="224" spans="1:5" ht="13.2" x14ac:dyDescent="0.25">
      <c r="A224"/>
      <c r="B224"/>
      <c r="E224" s="1255"/>
    </row>
    <row r="225" spans="1:5" ht="13.2" x14ac:dyDescent="0.25">
      <c r="A225"/>
      <c r="B225"/>
      <c r="E225" s="1255"/>
    </row>
    <row r="226" spans="1:5" ht="13.2" x14ac:dyDescent="0.25">
      <c r="A226"/>
      <c r="B226"/>
      <c r="E226" s="1255"/>
    </row>
    <row r="227" spans="1:5" ht="13.2" x14ac:dyDescent="0.25">
      <c r="A227"/>
      <c r="B227"/>
      <c r="E227" s="1255"/>
    </row>
    <row r="228" spans="1:5" ht="13.2" x14ac:dyDescent="0.25">
      <c r="A228"/>
      <c r="B228"/>
      <c r="E228" s="1255"/>
    </row>
    <row r="229" spans="1:5" ht="13.2" x14ac:dyDescent="0.25">
      <c r="A229"/>
      <c r="B229"/>
      <c r="E229" s="1255"/>
    </row>
    <row r="230" spans="1:5" ht="13.2" x14ac:dyDescent="0.25">
      <c r="A230"/>
      <c r="B230"/>
      <c r="E230" s="1255"/>
    </row>
    <row r="231" spans="1:5" ht="13.2" x14ac:dyDescent="0.25">
      <c r="A231"/>
      <c r="B231"/>
    </row>
    <row r="232" spans="1:5" ht="13.2" x14ac:dyDescent="0.25">
      <c r="A232"/>
      <c r="B232"/>
    </row>
    <row r="233" spans="1:5" ht="13.2" x14ac:dyDescent="0.25">
      <c r="A233"/>
      <c r="B233"/>
    </row>
    <row r="234" spans="1:5" ht="13.2" x14ac:dyDescent="0.25">
      <c r="A234"/>
      <c r="B234"/>
    </row>
    <row r="235" spans="1:5" ht="13.2" x14ac:dyDescent="0.25">
      <c r="A235"/>
      <c r="B235"/>
    </row>
    <row r="236" spans="1:5" ht="13.2" x14ac:dyDescent="0.25">
      <c r="A236"/>
      <c r="B236"/>
    </row>
    <row r="237" spans="1:5" ht="13.2" x14ac:dyDescent="0.25">
      <c r="A237"/>
      <c r="B237"/>
    </row>
    <row r="238" spans="1:5" ht="13.2" x14ac:dyDescent="0.25">
      <c r="A238"/>
      <c r="B238"/>
    </row>
    <row r="239" spans="1:5" ht="13.2" x14ac:dyDescent="0.25">
      <c r="A239"/>
      <c r="B239"/>
    </row>
    <row r="240" spans="1:5" ht="13.2" x14ac:dyDescent="0.25">
      <c r="A240"/>
      <c r="B240"/>
    </row>
    <row r="241" spans="1:2" ht="13.2" x14ac:dyDescent="0.25">
      <c r="A241"/>
      <c r="B241"/>
    </row>
    <row r="242" spans="1:2" ht="13.2" x14ac:dyDescent="0.25">
      <c r="A242"/>
      <c r="B242"/>
    </row>
    <row r="243" spans="1:2" ht="13.2" x14ac:dyDescent="0.25">
      <c r="A243"/>
      <c r="B243"/>
    </row>
    <row r="244" spans="1:2" ht="13.2" x14ac:dyDescent="0.25">
      <c r="A244"/>
      <c r="B244"/>
    </row>
    <row r="245" spans="1:2" ht="13.2" x14ac:dyDescent="0.25">
      <c r="A245"/>
      <c r="B245"/>
    </row>
    <row r="246" spans="1:2" ht="13.2" x14ac:dyDescent="0.25">
      <c r="A246"/>
      <c r="B246"/>
    </row>
    <row r="247" spans="1:2" ht="13.2" x14ac:dyDescent="0.25">
      <c r="A247"/>
      <c r="B247"/>
    </row>
    <row r="248" spans="1:2" ht="13.2" x14ac:dyDescent="0.25">
      <c r="A248"/>
      <c r="B248"/>
    </row>
    <row r="249" spans="1:2" ht="13.2" x14ac:dyDescent="0.25">
      <c r="A249"/>
      <c r="B249"/>
    </row>
    <row r="250" spans="1:2" ht="13.2" x14ac:dyDescent="0.25">
      <c r="A250"/>
      <c r="B250"/>
    </row>
    <row r="251" spans="1:2" ht="13.2" x14ac:dyDescent="0.25">
      <c r="A251"/>
      <c r="B251"/>
    </row>
    <row r="252" spans="1:2" ht="13.2" x14ac:dyDescent="0.25">
      <c r="A252"/>
      <c r="B252"/>
    </row>
    <row r="253" spans="1:2" ht="13.2" x14ac:dyDescent="0.25">
      <c r="A253"/>
      <c r="B253"/>
    </row>
    <row r="254" spans="1:2" ht="13.2" x14ac:dyDescent="0.25">
      <c r="A254"/>
      <c r="B254"/>
    </row>
    <row r="255" spans="1:2" ht="13.2" x14ac:dyDescent="0.25">
      <c r="A255"/>
      <c r="B255"/>
    </row>
    <row r="256" spans="1:2" ht="13.2" x14ac:dyDescent="0.25">
      <c r="A256"/>
      <c r="B256"/>
    </row>
    <row r="257" spans="1:2" ht="13.2" x14ac:dyDescent="0.25">
      <c r="A257"/>
      <c r="B257"/>
    </row>
    <row r="258" spans="1:2" ht="13.2" x14ac:dyDescent="0.25">
      <c r="A258"/>
      <c r="B258"/>
    </row>
    <row r="259" spans="1:2" ht="13.2" x14ac:dyDescent="0.25">
      <c r="A259"/>
      <c r="B259"/>
    </row>
    <row r="260" spans="1:2" ht="13.2" x14ac:dyDescent="0.25">
      <c r="A260"/>
      <c r="B260"/>
    </row>
    <row r="261" spans="1:2" ht="13.2" x14ac:dyDescent="0.25">
      <c r="A261"/>
      <c r="B261"/>
    </row>
  </sheetData>
  <mergeCells count="8">
    <mergeCell ref="A1:F1"/>
    <mergeCell ref="A2:F2"/>
    <mergeCell ref="C5:C7"/>
    <mergeCell ref="F5:F7"/>
    <mergeCell ref="A5:A7"/>
    <mergeCell ref="B5:B7"/>
    <mergeCell ref="D5:D7"/>
    <mergeCell ref="E5:E7"/>
  </mergeCells>
  <printOptions horizontalCentered="1"/>
  <pageMargins left="0" right="0" top="0.39370078740157483" bottom="0.31496062992125984" header="0.11811023622047245" footer="0"/>
  <pageSetup paperSize="9" scale="88" firstPageNumber="9" fitToHeight="0" orientation="portrait" useFirstPageNumber="1" r:id="rId1"/>
  <headerFooter alignWithMargins="0">
    <oddFooter>&amp;P. oldal</oddFooter>
  </headerFooter>
  <rowBreaks count="1" manualBreakCount="1">
    <brk id="85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778"/>
  <sheetViews>
    <sheetView zoomScaleNormal="100" zoomScaleSheetLayoutView="100" workbookViewId="0">
      <selection activeCell="I7" sqref="I7"/>
    </sheetView>
  </sheetViews>
  <sheetFormatPr defaultColWidth="9.33203125" defaultRowHeight="13.2" x14ac:dyDescent="0.25"/>
  <cols>
    <col min="1" max="1" width="8.5546875" style="335" customWidth="1"/>
    <col min="2" max="2" width="68.6640625" style="335" customWidth="1"/>
    <col min="3" max="5" width="11.6640625" style="335" customWidth="1"/>
    <col min="6" max="6" width="12.33203125" style="335" customWidth="1"/>
    <col min="7" max="7" width="9.33203125" style="986"/>
    <col min="8" max="8" width="15.44140625" style="226" customWidth="1"/>
    <col min="9" max="9" width="14.44140625" style="227" customWidth="1"/>
    <col min="10" max="10" width="13.6640625" style="226" customWidth="1"/>
    <col min="11" max="11" width="12.33203125" style="226" customWidth="1"/>
    <col min="12" max="16384" width="9.33203125" style="226"/>
  </cols>
  <sheetData>
    <row r="1" spans="1:6" x14ac:dyDescent="0.25">
      <c r="A1" s="1483" t="s">
        <v>1420</v>
      </c>
      <c r="B1" s="1484"/>
      <c r="C1" s="1484"/>
      <c r="D1" s="1484"/>
      <c r="E1" s="1484"/>
      <c r="F1" s="1484"/>
    </row>
    <row r="2" spans="1:6" x14ac:dyDescent="0.25">
      <c r="A2" s="1485" t="s">
        <v>566</v>
      </c>
      <c r="B2" s="1486"/>
      <c r="C2" s="1484"/>
      <c r="D2" s="1484"/>
      <c r="E2" s="1484"/>
      <c r="F2" s="1484"/>
    </row>
    <row r="3" spans="1:6" x14ac:dyDescent="0.25">
      <c r="A3" s="336"/>
      <c r="B3" s="336"/>
    </row>
    <row r="4" spans="1:6" ht="13.8" thickBot="1" x14ac:dyDescent="0.3">
      <c r="A4" s="939"/>
      <c r="B4" s="940"/>
      <c r="C4" s="941"/>
      <c r="D4" s="941"/>
      <c r="E4" s="941"/>
      <c r="F4" s="941" t="s">
        <v>87</v>
      </c>
    </row>
    <row r="5" spans="1:6" ht="12.6" customHeight="1" x14ac:dyDescent="0.25">
      <c r="A5" s="1466" t="s">
        <v>114</v>
      </c>
      <c r="B5" s="1469" t="s">
        <v>76</v>
      </c>
      <c r="C5" s="1472" t="s">
        <v>1431</v>
      </c>
      <c r="D5" s="1472" t="s">
        <v>1437</v>
      </c>
      <c r="E5" s="1472" t="s">
        <v>281</v>
      </c>
      <c r="F5" s="1475" t="s">
        <v>1443</v>
      </c>
    </row>
    <row r="6" spans="1:6" x14ac:dyDescent="0.25">
      <c r="A6" s="1467"/>
      <c r="B6" s="1470"/>
      <c r="C6" s="1487"/>
      <c r="D6" s="1487"/>
      <c r="E6" s="1487"/>
      <c r="F6" s="1476"/>
    </row>
    <row r="7" spans="1:6" ht="13.8" thickBot="1" x14ac:dyDescent="0.3">
      <c r="A7" s="1468"/>
      <c r="B7" s="1471"/>
      <c r="C7" s="1488"/>
      <c r="D7" s="1488"/>
      <c r="E7" s="1488"/>
      <c r="F7" s="1477"/>
    </row>
    <row r="8" spans="1:6" ht="13.8" thickBot="1" x14ac:dyDescent="0.3">
      <c r="A8" s="337" t="s">
        <v>373</v>
      </c>
      <c r="B8" s="338" t="s">
        <v>372</v>
      </c>
      <c r="C8" s="339" t="s">
        <v>79</v>
      </c>
      <c r="D8" s="339" t="s">
        <v>191</v>
      </c>
      <c r="E8" s="340" t="s">
        <v>192</v>
      </c>
      <c r="F8" s="340" t="s">
        <v>197</v>
      </c>
    </row>
    <row r="9" spans="1:6" ht="13.8" x14ac:dyDescent="0.25">
      <c r="A9" s="942">
        <v>2305</v>
      </c>
      <c r="B9" s="341" t="s">
        <v>371</v>
      </c>
      <c r="C9" s="342"/>
      <c r="D9" s="342"/>
      <c r="E9" s="1256"/>
      <c r="F9" s="943"/>
    </row>
    <row r="10" spans="1:6" ht="12.75" customHeight="1" x14ac:dyDescent="0.25">
      <c r="A10" s="942"/>
      <c r="B10" s="231" t="s">
        <v>337</v>
      </c>
      <c r="C10" s="342"/>
      <c r="D10" s="342"/>
      <c r="E10" s="1256"/>
      <c r="F10" s="944"/>
    </row>
    <row r="11" spans="1:6" ht="12.75" customHeight="1" thickBot="1" x14ac:dyDescent="0.3">
      <c r="A11" s="942"/>
      <c r="B11" s="343" t="s">
        <v>336</v>
      </c>
      <c r="C11" s="609"/>
      <c r="D11" s="609"/>
      <c r="E11" s="1257"/>
      <c r="F11" s="944"/>
    </row>
    <row r="12" spans="1:6" ht="13.5" customHeight="1" thickBot="1" x14ac:dyDescent="0.3">
      <c r="A12" s="942"/>
      <c r="B12" s="344" t="s">
        <v>366</v>
      </c>
      <c r="C12" s="610"/>
      <c r="D12" s="610"/>
      <c r="E12" s="1258"/>
      <c r="F12" s="945"/>
    </row>
    <row r="13" spans="1:6" x14ac:dyDescent="0.25">
      <c r="A13" s="946"/>
      <c r="B13" s="231" t="s">
        <v>332</v>
      </c>
      <c r="C13" s="611"/>
      <c r="D13" s="611"/>
      <c r="E13" s="1259"/>
      <c r="F13" s="944"/>
    </row>
    <row r="14" spans="1:6" x14ac:dyDescent="0.25">
      <c r="A14" s="946"/>
      <c r="B14" s="345" t="s">
        <v>331</v>
      </c>
      <c r="C14" s="612"/>
      <c r="D14" s="612"/>
      <c r="E14" s="1260"/>
      <c r="F14" s="944"/>
    </row>
    <row r="15" spans="1:6" x14ac:dyDescent="0.25">
      <c r="A15" s="946"/>
      <c r="B15" s="345" t="s">
        <v>330</v>
      </c>
      <c r="C15" s="612"/>
      <c r="D15" s="612"/>
      <c r="E15" s="1260"/>
      <c r="F15" s="944"/>
    </row>
    <row r="16" spans="1:6" x14ac:dyDescent="0.25">
      <c r="A16" s="946"/>
      <c r="B16" s="346" t="s">
        <v>329</v>
      </c>
      <c r="C16" s="611"/>
      <c r="D16" s="611"/>
      <c r="E16" s="1259"/>
      <c r="F16" s="944"/>
    </row>
    <row r="17" spans="1:6" x14ac:dyDescent="0.25">
      <c r="A17" s="946"/>
      <c r="B17" s="346" t="s">
        <v>328</v>
      </c>
      <c r="C17" s="611"/>
      <c r="D17" s="611"/>
      <c r="E17" s="1259"/>
      <c r="F17" s="944"/>
    </row>
    <row r="18" spans="1:6" x14ac:dyDescent="0.25">
      <c r="A18" s="946"/>
      <c r="B18" s="346" t="s">
        <v>327</v>
      </c>
      <c r="C18" s="611"/>
      <c r="D18" s="611"/>
      <c r="E18" s="1259"/>
      <c r="F18" s="944"/>
    </row>
    <row r="19" spans="1:6" x14ac:dyDescent="0.25">
      <c r="A19" s="946"/>
      <c r="B19" s="346" t="s">
        <v>326</v>
      </c>
      <c r="C19" s="611"/>
      <c r="D19" s="611"/>
      <c r="E19" s="1259"/>
      <c r="F19" s="944"/>
    </row>
    <row r="20" spans="1:6" x14ac:dyDescent="0.25">
      <c r="A20" s="946"/>
      <c r="B20" s="347" t="s">
        <v>325</v>
      </c>
      <c r="C20" s="611"/>
      <c r="D20" s="611"/>
      <c r="E20" s="1259"/>
      <c r="F20" s="944"/>
    </row>
    <row r="21" spans="1:6" ht="13.8" thickBot="1" x14ac:dyDescent="0.3">
      <c r="A21" s="946"/>
      <c r="B21" s="348" t="s">
        <v>323</v>
      </c>
      <c r="C21" s="611"/>
      <c r="D21" s="611"/>
      <c r="E21" s="1259"/>
      <c r="F21" s="369"/>
    </row>
    <row r="22" spans="1:6" ht="13.8" thickBot="1" x14ac:dyDescent="0.3">
      <c r="A22" s="946"/>
      <c r="B22" s="349" t="s">
        <v>322</v>
      </c>
      <c r="C22" s="613"/>
      <c r="D22" s="613"/>
      <c r="E22" s="1261"/>
      <c r="F22" s="350"/>
    </row>
    <row r="23" spans="1:6" ht="13.8" thickBot="1" x14ac:dyDescent="0.3">
      <c r="A23" s="946"/>
      <c r="B23" s="351" t="s">
        <v>321</v>
      </c>
      <c r="C23" s="614"/>
      <c r="D23" s="614"/>
      <c r="E23" s="1262"/>
      <c r="F23" s="702"/>
    </row>
    <row r="24" spans="1:6" ht="18.75" customHeight="1" thickBot="1" x14ac:dyDescent="0.3">
      <c r="A24" s="947"/>
      <c r="B24" s="232" t="s">
        <v>320</v>
      </c>
      <c r="C24" s="614"/>
      <c r="D24" s="614"/>
      <c r="E24" s="1262"/>
      <c r="F24" s="350"/>
    </row>
    <row r="25" spans="1:6" ht="12.6" customHeight="1" thickBot="1" x14ac:dyDescent="0.3">
      <c r="A25" s="947"/>
      <c r="B25" s="233" t="s">
        <v>319</v>
      </c>
      <c r="C25" s="615"/>
      <c r="D25" s="615"/>
      <c r="E25" s="1263"/>
      <c r="F25" s="948"/>
    </row>
    <row r="26" spans="1:6" ht="18.75" customHeight="1" thickBot="1" x14ac:dyDescent="0.3">
      <c r="A26" s="946"/>
      <c r="B26" s="230" t="s">
        <v>316</v>
      </c>
      <c r="C26" s="616"/>
      <c r="D26" s="616"/>
      <c r="E26" s="1264"/>
      <c r="F26" s="949"/>
    </row>
    <row r="27" spans="1:6" ht="12.75" customHeight="1" x14ac:dyDescent="0.25">
      <c r="A27" s="946"/>
      <c r="B27" s="352" t="s">
        <v>311</v>
      </c>
      <c r="C27" s="617"/>
      <c r="D27" s="617"/>
      <c r="E27" s="1265">
        <v>2896</v>
      </c>
      <c r="F27" s="950"/>
    </row>
    <row r="28" spans="1:6" ht="13.8" thickBot="1" x14ac:dyDescent="0.3">
      <c r="A28" s="946"/>
      <c r="B28" s="353" t="s">
        <v>314</v>
      </c>
      <c r="C28" s="618">
        <v>345557</v>
      </c>
      <c r="D28" s="618">
        <v>345557</v>
      </c>
      <c r="E28" s="1266">
        <f>345557+506+6744</f>
        <v>352807</v>
      </c>
      <c r="F28" s="367">
        <f>E28/D28</f>
        <v>1.0209806196951587</v>
      </c>
    </row>
    <row r="29" spans="1:6" ht="18.75" customHeight="1" thickBot="1" x14ac:dyDescent="0.3">
      <c r="A29" s="946"/>
      <c r="B29" s="229" t="s">
        <v>312</v>
      </c>
      <c r="C29" s="613">
        <f>SUM(C27:C28)</f>
        <v>345557</v>
      </c>
      <c r="D29" s="613">
        <f>SUM(D27:D28)</f>
        <v>345557</v>
      </c>
      <c r="E29" s="1261">
        <f>SUM(E27:E28)</f>
        <v>355703</v>
      </c>
      <c r="F29" s="350">
        <f>E29/D29</f>
        <v>1.0293612920589077</v>
      </c>
    </row>
    <row r="30" spans="1:6" ht="12.75" customHeight="1" thickBot="1" x14ac:dyDescent="0.3">
      <c r="A30" s="946"/>
      <c r="B30" s="354" t="s">
        <v>311</v>
      </c>
      <c r="C30" s="615"/>
      <c r="D30" s="615"/>
      <c r="E30" s="1263"/>
      <c r="F30" s="945"/>
    </row>
    <row r="31" spans="1:6" ht="15" customHeight="1" thickBot="1" x14ac:dyDescent="0.3">
      <c r="A31" s="946"/>
      <c r="B31" s="229" t="s">
        <v>310</v>
      </c>
      <c r="C31" s="616"/>
      <c r="D31" s="616"/>
      <c r="E31" s="1264"/>
      <c r="F31" s="945"/>
    </row>
    <row r="32" spans="1:6" ht="14.4" thickBot="1" x14ac:dyDescent="0.3">
      <c r="A32" s="951"/>
      <c r="B32" s="234" t="s">
        <v>309</v>
      </c>
      <c r="C32" s="616">
        <f>SUM(C24+C26+C29+C31)</f>
        <v>345557</v>
      </c>
      <c r="D32" s="616">
        <f>SUM(D24+D26+D29+D31)</f>
        <v>345557</v>
      </c>
      <c r="E32" s="1264">
        <f>SUM(E24+E26+E29+E31)</f>
        <v>355703</v>
      </c>
      <c r="F32" s="350">
        <f>E32/D32</f>
        <v>1.0293612920589077</v>
      </c>
    </row>
    <row r="33" spans="1:6" x14ac:dyDescent="0.25">
      <c r="A33" s="952"/>
      <c r="B33" s="355" t="s">
        <v>308</v>
      </c>
      <c r="C33" s="618">
        <v>289452</v>
      </c>
      <c r="D33" s="618">
        <v>289452</v>
      </c>
      <c r="E33" s="1266">
        <f>289452+135+5437</f>
        <v>295024</v>
      </c>
      <c r="F33" s="367">
        <f>E33/D33</f>
        <v>1.0192501692854083</v>
      </c>
    </row>
    <row r="34" spans="1:6" x14ac:dyDescent="0.25">
      <c r="A34" s="952"/>
      <c r="B34" s="355" t="s">
        <v>307</v>
      </c>
      <c r="C34" s="618">
        <v>43392</v>
      </c>
      <c r="D34" s="618">
        <v>43392</v>
      </c>
      <c r="E34" s="1266">
        <f>43392+1353+1307</f>
        <v>46052</v>
      </c>
      <c r="F34" s="367">
        <f>E34/D34</f>
        <v>1.0613016224188792</v>
      </c>
    </row>
    <row r="35" spans="1:6" x14ac:dyDescent="0.25">
      <c r="A35" s="952"/>
      <c r="B35" s="355" t="s">
        <v>306</v>
      </c>
      <c r="C35" s="618">
        <v>7379</v>
      </c>
      <c r="D35" s="618">
        <v>7379</v>
      </c>
      <c r="E35" s="1266">
        <f>7379+506+1408</f>
        <v>9293</v>
      </c>
      <c r="F35" s="367">
        <f>E35/D35</f>
        <v>1.2593847404797398</v>
      </c>
    </row>
    <row r="36" spans="1:6" x14ac:dyDescent="0.25">
      <c r="A36" s="952"/>
      <c r="B36" s="356" t="s">
        <v>305</v>
      </c>
      <c r="C36" s="617"/>
      <c r="D36" s="617"/>
      <c r="E36" s="1265"/>
      <c r="F36" s="944"/>
    </row>
    <row r="37" spans="1:6" ht="13.8" thickBot="1" x14ac:dyDescent="0.3">
      <c r="A37" s="952"/>
      <c r="B37" s="357" t="s">
        <v>304</v>
      </c>
      <c r="C37" s="617"/>
      <c r="D37" s="617"/>
      <c r="E37" s="1265"/>
      <c r="F37" s="948"/>
    </row>
    <row r="38" spans="1:6" ht="13.8" thickBot="1" x14ac:dyDescent="0.3">
      <c r="A38" s="952"/>
      <c r="B38" s="358" t="s">
        <v>18</v>
      </c>
      <c r="C38" s="619">
        <f>SUM(C33:C37)</f>
        <v>340223</v>
      </c>
      <c r="D38" s="619">
        <f>SUM(D33:D37)</f>
        <v>340223</v>
      </c>
      <c r="E38" s="1267">
        <f>SUM(E33:E37)</f>
        <v>350369</v>
      </c>
      <c r="F38" s="350">
        <f>E38/D38</f>
        <v>1.0298216169982628</v>
      </c>
    </row>
    <row r="39" spans="1:6" x14ac:dyDescent="0.25">
      <c r="A39" s="952"/>
      <c r="B39" s="355" t="s">
        <v>339</v>
      </c>
      <c r="C39" s="617">
        <v>5334</v>
      </c>
      <c r="D39" s="617">
        <v>5334</v>
      </c>
      <c r="E39" s="1265">
        <v>5334</v>
      </c>
      <c r="F39" s="367">
        <f>E39/D39</f>
        <v>1</v>
      </c>
    </row>
    <row r="40" spans="1:6" x14ac:dyDescent="0.25">
      <c r="A40" s="952"/>
      <c r="B40" s="355" t="s">
        <v>303</v>
      </c>
      <c r="C40" s="617"/>
      <c r="D40" s="617"/>
      <c r="E40" s="1265"/>
      <c r="F40" s="944"/>
    </row>
    <row r="41" spans="1:6" ht="13.8" thickBot="1" x14ac:dyDescent="0.3">
      <c r="A41" s="952"/>
      <c r="B41" s="357" t="s">
        <v>302</v>
      </c>
      <c r="C41" s="617"/>
      <c r="D41" s="617"/>
      <c r="E41" s="1265"/>
      <c r="F41" s="948"/>
    </row>
    <row r="42" spans="1:6" ht="13.8" thickBot="1" x14ac:dyDescent="0.3">
      <c r="A42" s="952"/>
      <c r="B42" s="359" t="s">
        <v>19</v>
      </c>
      <c r="C42" s="619">
        <f>SUM(C39:C41)</f>
        <v>5334</v>
      </c>
      <c r="D42" s="619">
        <f>SUM(D39:D41)</f>
        <v>5334</v>
      </c>
      <c r="E42" s="1267">
        <f>SUM(E39:E41)</f>
        <v>5334</v>
      </c>
      <c r="F42" s="350">
        <f>E42/D42</f>
        <v>1</v>
      </c>
    </row>
    <row r="43" spans="1:6" ht="14.4" thickBot="1" x14ac:dyDescent="0.3">
      <c r="A43" s="953"/>
      <c r="B43" s="360" t="s">
        <v>42</v>
      </c>
      <c r="C43" s="616">
        <f>SUM(C38+C42)</f>
        <v>345557</v>
      </c>
      <c r="D43" s="616">
        <f>SUM(D38+D42)</f>
        <v>345557</v>
      </c>
      <c r="E43" s="1264">
        <f>SUM(E38+E42)</f>
        <v>355703</v>
      </c>
      <c r="F43" s="350">
        <f>E43/D43</f>
        <v>1.0293612920589077</v>
      </c>
    </row>
    <row r="44" spans="1:6" ht="13.8" x14ac:dyDescent="0.25">
      <c r="A44" s="942">
        <v>2309</v>
      </c>
      <c r="B44" s="361" t="s">
        <v>370</v>
      </c>
      <c r="C44" s="366"/>
      <c r="D44" s="366"/>
      <c r="E44" s="1268"/>
      <c r="F44" s="954"/>
    </row>
    <row r="45" spans="1:6" ht="12.6" customHeight="1" x14ac:dyDescent="0.25">
      <c r="A45" s="952"/>
      <c r="B45" s="231" t="s">
        <v>337</v>
      </c>
      <c r="C45" s="366"/>
      <c r="D45" s="366"/>
      <c r="E45" s="1268"/>
      <c r="F45" s="944"/>
    </row>
    <row r="46" spans="1:6" ht="13.8" thickBot="1" x14ac:dyDescent="0.3">
      <c r="A46" s="952"/>
      <c r="B46" s="343" t="s">
        <v>336</v>
      </c>
      <c r="C46" s="620"/>
      <c r="D46" s="620"/>
      <c r="E46" s="1269"/>
      <c r="F46" s="948"/>
    </row>
    <row r="47" spans="1:6" ht="13.8" thickBot="1" x14ac:dyDescent="0.3">
      <c r="A47" s="952"/>
      <c r="B47" s="349" t="s">
        <v>366</v>
      </c>
      <c r="C47" s="621"/>
      <c r="D47" s="621"/>
      <c r="E47" s="1270"/>
      <c r="F47" s="948"/>
    </row>
    <row r="48" spans="1:6" x14ac:dyDescent="0.25">
      <c r="A48" s="952"/>
      <c r="B48" s="231" t="s">
        <v>332</v>
      </c>
      <c r="C48" s="617"/>
      <c r="D48" s="617"/>
      <c r="E48" s="1265"/>
      <c r="F48" s="954"/>
    </row>
    <row r="49" spans="1:6" x14ac:dyDescent="0.25">
      <c r="A49" s="952"/>
      <c r="B49" s="345" t="s">
        <v>331</v>
      </c>
      <c r="C49" s="622"/>
      <c r="D49" s="622"/>
      <c r="E49" s="1271"/>
      <c r="F49" s="944"/>
    </row>
    <row r="50" spans="1:6" x14ac:dyDescent="0.25">
      <c r="A50" s="952"/>
      <c r="B50" s="345" t="s">
        <v>330</v>
      </c>
      <c r="C50" s="622"/>
      <c r="D50" s="622"/>
      <c r="E50" s="1271"/>
      <c r="F50" s="944"/>
    </row>
    <row r="51" spans="1:6" x14ac:dyDescent="0.25">
      <c r="A51" s="952"/>
      <c r="B51" s="346" t="s">
        <v>329</v>
      </c>
      <c r="C51" s="617"/>
      <c r="D51" s="617"/>
      <c r="E51" s="1265"/>
      <c r="F51" s="944"/>
    </row>
    <row r="52" spans="1:6" x14ac:dyDescent="0.25">
      <c r="A52" s="952"/>
      <c r="B52" s="346" t="s">
        <v>328</v>
      </c>
      <c r="C52" s="617"/>
      <c r="D52" s="617"/>
      <c r="E52" s="1265"/>
      <c r="F52" s="944"/>
    </row>
    <row r="53" spans="1:6" x14ac:dyDescent="0.25">
      <c r="A53" s="952"/>
      <c r="B53" s="346" t="s">
        <v>327</v>
      </c>
      <c r="C53" s="617"/>
      <c r="D53" s="617"/>
      <c r="E53" s="1265"/>
      <c r="F53" s="944"/>
    </row>
    <row r="54" spans="1:6" x14ac:dyDescent="0.25">
      <c r="A54" s="952"/>
      <c r="B54" s="346" t="s">
        <v>326</v>
      </c>
      <c r="C54" s="617"/>
      <c r="D54" s="617"/>
      <c r="E54" s="1265"/>
      <c r="F54" s="944"/>
    </row>
    <row r="55" spans="1:6" x14ac:dyDescent="0.25">
      <c r="A55" s="952"/>
      <c r="B55" s="347" t="s">
        <v>325</v>
      </c>
      <c r="C55" s="617"/>
      <c r="D55" s="617"/>
      <c r="E55" s="1265"/>
      <c r="F55" s="944"/>
    </row>
    <row r="56" spans="1:6" ht="13.8" thickBot="1" x14ac:dyDescent="0.3">
      <c r="A56" s="952"/>
      <c r="B56" s="348" t="s">
        <v>323</v>
      </c>
      <c r="C56" s="615"/>
      <c r="D56" s="615"/>
      <c r="E56" s="1263"/>
      <c r="F56" s="948"/>
    </row>
    <row r="57" spans="1:6" ht="13.8" thickBot="1" x14ac:dyDescent="0.3">
      <c r="A57" s="952"/>
      <c r="B57" s="349" t="s">
        <v>322</v>
      </c>
      <c r="C57" s="616"/>
      <c r="D57" s="616"/>
      <c r="E57" s="1264"/>
      <c r="F57" s="948"/>
    </row>
    <row r="58" spans="1:6" ht="13.8" thickBot="1" x14ac:dyDescent="0.3">
      <c r="A58" s="952"/>
      <c r="B58" s="351" t="s">
        <v>321</v>
      </c>
      <c r="C58" s="616"/>
      <c r="D58" s="616"/>
      <c r="E58" s="1264"/>
      <c r="F58" s="948"/>
    </row>
    <row r="59" spans="1:6" ht="13.8" thickBot="1" x14ac:dyDescent="0.3">
      <c r="A59" s="952"/>
      <c r="B59" s="232" t="s">
        <v>320</v>
      </c>
      <c r="C59" s="616"/>
      <c r="D59" s="616"/>
      <c r="E59" s="1264"/>
      <c r="F59" s="948"/>
    </row>
    <row r="60" spans="1:6" ht="13.8" thickBot="1" x14ac:dyDescent="0.3">
      <c r="A60" s="952"/>
      <c r="B60" s="233" t="s">
        <v>319</v>
      </c>
      <c r="C60" s="615"/>
      <c r="D60" s="615"/>
      <c r="E60" s="1263"/>
      <c r="F60" s="948"/>
    </row>
    <row r="61" spans="1:6" ht="13.8" thickBot="1" x14ac:dyDescent="0.3">
      <c r="A61" s="952"/>
      <c r="B61" s="230" t="s">
        <v>316</v>
      </c>
      <c r="C61" s="616"/>
      <c r="D61" s="616"/>
      <c r="E61" s="1264"/>
      <c r="F61" s="948"/>
    </row>
    <row r="62" spans="1:6" x14ac:dyDescent="0.25">
      <c r="A62" s="952"/>
      <c r="B62" s="352" t="s">
        <v>311</v>
      </c>
      <c r="C62" s="617"/>
      <c r="D62" s="617"/>
      <c r="E62" s="1265">
        <v>875</v>
      </c>
      <c r="F62" s="950"/>
    </row>
    <row r="63" spans="1:6" ht="13.8" thickBot="1" x14ac:dyDescent="0.3">
      <c r="A63" s="952"/>
      <c r="B63" s="353" t="s">
        <v>314</v>
      </c>
      <c r="C63" s="623">
        <v>344329</v>
      </c>
      <c r="D63" s="623">
        <v>344329</v>
      </c>
      <c r="E63" s="1272">
        <f>344329+2306+7680</f>
        <v>354315</v>
      </c>
      <c r="F63" s="367">
        <f>E63/D63</f>
        <v>1.0290013330274244</v>
      </c>
    </row>
    <row r="64" spans="1:6" ht="13.8" thickBot="1" x14ac:dyDescent="0.3">
      <c r="A64" s="952"/>
      <c r="B64" s="229" t="s">
        <v>312</v>
      </c>
      <c r="C64" s="624">
        <f>SUM(C62:C63)</f>
        <v>344329</v>
      </c>
      <c r="D64" s="624">
        <f>SUM(D62:D63)</f>
        <v>344329</v>
      </c>
      <c r="E64" s="1273">
        <f>SUM(E62:E63)</f>
        <v>355190</v>
      </c>
      <c r="F64" s="350">
        <f>E64/D64</f>
        <v>1.0315425073113214</v>
      </c>
    </row>
    <row r="65" spans="1:6" ht="13.8" thickBot="1" x14ac:dyDescent="0.3">
      <c r="A65" s="952"/>
      <c r="B65" s="354" t="s">
        <v>311</v>
      </c>
      <c r="C65" s="615"/>
      <c r="D65" s="615"/>
      <c r="E65" s="1263"/>
      <c r="F65" s="945"/>
    </row>
    <row r="66" spans="1:6" ht="13.8" thickBot="1" x14ac:dyDescent="0.3">
      <c r="A66" s="952"/>
      <c r="B66" s="229" t="s">
        <v>310</v>
      </c>
      <c r="C66" s="616"/>
      <c r="D66" s="616"/>
      <c r="E66" s="1264"/>
      <c r="F66" s="945"/>
    </row>
    <row r="67" spans="1:6" ht="14.4" thickBot="1" x14ac:dyDescent="0.3">
      <c r="A67" s="952"/>
      <c r="B67" s="234" t="s">
        <v>309</v>
      </c>
      <c r="C67" s="616">
        <f>SUM(C59+C61+C64+C66)</f>
        <v>344329</v>
      </c>
      <c r="D67" s="616">
        <f>SUM(D59+D61+D64+D66)</f>
        <v>344329</v>
      </c>
      <c r="E67" s="1264">
        <f>SUM(E59+E61+E64+E66)</f>
        <v>355190</v>
      </c>
      <c r="F67" s="350">
        <f>E67/D67</f>
        <v>1.0315425073113214</v>
      </c>
    </row>
    <row r="68" spans="1:6" x14ac:dyDescent="0.25">
      <c r="A68" s="952"/>
      <c r="B68" s="355" t="s">
        <v>308</v>
      </c>
      <c r="C68" s="618">
        <v>290371</v>
      </c>
      <c r="D68" s="618">
        <v>290371</v>
      </c>
      <c r="E68" s="1266">
        <f>290371+706+6000</f>
        <v>297077</v>
      </c>
      <c r="F68" s="367">
        <f>E68/D68</f>
        <v>1.023094592779582</v>
      </c>
    </row>
    <row r="69" spans="1:6" x14ac:dyDescent="0.25">
      <c r="A69" s="952"/>
      <c r="B69" s="355" t="s">
        <v>307</v>
      </c>
      <c r="C69" s="618">
        <v>43379</v>
      </c>
      <c r="D69" s="618">
        <v>43379</v>
      </c>
      <c r="E69" s="1266">
        <f>43379+1465+169+1680</f>
        <v>46693</v>
      </c>
      <c r="F69" s="367">
        <f>E69/D69</f>
        <v>1.0763964130109038</v>
      </c>
    </row>
    <row r="70" spans="1:6" x14ac:dyDescent="0.25">
      <c r="A70" s="952"/>
      <c r="B70" s="355" t="s">
        <v>306</v>
      </c>
      <c r="C70" s="618">
        <v>6261</v>
      </c>
      <c r="D70" s="618">
        <v>6261</v>
      </c>
      <c r="E70" s="1266">
        <f>6261+841</f>
        <v>7102</v>
      </c>
      <c r="F70" s="367">
        <f>E70/D70</f>
        <v>1.1343235904807538</v>
      </c>
    </row>
    <row r="71" spans="1:6" x14ac:dyDescent="0.25">
      <c r="A71" s="952"/>
      <c r="B71" s="356" t="s">
        <v>305</v>
      </c>
      <c r="C71" s="617"/>
      <c r="D71" s="617"/>
      <c r="E71" s="1265"/>
      <c r="F71" s="944"/>
    </row>
    <row r="72" spans="1:6" ht="13.8" thickBot="1" x14ac:dyDescent="0.3">
      <c r="A72" s="952"/>
      <c r="B72" s="357" t="s">
        <v>304</v>
      </c>
      <c r="C72" s="615"/>
      <c r="D72" s="615"/>
      <c r="E72" s="1263"/>
      <c r="F72" s="948"/>
    </row>
    <row r="73" spans="1:6" ht="13.8" thickBot="1" x14ac:dyDescent="0.3">
      <c r="A73" s="952"/>
      <c r="B73" s="358" t="s">
        <v>18</v>
      </c>
      <c r="C73" s="616">
        <f>SUM(C68:C72)</f>
        <v>340011</v>
      </c>
      <c r="D73" s="616">
        <f>SUM(D68:D72)</f>
        <v>340011</v>
      </c>
      <c r="E73" s="1264">
        <f>SUM(E68:E72)</f>
        <v>350872</v>
      </c>
      <c r="F73" s="350">
        <f>E73/D73</f>
        <v>1.0319430841943349</v>
      </c>
    </row>
    <row r="74" spans="1:6" x14ac:dyDescent="0.25">
      <c r="A74" s="952"/>
      <c r="B74" s="355" t="s">
        <v>339</v>
      </c>
      <c r="C74" s="617">
        <v>4318</v>
      </c>
      <c r="D74" s="617">
        <v>4318</v>
      </c>
      <c r="E74" s="1265">
        <v>4318</v>
      </c>
      <c r="F74" s="367">
        <f>E74/D74</f>
        <v>1</v>
      </c>
    </row>
    <row r="75" spans="1:6" x14ac:dyDescent="0.25">
      <c r="A75" s="952"/>
      <c r="B75" s="355" t="s">
        <v>303</v>
      </c>
      <c r="C75" s="617"/>
      <c r="D75" s="617"/>
      <c r="E75" s="1265"/>
      <c r="F75" s="944"/>
    </row>
    <row r="76" spans="1:6" ht="13.8" thickBot="1" x14ac:dyDescent="0.3">
      <c r="A76" s="952"/>
      <c r="B76" s="357" t="s">
        <v>302</v>
      </c>
      <c r="C76" s="615"/>
      <c r="D76" s="615"/>
      <c r="E76" s="1263"/>
      <c r="F76" s="948"/>
    </row>
    <row r="77" spans="1:6" ht="13.8" thickBot="1" x14ac:dyDescent="0.3">
      <c r="A77" s="952"/>
      <c r="B77" s="359" t="s">
        <v>19</v>
      </c>
      <c r="C77" s="616">
        <f>SUM(C74:C76)</f>
        <v>4318</v>
      </c>
      <c r="D77" s="616">
        <f>SUM(D74:D76)</f>
        <v>4318</v>
      </c>
      <c r="E77" s="1264">
        <f>SUM(E74:E76)</f>
        <v>4318</v>
      </c>
      <c r="F77" s="350">
        <f>E77/D77</f>
        <v>1</v>
      </c>
    </row>
    <row r="78" spans="1:6" ht="14.4" thickBot="1" x14ac:dyDescent="0.3">
      <c r="A78" s="953"/>
      <c r="B78" s="360" t="s">
        <v>42</v>
      </c>
      <c r="C78" s="616">
        <f>SUM(C73+C77)</f>
        <v>344329</v>
      </c>
      <c r="D78" s="616">
        <f>SUM(D73+D77)</f>
        <v>344329</v>
      </c>
      <c r="E78" s="1264">
        <f>SUM(E73+E77)</f>
        <v>355190</v>
      </c>
      <c r="F78" s="350">
        <f>E78/D78</f>
        <v>1.0315425073113214</v>
      </c>
    </row>
    <row r="79" spans="1:6" ht="13.8" x14ac:dyDescent="0.25">
      <c r="A79" s="942">
        <v>2310</v>
      </c>
      <c r="B79" s="361" t="s">
        <v>369</v>
      </c>
      <c r="C79" s="618"/>
      <c r="D79" s="618"/>
      <c r="E79" s="1266"/>
      <c r="F79" s="954"/>
    </row>
    <row r="80" spans="1:6" ht="12.6" customHeight="1" x14ac:dyDescent="0.25">
      <c r="A80" s="952"/>
      <c r="B80" s="231" t="s">
        <v>337</v>
      </c>
      <c r="C80" s="366"/>
      <c r="D80" s="366"/>
      <c r="E80" s="1268"/>
      <c r="F80" s="944"/>
    </row>
    <row r="81" spans="1:6" ht="13.8" thickBot="1" x14ac:dyDescent="0.3">
      <c r="A81" s="952"/>
      <c r="B81" s="343" t="s">
        <v>336</v>
      </c>
      <c r="C81" s="620"/>
      <c r="D81" s="620"/>
      <c r="E81" s="1269"/>
      <c r="F81" s="948"/>
    </row>
    <row r="82" spans="1:6" ht="13.8" thickBot="1" x14ac:dyDescent="0.3">
      <c r="A82" s="952"/>
      <c r="B82" s="344" t="s">
        <v>366</v>
      </c>
      <c r="C82" s="625"/>
      <c r="D82" s="625"/>
      <c r="E82" s="1274"/>
      <c r="F82" s="948"/>
    </row>
    <row r="83" spans="1:6" x14ac:dyDescent="0.25">
      <c r="A83" s="952"/>
      <c r="B83" s="231" t="s">
        <v>332</v>
      </c>
      <c r="C83" s="618"/>
      <c r="D83" s="618"/>
      <c r="E83" s="1266"/>
      <c r="F83" s="954"/>
    </row>
    <row r="84" spans="1:6" x14ac:dyDescent="0.25">
      <c r="A84" s="952"/>
      <c r="B84" s="345" t="s">
        <v>331</v>
      </c>
      <c r="C84" s="608"/>
      <c r="D84" s="608"/>
      <c r="E84" s="1275"/>
      <c r="F84" s="944"/>
    </row>
    <row r="85" spans="1:6" x14ac:dyDescent="0.25">
      <c r="A85" s="952"/>
      <c r="B85" s="345" t="s">
        <v>330</v>
      </c>
      <c r="C85" s="608"/>
      <c r="D85" s="608"/>
      <c r="E85" s="1275"/>
      <c r="F85" s="944"/>
    </row>
    <row r="86" spans="1:6" x14ac:dyDescent="0.25">
      <c r="A86" s="952"/>
      <c r="B86" s="346" t="s">
        <v>329</v>
      </c>
      <c r="C86" s="618"/>
      <c r="D86" s="618"/>
      <c r="E86" s="1266"/>
      <c r="F86" s="944"/>
    </row>
    <row r="87" spans="1:6" x14ac:dyDescent="0.25">
      <c r="A87" s="952"/>
      <c r="B87" s="346" t="s">
        <v>328</v>
      </c>
      <c r="C87" s="618"/>
      <c r="D87" s="618"/>
      <c r="E87" s="1266"/>
      <c r="F87" s="944"/>
    </row>
    <row r="88" spans="1:6" x14ac:dyDescent="0.25">
      <c r="A88" s="952"/>
      <c r="B88" s="346" t="s">
        <v>327</v>
      </c>
      <c r="C88" s="618"/>
      <c r="D88" s="618"/>
      <c r="E88" s="1266"/>
      <c r="F88" s="944"/>
    </row>
    <row r="89" spans="1:6" x14ac:dyDescent="0.25">
      <c r="A89" s="952"/>
      <c r="B89" s="346" t="s">
        <v>326</v>
      </c>
      <c r="C89" s="618"/>
      <c r="D89" s="618"/>
      <c r="E89" s="1266"/>
      <c r="F89" s="944"/>
    </row>
    <row r="90" spans="1:6" x14ac:dyDescent="0.25">
      <c r="A90" s="952"/>
      <c r="B90" s="347" t="s">
        <v>325</v>
      </c>
      <c r="C90" s="618"/>
      <c r="D90" s="618"/>
      <c r="E90" s="1266"/>
      <c r="F90" s="944"/>
    </row>
    <row r="91" spans="1:6" ht="13.8" thickBot="1" x14ac:dyDescent="0.3">
      <c r="A91" s="952"/>
      <c r="B91" s="348" t="s">
        <v>323</v>
      </c>
      <c r="C91" s="626"/>
      <c r="D91" s="626"/>
      <c r="E91" s="1276"/>
      <c r="F91" s="948"/>
    </row>
    <row r="92" spans="1:6" ht="13.8" thickBot="1" x14ac:dyDescent="0.3">
      <c r="A92" s="952"/>
      <c r="B92" s="349" t="s">
        <v>322</v>
      </c>
      <c r="C92" s="624"/>
      <c r="D92" s="624"/>
      <c r="E92" s="1273"/>
      <c r="F92" s="948"/>
    </row>
    <row r="93" spans="1:6" ht="13.8" thickBot="1" x14ac:dyDescent="0.3">
      <c r="A93" s="952"/>
      <c r="B93" s="351" t="s">
        <v>321</v>
      </c>
      <c r="C93" s="624"/>
      <c r="D93" s="624"/>
      <c r="E93" s="1273"/>
      <c r="F93" s="948"/>
    </row>
    <row r="94" spans="1:6" ht="13.2" customHeight="1" thickBot="1" x14ac:dyDescent="0.3">
      <c r="A94" s="952"/>
      <c r="B94" s="232" t="s">
        <v>320</v>
      </c>
      <c r="C94" s="616"/>
      <c r="D94" s="616"/>
      <c r="E94" s="1264"/>
      <c r="F94" s="948"/>
    </row>
    <row r="95" spans="1:6" ht="13.8" thickBot="1" x14ac:dyDescent="0.3">
      <c r="A95" s="952"/>
      <c r="B95" s="233" t="s">
        <v>319</v>
      </c>
      <c r="C95" s="626"/>
      <c r="D95" s="626"/>
      <c r="E95" s="1276"/>
      <c r="F95" s="948"/>
    </row>
    <row r="96" spans="1:6" ht="13.8" thickBot="1" x14ac:dyDescent="0.3">
      <c r="A96" s="952"/>
      <c r="B96" s="230" t="s">
        <v>316</v>
      </c>
      <c r="C96" s="624"/>
      <c r="D96" s="624"/>
      <c r="E96" s="1273"/>
      <c r="F96" s="948"/>
    </row>
    <row r="97" spans="1:6" x14ac:dyDescent="0.25">
      <c r="A97" s="952"/>
      <c r="B97" s="352" t="s">
        <v>311</v>
      </c>
      <c r="C97" s="617"/>
      <c r="D97" s="617"/>
      <c r="E97" s="1265">
        <v>2242</v>
      </c>
      <c r="F97" s="950"/>
    </row>
    <row r="98" spans="1:6" ht="13.8" thickBot="1" x14ac:dyDescent="0.3">
      <c r="A98" s="952"/>
      <c r="B98" s="353" t="s">
        <v>314</v>
      </c>
      <c r="C98" s="623">
        <v>175014</v>
      </c>
      <c r="D98" s="623">
        <v>175014</v>
      </c>
      <c r="E98" s="1272">
        <f>175014+5060</f>
        <v>180074</v>
      </c>
      <c r="F98" s="367">
        <f>E98/D98</f>
        <v>1.0289119727564653</v>
      </c>
    </row>
    <row r="99" spans="1:6" ht="13.8" thickBot="1" x14ac:dyDescent="0.3">
      <c r="A99" s="952"/>
      <c r="B99" s="229" t="s">
        <v>312</v>
      </c>
      <c r="C99" s="624">
        <f>SUM(C97:C98)</f>
        <v>175014</v>
      </c>
      <c r="D99" s="624">
        <f>SUM(D97:D98)</f>
        <v>175014</v>
      </c>
      <c r="E99" s="1273">
        <f>SUM(E97:E98)</f>
        <v>182316</v>
      </c>
      <c r="F99" s="350">
        <f>E99/D99</f>
        <v>1.0417223764955947</v>
      </c>
    </row>
    <row r="100" spans="1:6" ht="13.8" thickBot="1" x14ac:dyDescent="0.3">
      <c r="A100" s="952"/>
      <c r="B100" s="354" t="s">
        <v>311</v>
      </c>
      <c r="C100" s="626"/>
      <c r="D100" s="626"/>
      <c r="E100" s="1276">
        <v>300</v>
      </c>
      <c r="F100" s="945"/>
    </row>
    <row r="101" spans="1:6" ht="13.8" thickBot="1" x14ac:dyDescent="0.3">
      <c r="A101" s="952"/>
      <c r="B101" s="229" t="s">
        <v>310</v>
      </c>
      <c r="C101" s="624"/>
      <c r="D101" s="624"/>
      <c r="E101" s="1273">
        <f>E100</f>
        <v>300</v>
      </c>
      <c r="F101" s="945"/>
    </row>
    <row r="102" spans="1:6" ht="14.4" thickBot="1" x14ac:dyDescent="0.3">
      <c r="A102" s="952"/>
      <c r="B102" s="234" t="s">
        <v>309</v>
      </c>
      <c r="C102" s="624">
        <f>SUM(C94+C96+C99+C101)</f>
        <v>175014</v>
      </c>
      <c r="D102" s="624">
        <f>SUM(D94+D96+D99+D101)</f>
        <v>175014</v>
      </c>
      <c r="E102" s="1273">
        <f>SUM(E94+E96+E99+E101)</f>
        <v>182616</v>
      </c>
      <c r="F102" s="350">
        <f>E102/D102</f>
        <v>1.0434365250779938</v>
      </c>
    </row>
    <row r="103" spans="1:6" x14ac:dyDescent="0.25">
      <c r="A103" s="952"/>
      <c r="B103" s="355" t="s">
        <v>308</v>
      </c>
      <c r="C103" s="618">
        <v>145231</v>
      </c>
      <c r="D103" s="618">
        <v>145231</v>
      </c>
      <c r="E103" s="1266">
        <f>145231+82+2000</f>
        <v>147313</v>
      </c>
      <c r="F103" s="367">
        <f>E103/D103</f>
        <v>1.0143357823054306</v>
      </c>
    </row>
    <row r="104" spans="1:6" x14ac:dyDescent="0.25">
      <c r="A104" s="952"/>
      <c r="B104" s="355" t="s">
        <v>307</v>
      </c>
      <c r="C104" s="618">
        <v>19481</v>
      </c>
      <c r="D104" s="618">
        <v>19481</v>
      </c>
      <c r="E104" s="1266">
        <f>19481+230+560</f>
        <v>20271</v>
      </c>
      <c r="F104" s="367">
        <f>E104/D104</f>
        <v>1.0405523330424515</v>
      </c>
    </row>
    <row r="105" spans="1:6" x14ac:dyDescent="0.25">
      <c r="A105" s="952"/>
      <c r="B105" s="355" t="s">
        <v>306</v>
      </c>
      <c r="C105" s="618">
        <v>5908</v>
      </c>
      <c r="D105" s="618">
        <v>5908</v>
      </c>
      <c r="E105" s="1266">
        <f>5908+1550</f>
        <v>7458</v>
      </c>
      <c r="F105" s="367">
        <f>E105/D105</f>
        <v>1.2623561272850372</v>
      </c>
    </row>
    <row r="106" spans="1:6" x14ac:dyDescent="0.25">
      <c r="A106" s="952"/>
      <c r="B106" s="356" t="s">
        <v>305</v>
      </c>
      <c r="C106" s="618"/>
      <c r="D106" s="618"/>
      <c r="E106" s="1266"/>
      <c r="F106" s="944"/>
    </row>
    <row r="107" spans="1:6" ht="13.8" thickBot="1" x14ac:dyDescent="0.3">
      <c r="A107" s="952"/>
      <c r="B107" s="357" t="s">
        <v>304</v>
      </c>
      <c r="C107" s="626"/>
      <c r="D107" s="626"/>
      <c r="E107" s="1276">
        <v>380</v>
      </c>
      <c r="F107" s="948"/>
    </row>
    <row r="108" spans="1:6" ht="13.8" thickBot="1" x14ac:dyDescent="0.3">
      <c r="A108" s="952"/>
      <c r="B108" s="358" t="s">
        <v>18</v>
      </c>
      <c r="C108" s="624">
        <f>SUM(C103:C107)</f>
        <v>170620</v>
      </c>
      <c r="D108" s="624">
        <f>SUM(D103:D107)</f>
        <v>170620</v>
      </c>
      <c r="E108" s="1273">
        <f>SUM(E103:E107)</f>
        <v>175422</v>
      </c>
      <c r="F108" s="350">
        <f>E108/D108</f>
        <v>1.0281444144883367</v>
      </c>
    </row>
    <row r="109" spans="1:6" x14ac:dyDescent="0.25">
      <c r="A109" s="952"/>
      <c r="B109" s="355" t="s">
        <v>339</v>
      </c>
      <c r="C109" s="618">
        <v>4394</v>
      </c>
      <c r="D109" s="618">
        <v>4394</v>
      </c>
      <c r="E109" s="1266">
        <f>4394+300+2500</f>
        <v>7194</v>
      </c>
      <c r="F109" s="367">
        <f>E109/D109</f>
        <v>1.6372325898953117</v>
      </c>
    </row>
    <row r="110" spans="1:6" x14ac:dyDescent="0.25">
      <c r="A110" s="952"/>
      <c r="B110" s="355" t="s">
        <v>303</v>
      </c>
      <c r="C110" s="618"/>
      <c r="D110" s="618"/>
      <c r="E110" s="1266"/>
      <c r="F110" s="944"/>
    </row>
    <row r="111" spans="1:6" ht="13.8" thickBot="1" x14ac:dyDescent="0.3">
      <c r="A111" s="952"/>
      <c r="B111" s="357" t="s">
        <v>302</v>
      </c>
      <c r="C111" s="626"/>
      <c r="D111" s="626"/>
      <c r="E111" s="1276"/>
      <c r="F111" s="948"/>
    </row>
    <row r="112" spans="1:6" ht="13.8" thickBot="1" x14ac:dyDescent="0.3">
      <c r="A112" s="952"/>
      <c r="B112" s="359" t="s">
        <v>19</v>
      </c>
      <c r="C112" s="624">
        <f>SUM(C109:C111)</f>
        <v>4394</v>
      </c>
      <c r="D112" s="624">
        <f>SUM(D109:D111)</f>
        <v>4394</v>
      </c>
      <c r="E112" s="1273">
        <f>SUM(E109:E111)</f>
        <v>7194</v>
      </c>
      <c r="F112" s="350">
        <f>E112/D112</f>
        <v>1.6372325898953117</v>
      </c>
    </row>
    <row r="113" spans="1:6" ht="14.4" thickBot="1" x14ac:dyDescent="0.3">
      <c r="A113" s="953"/>
      <c r="B113" s="360" t="s">
        <v>42</v>
      </c>
      <c r="C113" s="624">
        <f>SUM(C108+C112)</f>
        <v>175014</v>
      </c>
      <c r="D113" s="624">
        <f>SUM(D108+D112)</f>
        <v>175014</v>
      </c>
      <c r="E113" s="1273">
        <f>SUM(E108+E112)</f>
        <v>182616</v>
      </c>
      <c r="F113" s="350">
        <f>E113/D113</f>
        <v>1.0434365250779938</v>
      </c>
    </row>
    <row r="114" spans="1:6" ht="13.8" x14ac:dyDescent="0.25">
      <c r="A114" s="955">
        <v>2315</v>
      </c>
      <c r="B114" s="362" t="s">
        <v>368</v>
      </c>
      <c r="C114" s="618"/>
      <c r="D114" s="618"/>
      <c r="E114" s="1266"/>
      <c r="F114" s="954"/>
    </row>
    <row r="115" spans="1:6" ht="12.6" customHeight="1" x14ac:dyDescent="0.25">
      <c r="A115" s="952"/>
      <c r="B115" s="231" t="s">
        <v>337</v>
      </c>
      <c r="C115" s="366"/>
      <c r="D115" s="366"/>
      <c r="E115" s="1268"/>
      <c r="F115" s="944"/>
    </row>
    <row r="116" spans="1:6" ht="13.8" thickBot="1" x14ac:dyDescent="0.3">
      <c r="A116" s="952"/>
      <c r="B116" s="343" t="s">
        <v>336</v>
      </c>
      <c r="C116" s="620"/>
      <c r="D116" s="620"/>
      <c r="E116" s="1269"/>
      <c r="F116" s="948"/>
    </row>
    <row r="117" spans="1:6" ht="13.8" thickBot="1" x14ac:dyDescent="0.3">
      <c r="A117" s="952"/>
      <c r="B117" s="349" t="s">
        <v>366</v>
      </c>
      <c r="C117" s="627"/>
      <c r="D117" s="627"/>
      <c r="E117" s="1277"/>
      <c r="F117" s="948"/>
    </row>
    <row r="118" spans="1:6" x14ac:dyDescent="0.25">
      <c r="A118" s="952"/>
      <c r="B118" s="231" t="s">
        <v>332</v>
      </c>
      <c r="C118" s="618"/>
      <c r="D118" s="618"/>
      <c r="E118" s="1266"/>
      <c r="F118" s="954"/>
    </row>
    <row r="119" spans="1:6" x14ac:dyDescent="0.25">
      <c r="A119" s="952"/>
      <c r="B119" s="345" t="s">
        <v>331</v>
      </c>
      <c r="C119" s="608"/>
      <c r="D119" s="608"/>
      <c r="E119" s="1275"/>
      <c r="F119" s="944"/>
    </row>
    <row r="120" spans="1:6" x14ac:dyDescent="0.25">
      <c r="A120" s="952"/>
      <c r="B120" s="345" t="s">
        <v>330</v>
      </c>
      <c r="C120" s="608"/>
      <c r="D120" s="608"/>
      <c r="E120" s="1275"/>
      <c r="F120" s="944"/>
    </row>
    <row r="121" spans="1:6" x14ac:dyDescent="0.25">
      <c r="A121" s="952"/>
      <c r="B121" s="346" t="s">
        <v>329</v>
      </c>
      <c r="C121" s="618"/>
      <c r="D121" s="618"/>
      <c r="E121" s="1266"/>
      <c r="F121" s="944"/>
    </row>
    <row r="122" spans="1:6" x14ac:dyDescent="0.25">
      <c r="A122" s="952"/>
      <c r="B122" s="346" t="s">
        <v>328</v>
      </c>
      <c r="C122" s="618"/>
      <c r="D122" s="618"/>
      <c r="E122" s="1266"/>
      <c r="F122" s="944"/>
    </row>
    <row r="123" spans="1:6" x14ac:dyDescent="0.25">
      <c r="A123" s="952"/>
      <c r="B123" s="346" t="s">
        <v>327</v>
      </c>
      <c r="C123" s="618"/>
      <c r="D123" s="618"/>
      <c r="E123" s="1266"/>
      <c r="F123" s="944"/>
    </row>
    <row r="124" spans="1:6" x14ac:dyDescent="0.25">
      <c r="A124" s="952"/>
      <c r="B124" s="346" t="s">
        <v>326</v>
      </c>
      <c r="C124" s="618"/>
      <c r="D124" s="618"/>
      <c r="E124" s="1266"/>
      <c r="F124" s="944"/>
    </row>
    <row r="125" spans="1:6" x14ac:dyDescent="0.25">
      <c r="A125" s="952"/>
      <c r="B125" s="347" t="s">
        <v>325</v>
      </c>
      <c r="C125" s="618"/>
      <c r="D125" s="618"/>
      <c r="E125" s="1266"/>
      <c r="F125" s="944"/>
    </row>
    <row r="126" spans="1:6" ht="13.8" thickBot="1" x14ac:dyDescent="0.3">
      <c r="A126" s="952"/>
      <c r="B126" s="348" t="s">
        <v>323</v>
      </c>
      <c r="C126" s="615"/>
      <c r="D126" s="615"/>
      <c r="E126" s="1263"/>
      <c r="F126" s="948"/>
    </row>
    <row r="127" spans="1:6" ht="13.8" thickBot="1" x14ac:dyDescent="0.3">
      <c r="A127" s="952"/>
      <c r="B127" s="349" t="s">
        <v>322</v>
      </c>
      <c r="C127" s="624"/>
      <c r="D127" s="624"/>
      <c r="E127" s="1273"/>
      <c r="F127" s="948"/>
    </row>
    <row r="128" spans="1:6" ht="13.8" thickBot="1" x14ac:dyDescent="0.3">
      <c r="A128" s="952"/>
      <c r="B128" s="351" t="s">
        <v>321</v>
      </c>
      <c r="C128" s="624"/>
      <c r="D128" s="624"/>
      <c r="E128" s="1273"/>
      <c r="F128" s="948"/>
    </row>
    <row r="129" spans="1:6" ht="13.8" thickBot="1" x14ac:dyDescent="0.3">
      <c r="A129" s="952"/>
      <c r="B129" s="232" t="s">
        <v>320</v>
      </c>
      <c r="C129" s="616"/>
      <c r="D129" s="616"/>
      <c r="E129" s="1264"/>
      <c r="F129" s="948"/>
    </row>
    <row r="130" spans="1:6" ht="13.8" thickBot="1" x14ac:dyDescent="0.3">
      <c r="A130" s="952"/>
      <c r="B130" s="233" t="s">
        <v>319</v>
      </c>
      <c r="C130" s="626"/>
      <c r="D130" s="626"/>
      <c r="E130" s="1276"/>
      <c r="F130" s="948"/>
    </row>
    <row r="131" spans="1:6" ht="13.8" thickBot="1" x14ac:dyDescent="0.3">
      <c r="A131" s="952"/>
      <c r="B131" s="230" t="s">
        <v>316</v>
      </c>
      <c r="C131" s="624"/>
      <c r="D131" s="624"/>
      <c r="E131" s="1273"/>
      <c r="F131" s="948"/>
    </row>
    <row r="132" spans="1:6" x14ac:dyDescent="0.25">
      <c r="A132" s="952"/>
      <c r="B132" s="352" t="s">
        <v>311</v>
      </c>
      <c r="C132" s="617"/>
      <c r="D132" s="617"/>
      <c r="E132" s="1265">
        <v>6863</v>
      </c>
      <c r="F132" s="950"/>
    </row>
    <row r="133" spans="1:6" ht="13.8" thickBot="1" x14ac:dyDescent="0.3">
      <c r="A133" s="952"/>
      <c r="B133" s="353" t="s">
        <v>314</v>
      </c>
      <c r="C133" s="628">
        <v>654798</v>
      </c>
      <c r="D133" s="628">
        <v>654798</v>
      </c>
      <c r="E133" s="1278">
        <f>654798+377+17435</f>
        <v>672610</v>
      </c>
      <c r="F133" s="367">
        <f>E133/D133</f>
        <v>1.0272022822305504</v>
      </c>
    </row>
    <row r="134" spans="1:6" ht="13.8" thickBot="1" x14ac:dyDescent="0.3">
      <c r="A134" s="952"/>
      <c r="B134" s="229" t="s">
        <v>312</v>
      </c>
      <c r="C134" s="624">
        <f>SUM(C132:C133)</f>
        <v>654798</v>
      </c>
      <c r="D134" s="624">
        <f>SUM(D132:D133)</f>
        <v>654798</v>
      </c>
      <c r="E134" s="1273">
        <f>SUM(E132:E133)</f>
        <v>679473</v>
      </c>
      <c r="F134" s="350">
        <f>E134/D134</f>
        <v>1.0376833771636444</v>
      </c>
    </row>
    <row r="135" spans="1:6" ht="13.8" thickBot="1" x14ac:dyDescent="0.3">
      <c r="A135" s="952"/>
      <c r="B135" s="354" t="s">
        <v>311</v>
      </c>
      <c r="C135" s="626"/>
      <c r="D135" s="626"/>
      <c r="E135" s="1276">
        <v>8</v>
      </c>
      <c r="F135" s="945"/>
    </row>
    <row r="136" spans="1:6" ht="13.8" thickBot="1" x14ac:dyDescent="0.3">
      <c r="A136" s="952"/>
      <c r="B136" s="229" t="s">
        <v>310</v>
      </c>
      <c r="C136" s="624"/>
      <c r="D136" s="624"/>
      <c r="E136" s="1273">
        <f>SUM(E135)</f>
        <v>8</v>
      </c>
      <c r="F136" s="945"/>
    </row>
    <row r="137" spans="1:6" ht="14.4" thickBot="1" x14ac:dyDescent="0.3">
      <c r="A137" s="952"/>
      <c r="B137" s="234" t="s">
        <v>309</v>
      </c>
      <c r="C137" s="624">
        <f>SUM(C129+C131+C134+C136)</f>
        <v>654798</v>
      </c>
      <c r="D137" s="624">
        <f>SUM(D129+D131+D134+D136)</f>
        <v>654798</v>
      </c>
      <c r="E137" s="1273">
        <f>SUM(E129+E131+E134+E136)</f>
        <v>679481</v>
      </c>
      <c r="F137" s="350">
        <f>E137/D137</f>
        <v>1.0376955946719446</v>
      </c>
    </row>
    <row r="138" spans="1:6" x14ac:dyDescent="0.25">
      <c r="A138" s="952"/>
      <c r="B138" s="355" t="s">
        <v>308</v>
      </c>
      <c r="C138" s="618">
        <v>556373</v>
      </c>
      <c r="D138" s="618">
        <v>556373</v>
      </c>
      <c r="E138" s="1266">
        <f>556373+38+14356</f>
        <v>570767</v>
      </c>
      <c r="F138" s="367">
        <f>E138/D138</f>
        <v>1.025871133214588</v>
      </c>
    </row>
    <row r="139" spans="1:6" x14ac:dyDescent="0.25">
      <c r="A139" s="952"/>
      <c r="B139" s="355" t="s">
        <v>307</v>
      </c>
      <c r="C139" s="618">
        <v>83756</v>
      </c>
      <c r="D139" s="618">
        <v>83756</v>
      </c>
      <c r="E139" s="1266">
        <f>83756+2370+3079</f>
        <v>89205</v>
      </c>
      <c r="F139" s="367">
        <f>E139/D139</f>
        <v>1.0650580256936817</v>
      </c>
    </row>
    <row r="140" spans="1:6" x14ac:dyDescent="0.25">
      <c r="A140" s="952"/>
      <c r="B140" s="355" t="s">
        <v>306</v>
      </c>
      <c r="C140" s="618">
        <v>11438</v>
      </c>
      <c r="D140" s="618">
        <v>11438</v>
      </c>
      <c r="E140" s="1266">
        <f>11438+377+4455</f>
        <v>16270</v>
      </c>
      <c r="F140" s="367">
        <f>E140/D140</f>
        <v>1.4224514775310368</v>
      </c>
    </row>
    <row r="141" spans="1:6" x14ac:dyDescent="0.25">
      <c r="A141" s="952"/>
      <c r="B141" s="356" t="s">
        <v>305</v>
      </c>
      <c r="C141" s="618"/>
      <c r="D141" s="618"/>
      <c r="E141" s="1266"/>
      <c r="F141" s="944"/>
    </row>
    <row r="142" spans="1:6" ht="13.8" thickBot="1" x14ac:dyDescent="0.3">
      <c r="A142" s="952"/>
      <c r="B142" s="357" t="s">
        <v>304</v>
      </c>
      <c r="C142" s="626"/>
      <c r="D142" s="626"/>
      <c r="E142" s="1276"/>
      <c r="F142" s="948"/>
    </row>
    <row r="143" spans="1:6" ht="13.8" thickBot="1" x14ac:dyDescent="0.3">
      <c r="A143" s="952"/>
      <c r="B143" s="358" t="s">
        <v>18</v>
      </c>
      <c r="C143" s="624">
        <f>SUM(C138:C142)</f>
        <v>651567</v>
      </c>
      <c r="D143" s="624">
        <f>SUM(D138:D142)</f>
        <v>651567</v>
      </c>
      <c r="E143" s="1273">
        <f>SUM(E138:E142)</f>
        <v>676242</v>
      </c>
      <c r="F143" s="350">
        <f>E143/D143</f>
        <v>1.0378702420472492</v>
      </c>
    </row>
    <row r="144" spans="1:6" x14ac:dyDescent="0.25">
      <c r="A144" s="952"/>
      <c r="B144" s="355" t="s">
        <v>339</v>
      </c>
      <c r="C144" s="617">
        <v>3231</v>
      </c>
      <c r="D144" s="617">
        <v>3231</v>
      </c>
      <c r="E144" s="1265">
        <f>3231+8</f>
        <v>3239</v>
      </c>
      <c r="F144" s="367">
        <f>E144/D144</f>
        <v>1.0024760136180748</v>
      </c>
    </row>
    <row r="145" spans="1:6" x14ac:dyDescent="0.25">
      <c r="A145" s="952"/>
      <c r="B145" s="355" t="s">
        <v>303</v>
      </c>
      <c r="C145" s="618"/>
      <c r="D145" s="618"/>
      <c r="E145" s="1266"/>
      <c r="F145" s="944"/>
    </row>
    <row r="146" spans="1:6" ht="13.8" thickBot="1" x14ac:dyDescent="0.3">
      <c r="A146" s="952"/>
      <c r="B146" s="357" t="s">
        <v>302</v>
      </c>
      <c r="C146" s="626"/>
      <c r="D146" s="626"/>
      <c r="E146" s="1276"/>
      <c r="F146" s="948"/>
    </row>
    <row r="147" spans="1:6" ht="13.8" thickBot="1" x14ac:dyDescent="0.3">
      <c r="A147" s="952"/>
      <c r="B147" s="359" t="s">
        <v>19</v>
      </c>
      <c r="C147" s="624">
        <f>SUM(C144:C146)</f>
        <v>3231</v>
      </c>
      <c r="D147" s="624">
        <f>SUM(D144:D146)</f>
        <v>3231</v>
      </c>
      <c r="E147" s="1273">
        <f>SUM(E144:E146)</f>
        <v>3239</v>
      </c>
      <c r="F147" s="350">
        <f>E147/D147</f>
        <v>1.0024760136180748</v>
      </c>
    </row>
    <row r="148" spans="1:6" ht="14.4" thickBot="1" x14ac:dyDescent="0.3">
      <c r="A148" s="953"/>
      <c r="B148" s="360" t="s">
        <v>42</v>
      </c>
      <c r="C148" s="624">
        <f>SUM(C143+C147)</f>
        <v>654798</v>
      </c>
      <c r="D148" s="624">
        <f>SUM(D143+D147)</f>
        <v>654798</v>
      </c>
      <c r="E148" s="1273">
        <f>SUM(E143+E147)</f>
        <v>679481</v>
      </c>
      <c r="F148" s="350">
        <f>E148/D148</f>
        <v>1.0376955946719446</v>
      </c>
    </row>
    <row r="149" spans="1:6" ht="13.8" x14ac:dyDescent="0.25">
      <c r="A149" s="955">
        <v>2325</v>
      </c>
      <c r="B149" s="363" t="s">
        <v>367</v>
      </c>
      <c r="C149" s="618"/>
      <c r="D149" s="618"/>
      <c r="E149" s="1266"/>
      <c r="F149" s="954"/>
    </row>
    <row r="150" spans="1:6" ht="12.6" customHeight="1" x14ac:dyDescent="0.25">
      <c r="A150" s="952"/>
      <c r="B150" s="231" t="s">
        <v>337</v>
      </c>
      <c r="C150" s="366"/>
      <c r="D150" s="366"/>
      <c r="E150" s="1268"/>
      <c r="F150" s="944"/>
    </row>
    <row r="151" spans="1:6" ht="13.8" thickBot="1" x14ac:dyDescent="0.3">
      <c r="A151" s="952"/>
      <c r="B151" s="343" t="s">
        <v>336</v>
      </c>
      <c r="C151" s="620"/>
      <c r="D151" s="620"/>
      <c r="E151" s="1269"/>
      <c r="F151" s="948"/>
    </row>
    <row r="152" spans="1:6" ht="13.8" thickBot="1" x14ac:dyDescent="0.3">
      <c r="A152" s="952"/>
      <c r="B152" s="349" t="s">
        <v>366</v>
      </c>
      <c r="C152" s="627"/>
      <c r="D152" s="627"/>
      <c r="E152" s="1277"/>
      <c r="F152" s="948"/>
    </row>
    <row r="153" spans="1:6" x14ac:dyDescent="0.25">
      <c r="A153" s="952"/>
      <c r="B153" s="231" t="s">
        <v>332</v>
      </c>
      <c r="C153" s="618"/>
      <c r="D153" s="618"/>
      <c r="E153" s="1266"/>
      <c r="F153" s="954"/>
    </row>
    <row r="154" spans="1:6" x14ac:dyDescent="0.25">
      <c r="A154" s="952"/>
      <c r="B154" s="345" t="s">
        <v>331</v>
      </c>
      <c r="C154" s="608"/>
      <c r="D154" s="608"/>
      <c r="E154" s="1275"/>
      <c r="F154" s="944"/>
    </row>
    <row r="155" spans="1:6" x14ac:dyDescent="0.25">
      <c r="A155" s="952"/>
      <c r="B155" s="345" t="s">
        <v>330</v>
      </c>
      <c r="C155" s="608"/>
      <c r="D155" s="608"/>
      <c r="E155" s="1275"/>
      <c r="F155" s="944"/>
    </row>
    <row r="156" spans="1:6" x14ac:dyDescent="0.25">
      <c r="A156" s="952"/>
      <c r="B156" s="346" t="s">
        <v>329</v>
      </c>
      <c r="C156" s="618"/>
      <c r="D156" s="618"/>
      <c r="E156" s="1266"/>
      <c r="F156" s="944"/>
    </row>
    <row r="157" spans="1:6" x14ac:dyDescent="0.25">
      <c r="A157" s="952"/>
      <c r="B157" s="346" t="s">
        <v>328</v>
      </c>
      <c r="C157" s="618"/>
      <c r="D157" s="618"/>
      <c r="E157" s="1266"/>
      <c r="F157" s="944"/>
    </row>
    <row r="158" spans="1:6" x14ac:dyDescent="0.25">
      <c r="A158" s="952"/>
      <c r="B158" s="346" t="s">
        <v>327</v>
      </c>
      <c r="C158" s="618"/>
      <c r="D158" s="618"/>
      <c r="E158" s="1266"/>
      <c r="F158" s="944"/>
    </row>
    <row r="159" spans="1:6" x14ac:dyDescent="0.25">
      <c r="A159" s="952"/>
      <c r="B159" s="346" t="s">
        <v>326</v>
      </c>
      <c r="C159" s="618"/>
      <c r="D159" s="618"/>
      <c r="E159" s="1266"/>
      <c r="F159" s="944"/>
    </row>
    <row r="160" spans="1:6" x14ac:dyDescent="0.25">
      <c r="A160" s="952"/>
      <c r="B160" s="347" t="s">
        <v>325</v>
      </c>
      <c r="C160" s="618"/>
      <c r="D160" s="618"/>
      <c r="E160" s="1266"/>
      <c r="F160" s="944"/>
    </row>
    <row r="161" spans="1:6" ht="13.8" thickBot="1" x14ac:dyDescent="0.3">
      <c r="A161" s="952"/>
      <c r="B161" s="348" t="s">
        <v>323</v>
      </c>
      <c r="C161" s="626"/>
      <c r="D161" s="626"/>
      <c r="E161" s="1276"/>
      <c r="F161" s="948"/>
    </row>
    <row r="162" spans="1:6" ht="13.8" thickBot="1" x14ac:dyDescent="0.3">
      <c r="A162" s="952"/>
      <c r="B162" s="349" t="s">
        <v>322</v>
      </c>
      <c r="C162" s="624"/>
      <c r="D162" s="624"/>
      <c r="E162" s="1273"/>
      <c r="F162" s="948"/>
    </row>
    <row r="163" spans="1:6" ht="13.8" thickBot="1" x14ac:dyDescent="0.3">
      <c r="A163" s="952"/>
      <c r="B163" s="351" t="s">
        <v>321</v>
      </c>
      <c r="C163" s="624"/>
      <c r="D163" s="624"/>
      <c r="E163" s="1273"/>
      <c r="F163" s="948"/>
    </row>
    <row r="164" spans="1:6" ht="13.8" thickBot="1" x14ac:dyDescent="0.3">
      <c r="A164" s="952"/>
      <c r="B164" s="232" t="s">
        <v>320</v>
      </c>
      <c r="C164" s="616"/>
      <c r="D164" s="616"/>
      <c r="E164" s="1264"/>
      <c r="F164" s="948"/>
    </row>
    <row r="165" spans="1:6" ht="13.8" thickBot="1" x14ac:dyDescent="0.3">
      <c r="A165" s="952"/>
      <c r="B165" s="236" t="s">
        <v>319</v>
      </c>
      <c r="C165" s="615"/>
      <c r="D165" s="615"/>
      <c r="E165" s="1263"/>
      <c r="F165" s="948"/>
    </row>
    <row r="166" spans="1:6" ht="13.8" thickBot="1" x14ac:dyDescent="0.3">
      <c r="A166" s="952"/>
      <c r="B166" s="235" t="s">
        <v>316</v>
      </c>
      <c r="C166" s="616"/>
      <c r="D166" s="616"/>
      <c r="E166" s="1264"/>
      <c r="F166" s="948"/>
    </row>
    <row r="167" spans="1:6" x14ac:dyDescent="0.25">
      <c r="A167" s="952"/>
      <c r="B167" s="352" t="s">
        <v>311</v>
      </c>
      <c r="C167" s="617"/>
      <c r="D167" s="617"/>
      <c r="E167" s="1265">
        <v>3193</v>
      </c>
      <c r="F167" s="950"/>
    </row>
    <row r="168" spans="1:6" ht="13.8" thickBot="1" x14ac:dyDescent="0.3">
      <c r="A168" s="952"/>
      <c r="B168" s="353" t="s">
        <v>314</v>
      </c>
      <c r="C168" s="626">
        <v>371794</v>
      </c>
      <c r="D168" s="626">
        <v>371794</v>
      </c>
      <c r="E168" s="1276">
        <f>371794+6400</f>
        <v>378194</v>
      </c>
      <c r="F168" s="367">
        <f>E168/D168</f>
        <v>1.0172138334669198</v>
      </c>
    </row>
    <row r="169" spans="1:6" ht="13.8" thickBot="1" x14ac:dyDescent="0.3">
      <c r="A169" s="952"/>
      <c r="B169" s="229" t="s">
        <v>312</v>
      </c>
      <c r="C169" s="624">
        <f>SUM(C167:C168)</f>
        <v>371794</v>
      </c>
      <c r="D169" s="624">
        <f>SUM(D167:D168)</f>
        <v>371794</v>
      </c>
      <c r="E169" s="1273">
        <f>SUM(E167:E168)</f>
        <v>381387</v>
      </c>
      <c r="F169" s="350">
        <f>E169/D169</f>
        <v>1.0258019225700252</v>
      </c>
    </row>
    <row r="170" spans="1:6" ht="13.8" thickBot="1" x14ac:dyDescent="0.3">
      <c r="A170" s="952"/>
      <c r="B170" s="354" t="s">
        <v>311</v>
      </c>
      <c r="C170" s="626"/>
      <c r="D170" s="626"/>
      <c r="E170" s="1276">
        <v>300</v>
      </c>
      <c r="F170" s="945"/>
    </row>
    <row r="171" spans="1:6" ht="13.8" thickBot="1" x14ac:dyDescent="0.3">
      <c r="A171" s="952"/>
      <c r="B171" s="229" t="s">
        <v>310</v>
      </c>
      <c r="C171" s="624"/>
      <c r="D171" s="624"/>
      <c r="E171" s="1273">
        <f>SUM(E170)</f>
        <v>300</v>
      </c>
      <c r="F171" s="945"/>
    </row>
    <row r="172" spans="1:6" ht="14.4" thickBot="1" x14ac:dyDescent="0.3">
      <c r="A172" s="952"/>
      <c r="B172" s="234" t="s">
        <v>309</v>
      </c>
      <c r="C172" s="624">
        <f>SUM(C164+C166+C169+C171)</f>
        <v>371794</v>
      </c>
      <c r="D172" s="624">
        <f>SUM(D164+D166+D169+D171)</f>
        <v>371794</v>
      </c>
      <c r="E172" s="1273">
        <f>SUM(E164+E166+E169+E171)</f>
        <v>381687</v>
      </c>
      <c r="F172" s="350">
        <f>E172/D172</f>
        <v>1.0266088210137871</v>
      </c>
    </row>
    <row r="173" spans="1:6" x14ac:dyDescent="0.25">
      <c r="A173" s="952"/>
      <c r="B173" s="355" t="s">
        <v>308</v>
      </c>
      <c r="C173" s="618">
        <v>305739</v>
      </c>
      <c r="D173" s="618">
        <v>305739</v>
      </c>
      <c r="E173" s="1266">
        <f>305739+295+5000</f>
        <v>311034</v>
      </c>
      <c r="F173" s="367">
        <f>E173/D173</f>
        <v>1.0173186933953471</v>
      </c>
    </row>
    <row r="174" spans="1:6" x14ac:dyDescent="0.25">
      <c r="A174" s="952"/>
      <c r="B174" s="355" t="s">
        <v>307</v>
      </c>
      <c r="C174" s="618">
        <v>45538</v>
      </c>
      <c r="D174" s="618">
        <v>45538</v>
      </c>
      <c r="E174" s="1266">
        <f>45538+417+1400</f>
        <v>47355</v>
      </c>
      <c r="F174" s="367">
        <f>E174/D174</f>
        <v>1.0399007422372524</v>
      </c>
    </row>
    <row r="175" spans="1:6" x14ac:dyDescent="0.25">
      <c r="A175" s="952"/>
      <c r="B175" s="355" t="s">
        <v>306</v>
      </c>
      <c r="C175" s="618">
        <v>8517</v>
      </c>
      <c r="D175" s="618">
        <v>8517</v>
      </c>
      <c r="E175" s="1266">
        <f>8517+2199</f>
        <v>10716</v>
      </c>
      <c r="F175" s="367">
        <f>E175/D175</f>
        <v>1.2581895033462487</v>
      </c>
    </row>
    <row r="176" spans="1:6" x14ac:dyDescent="0.25">
      <c r="A176" s="952"/>
      <c r="B176" s="356" t="s">
        <v>305</v>
      </c>
      <c r="C176" s="618"/>
      <c r="D176" s="618"/>
      <c r="E176" s="1266"/>
      <c r="F176" s="944"/>
    </row>
    <row r="177" spans="1:6" ht="13.8" thickBot="1" x14ac:dyDescent="0.3">
      <c r="A177" s="952"/>
      <c r="B177" s="357" t="s">
        <v>304</v>
      </c>
      <c r="C177" s="626"/>
      <c r="D177" s="626"/>
      <c r="E177" s="1276">
        <v>282</v>
      </c>
      <c r="F177" s="948"/>
    </row>
    <row r="178" spans="1:6" ht="13.8" thickBot="1" x14ac:dyDescent="0.3">
      <c r="A178" s="952"/>
      <c r="B178" s="358" t="s">
        <v>18</v>
      </c>
      <c r="C178" s="624">
        <f>SUM(C173:C177)</f>
        <v>359794</v>
      </c>
      <c r="D178" s="624">
        <f>SUM(D173:D177)</f>
        <v>359794</v>
      </c>
      <c r="E178" s="1273">
        <f>SUM(E173:E177)</f>
        <v>369387</v>
      </c>
      <c r="F178" s="350">
        <f>E178/D178</f>
        <v>1.0266624790852543</v>
      </c>
    </row>
    <row r="179" spans="1:6" x14ac:dyDescent="0.25">
      <c r="A179" s="952"/>
      <c r="B179" s="355" t="s">
        <v>339</v>
      </c>
      <c r="C179" s="618">
        <v>12000</v>
      </c>
      <c r="D179" s="618">
        <v>12000</v>
      </c>
      <c r="E179" s="1266">
        <f>12000+300</f>
        <v>12300</v>
      </c>
      <c r="F179" s="367">
        <f>E179/D179</f>
        <v>1.0249999999999999</v>
      </c>
    </row>
    <row r="180" spans="1:6" x14ac:dyDescent="0.25">
      <c r="A180" s="952"/>
      <c r="B180" s="355" t="s">
        <v>303</v>
      </c>
      <c r="C180" s="618"/>
      <c r="D180" s="618"/>
      <c r="E180" s="1266"/>
      <c r="F180" s="944"/>
    </row>
    <row r="181" spans="1:6" ht="13.8" thickBot="1" x14ac:dyDescent="0.3">
      <c r="A181" s="952"/>
      <c r="B181" s="357" t="s">
        <v>302</v>
      </c>
      <c r="C181" s="626"/>
      <c r="D181" s="626"/>
      <c r="E181" s="1276"/>
      <c r="F181" s="948"/>
    </row>
    <row r="182" spans="1:6" ht="13.8" thickBot="1" x14ac:dyDescent="0.3">
      <c r="A182" s="952"/>
      <c r="B182" s="359" t="s">
        <v>19</v>
      </c>
      <c r="C182" s="624">
        <f>SUM(C179:C181)</f>
        <v>12000</v>
      </c>
      <c r="D182" s="624">
        <f>SUM(D179:D181)</f>
        <v>12000</v>
      </c>
      <c r="E182" s="1273">
        <f>SUM(E179:E181)</f>
        <v>12300</v>
      </c>
      <c r="F182" s="350">
        <f>E182/D182</f>
        <v>1.0249999999999999</v>
      </c>
    </row>
    <row r="183" spans="1:6" ht="14.4" thickBot="1" x14ac:dyDescent="0.3">
      <c r="A183" s="953"/>
      <c r="B183" s="360" t="s">
        <v>42</v>
      </c>
      <c r="C183" s="624">
        <f>SUM(C178+C182)</f>
        <v>371794</v>
      </c>
      <c r="D183" s="624">
        <f>SUM(D178+D182)</f>
        <v>371794</v>
      </c>
      <c r="E183" s="1273">
        <f>SUM(E178+E182)</f>
        <v>381687</v>
      </c>
      <c r="F183" s="350">
        <f>E183/D183</f>
        <v>1.0266088210137871</v>
      </c>
    </row>
    <row r="184" spans="1:6" ht="13.8" x14ac:dyDescent="0.25">
      <c r="A184" s="955">
        <v>2330</v>
      </c>
      <c r="B184" s="362" t="s">
        <v>365</v>
      </c>
      <c r="C184" s="618"/>
      <c r="D184" s="618"/>
      <c r="E184" s="1266"/>
      <c r="F184" s="954"/>
    </row>
    <row r="185" spans="1:6" ht="12.6" customHeight="1" x14ac:dyDescent="0.25">
      <c r="A185" s="952"/>
      <c r="B185" s="231" t="s">
        <v>337</v>
      </c>
      <c r="C185" s="366"/>
      <c r="D185" s="366"/>
      <c r="E185" s="1268"/>
      <c r="F185" s="944"/>
    </row>
    <row r="186" spans="1:6" ht="13.8" thickBot="1" x14ac:dyDescent="0.3">
      <c r="A186" s="952"/>
      <c r="B186" s="343" t="s">
        <v>336</v>
      </c>
      <c r="C186" s="620"/>
      <c r="D186" s="620"/>
      <c r="E186" s="1269"/>
      <c r="F186" s="948"/>
    </row>
    <row r="187" spans="1:6" ht="13.8" thickBot="1" x14ac:dyDescent="0.3">
      <c r="A187" s="952"/>
      <c r="B187" s="349" t="s">
        <v>335</v>
      </c>
      <c r="C187" s="627"/>
      <c r="D187" s="627"/>
      <c r="E187" s="1277"/>
      <c r="F187" s="948"/>
    </row>
    <row r="188" spans="1:6" x14ac:dyDescent="0.25">
      <c r="A188" s="952"/>
      <c r="B188" s="231" t="s">
        <v>332</v>
      </c>
      <c r="C188" s="618"/>
      <c r="D188" s="618"/>
      <c r="E188" s="1266"/>
      <c r="F188" s="954"/>
    </row>
    <row r="189" spans="1:6" x14ac:dyDescent="0.25">
      <c r="A189" s="952"/>
      <c r="B189" s="345" t="s">
        <v>331</v>
      </c>
      <c r="C189" s="608"/>
      <c r="D189" s="608"/>
      <c r="E189" s="1275"/>
      <c r="F189" s="944"/>
    </row>
    <row r="190" spans="1:6" x14ac:dyDescent="0.25">
      <c r="A190" s="952"/>
      <c r="B190" s="345" t="s">
        <v>330</v>
      </c>
      <c r="C190" s="608"/>
      <c r="D190" s="608"/>
      <c r="E190" s="1275"/>
      <c r="F190" s="944"/>
    </row>
    <row r="191" spans="1:6" x14ac:dyDescent="0.25">
      <c r="A191" s="952"/>
      <c r="B191" s="346" t="s">
        <v>329</v>
      </c>
      <c r="C191" s="618"/>
      <c r="D191" s="618"/>
      <c r="E191" s="1266"/>
      <c r="F191" s="944"/>
    </row>
    <row r="192" spans="1:6" x14ac:dyDescent="0.25">
      <c r="A192" s="952"/>
      <c r="B192" s="346" t="s">
        <v>328</v>
      </c>
      <c r="C192" s="618"/>
      <c r="D192" s="618"/>
      <c r="E192" s="1266"/>
      <c r="F192" s="944"/>
    </row>
    <row r="193" spans="1:6" x14ac:dyDescent="0.25">
      <c r="A193" s="952"/>
      <c r="B193" s="346" t="s">
        <v>327</v>
      </c>
      <c r="C193" s="618"/>
      <c r="D193" s="618"/>
      <c r="E193" s="1266"/>
      <c r="F193" s="944"/>
    </row>
    <row r="194" spans="1:6" x14ac:dyDescent="0.25">
      <c r="A194" s="952"/>
      <c r="B194" s="346" t="s">
        <v>326</v>
      </c>
      <c r="C194" s="618"/>
      <c r="D194" s="618"/>
      <c r="E194" s="1266"/>
      <c r="F194" s="944"/>
    </row>
    <row r="195" spans="1:6" x14ac:dyDescent="0.25">
      <c r="A195" s="952"/>
      <c r="B195" s="347" t="s">
        <v>325</v>
      </c>
      <c r="C195" s="618"/>
      <c r="D195" s="618"/>
      <c r="E195" s="1266"/>
      <c r="F195" s="944"/>
    </row>
    <row r="196" spans="1:6" ht="13.8" thickBot="1" x14ac:dyDescent="0.3">
      <c r="A196" s="952"/>
      <c r="B196" s="348" t="s">
        <v>323</v>
      </c>
      <c r="C196" s="626"/>
      <c r="D196" s="626"/>
      <c r="E196" s="1276"/>
      <c r="F196" s="948"/>
    </row>
    <row r="197" spans="1:6" ht="13.8" thickBot="1" x14ac:dyDescent="0.3">
      <c r="A197" s="952"/>
      <c r="B197" s="349" t="s">
        <v>322</v>
      </c>
      <c r="C197" s="624"/>
      <c r="D197" s="624"/>
      <c r="E197" s="1273"/>
      <c r="F197" s="948"/>
    </row>
    <row r="198" spans="1:6" ht="13.8" thickBot="1" x14ac:dyDescent="0.3">
      <c r="A198" s="952"/>
      <c r="B198" s="351" t="s">
        <v>321</v>
      </c>
      <c r="C198" s="624"/>
      <c r="D198" s="624"/>
      <c r="E198" s="1273"/>
      <c r="F198" s="948"/>
    </row>
    <row r="199" spans="1:6" ht="13.8" thickBot="1" x14ac:dyDescent="0.3">
      <c r="A199" s="952"/>
      <c r="B199" s="232" t="s">
        <v>320</v>
      </c>
      <c r="C199" s="616"/>
      <c r="D199" s="616"/>
      <c r="E199" s="1264"/>
      <c r="F199" s="948"/>
    </row>
    <row r="200" spans="1:6" ht="13.8" thickBot="1" x14ac:dyDescent="0.3">
      <c r="A200" s="952"/>
      <c r="B200" s="233" t="s">
        <v>319</v>
      </c>
      <c r="C200" s="626"/>
      <c r="D200" s="626"/>
      <c r="E200" s="1276"/>
      <c r="F200" s="948"/>
    </row>
    <row r="201" spans="1:6" ht="13.8" thickBot="1" x14ac:dyDescent="0.3">
      <c r="A201" s="952"/>
      <c r="B201" s="230" t="s">
        <v>316</v>
      </c>
      <c r="C201" s="624"/>
      <c r="D201" s="624"/>
      <c r="E201" s="1273"/>
      <c r="F201" s="948"/>
    </row>
    <row r="202" spans="1:6" x14ac:dyDescent="0.25">
      <c r="A202" s="952"/>
      <c r="B202" s="352" t="s">
        <v>311</v>
      </c>
      <c r="C202" s="617"/>
      <c r="D202" s="617"/>
      <c r="E202" s="1265">
        <v>2634</v>
      </c>
      <c r="F202" s="950"/>
    </row>
    <row r="203" spans="1:6" ht="13.8" thickBot="1" x14ac:dyDescent="0.3">
      <c r="A203" s="952"/>
      <c r="B203" s="353" t="s">
        <v>314</v>
      </c>
      <c r="C203" s="628">
        <v>273835</v>
      </c>
      <c r="D203" s="628">
        <v>273835</v>
      </c>
      <c r="E203" s="1278">
        <f>273835+5120</f>
        <v>278955</v>
      </c>
      <c r="F203" s="367">
        <f>E203/D203</f>
        <v>1.0186973907645114</v>
      </c>
    </row>
    <row r="204" spans="1:6" ht="13.8" thickBot="1" x14ac:dyDescent="0.3">
      <c r="A204" s="952"/>
      <c r="B204" s="229" t="s">
        <v>312</v>
      </c>
      <c r="C204" s="624">
        <f>SUM(C202:C203)</f>
        <v>273835</v>
      </c>
      <c r="D204" s="624">
        <f>SUM(D202:D203)</f>
        <v>273835</v>
      </c>
      <c r="E204" s="1273">
        <f>SUM(E202:E203)</f>
        <v>281589</v>
      </c>
      <c r="F204" s="350">
        <f>E204/D204</f>
        <v>1.0283163218726605</v>
      </c>
    </row>
    <row r="205" spans="1:6" ht="13.8" thickBot="1" x14ac:dyDescent="0.3">
      <c r="A205" s="952"/>
      <c r="B205" s="237" t="s">
        <v>311</v>
      </c>
      <c r="C205" s="626"/>
      <c r="D205" s="626"/>
      <c r="E205" s="1276"/>
      <c r="F205" s="945"/>
    </row>
    <row r="206" spans="1:6" ht="13.8" thickBot="1" x14ac:dyDescent="0.3">
      <c r="A206" s="952"/>
      <c r="B206" s="229" t="s">
        <v>310</v>
      </c>
      <c r="C206" s="624"/>
      <c r="D206" s="624"/>
      <c r="E206" s="1273"/>
      <c r="F206" s="945"/>
    </row>
    <row r="207" spans="1:6" ht="14.4" thickBot="1" x14ac:dyDescent="0.3">
      <c r="A207" s="952"/>
      <c r="B207" s="234" t="s">
        <v>309</v>
      </c>
      <c r="C207" s="624">
        <f>SUM(C199+C201+C204)+C206</f>
        <v>273835</v>
      </c>
      <c r="D207" s="624">
        <f>SUM(D199+D201+D204)+D206</f>
        <v>273835</v>
      </c>
      <c r="E207" s="1273">
        <f>SUM(E199+E201+E204)+E206</f>
        <v>281589</v>
      </c>
      <c r="F207" s="350">
        <f>E207/D207</f>
        <v>1.0283163218726605</v>
      </c>
    </row>
    <row r="208" spans="1:6" x14ac:dyDescent="0.25">
      <c r="A208" s="952"/>
      <c r="B208" s="355" t="s">
        <v>308</v>
      </c>
      <c r="C208" s="618">
        <v>231420</v>
      </c>
      <c r="D208" s="618">
        <v>231420</v>
      </c>
      <c r="E208" s="1266">
        <f>231420+36+4000</f>
        <v>235456</v>
      </c>
      <c r="F208" s="367">
        <f>E208/D208</f>
        <v>1.017440152104399</v>
      </c>
    </row>
    <row r="209" spans="1:6" x14ac:dyDescent="0.25">
      <c r="A209" s="952"/>
      <c r="B209" s="355" t="s">
        <v>307</v>
      </c>
      <c r="C209" s="618">
        <v>30943</v>
      </c>
      <c r="D209" s="618">
        <v>30943</v>
      </c>
      <c r="E209" s="1266">
        <f>30943+14+1120</f>
        <v>32077</v>
      </c>
      <c r="F209" s="367">
        <f>E209/D209</f>
        <v>1.0366480302491679</v>
      </c>
    </row>
    <row r="210" spans="1:6" x14ac:dyDescent="0.25">
      <c r="A210" s="952"/>
      <c r="B210" s="355" t="s">
        <v>306</v>
      </c>
      <c r="C210" s="618">
        <v>6519</v>
      </c>
      <c r="D210" s="618">
        <v>6519</v>
      </c>
      <c r="E210" s="1266">
        <f>6519+1410</f>
        <v>7929</v>
      </c>
      <c r="F210" s="367">
        <f>E210/D210</f>
        <v>1.2162908421537046</v>
      </c>
    </row>
    <row r="211" spans="1:6" x14ac:dyDescent="0.25">
      <c r="A211" s="952"/>
      <c r="B211" s="356" t="s">
        <v>305</v>
      </c>
      <c r="C211" s="618"/>
      <c r="D211" s="618"/>
      <c r="E211" s="1266"/>
      <c r="F211" s="944"/>
    </row>
    <row r="212" spans="1:6" ht="13.8" thickBot="1" x14ac:dyDescent="0.3">
      <c r="A212" s="952"/>
      <c r="B212" s="357" t="s">
        <v>304</v>
      </c>
      <c r="C212" s="626"/>
      <c r="D212" s="626"/>
      <c r="E212" s="1276">
        <v>1174</v>
      </c>
      <c r="F212" s="948"/>
    </row>
    <row r="213" spans="1:6" ht="13.8" thickBot="1" x14ac:dyDescent="0.3">
      <c r="A213" s="952"/>
      <c r="B213" s="358" t="s">
        <v>18</v>
      </c>
      <c r="C213" s="624">
        <f>SUM(C208:C212)</f>
        <v>268882</v>
      </c>
      <c r="D213" s="624">
        <f>SUM(D208:D212)</f>
        <v>268882</v>
      </c>
      <c r="E213" s="1273">
        <f>SUM(E208:E212)</f>
        <v>276636</v>
      </c>
      <c r="F213" s="350">
        <f>E213/D213</f>
        <v>1.0288379289056166</v>
      </c>
    </row>
    <row r="214" spans="1:6" x14ac:dyDescent="0.25">
      <c r="A214" s="952"/>
      <c r="B214" s="355" t="s">
        <v>339</v>
      </c>
      <c r="C214" s="617">
        <v>4953</v>
      </c>
      <c r="D214" s="617">
        <v>4953</v>
      </c>
      <c r="E214" s="1265">
        <v>4953</v>
      </c>
      <c r="F214" s="367">
        <f>E214/D214</f>
        <v>1</v>
      </c>
    </row>
    <row r="215" spans="1:6" x14ac:dyDescent="0.25">
      <c r="A215" s="952"/>
      <c r="B215" s="355" t="s">
        <v>303</v>
      </c>
      <c r="C215" s="618"/>
      <c r="D215" s="618"/>
      <c r="E215" s="1266"/>
      <c r="F215" s="944"/>
    </row>
    <row r="216" spans="1:6" ht="13.8" thickBot="1" x14ac:dyDescent="0.3">
      <c r="A216" s="952"/>
      <c r="B216" s="357" t="s">
        <v>302</v>
      </c>
      <c r="C216" s="626"/>
      <c r="D216" s="626"/>
      <c r="E216" s="1276"/>
      <c r="F216" s="948"/>
    </row>
    <row r="217" spans="1:6" ht="13.8" thickBot="1" x14ac:dyDescent="0.3">
      <c r="A217" s="952"/>
      <c r="B217" s="359" t="s">
        <v>19</v>
      </c>
      <c r="C217" s="624">
        <f>SUM(C214:C216)</f>
        <v>4953</v>
      </c>
      <c r="D217" s="624">
        <f>SUM(D214:D216)</f>
        <v>4953</v>
      </c>
      <c r="E217" s="1273">
        <f>SUM(E214:E216)</f>
        <v>4953</v>
      </c>
      <c r="F217" s="350">
        <f>E217/D217</f>
        <v>1</v>
      </c>
    </row>
    <row r="218" spans="1:6" ht="14.4" thickBot="1" x14ac:dyDescent="0.3">
      <c r="A218" s="953"/>
      <c r="B218" s="360" t="s">
        <v>42</v>
      </c>
      <c r="C218" s="624">
        <f>SUM(C213+C217)</f>
        <v>273835</v>
      </c>
      <c r="D218" s="624">
        <f>SUM(D213+D217)</f>
        <v>273835</v>
      </c>
      <c r="E218" s="1273">
        <f>SUM(E213+E217)</f>
        <v>281589</v>
      </c>
      <c r="F218" s="350">
        <f>E218/D218</f>
        <v>1.0283163218726605</v>
      </c>
    </row>
    <row r="219" spans="1:6" ht="13.8" x14ac:dyDescent="0.25">
      <c r="A219" s="956">
        <v>2335</v>
      </c>
      <c r="B219" s="362" t="s">
        <v>364</v>
      </c>
      <c r="C219" s="618"/>
      <c r="D219" s="618"/>
      <c r="E219" s="1266"/>
      <c r="F219" s="954"/>
    </row>
    <row r="220" spans="1:6" ht="12.6" customHeight="1" x14ac:dyDescent="0.25">
      <c r="A220" s="952"/>
      <c r="B220" s="231" t="s">
        <v>337</v>
      </c>
      <c r="C220" s="366"/>
      <c r="D220" s="366"/>
      <c r="E220" s="1268"/>
      <c r="F220" s="944"/>
    </row>
    <row r="221" spans="1:6" ht="13.8" thickBot="1" x14ac:dyDescent="0.3">
      <c r="A221" s="952"/>
      <c r="B221" s="343" t="s">
        <v>336</v>
      </c>
      <c r="C221" s="620"/>
      <c r="D221" s="620"/>
      <c r="E221" s="1269"/>
      <c r="F221" s="948"/>
    </row>
    <row r="222" spans="1:6" ht="13.8" thickBot="1" x14ac:dyDescent="0.3">
      <c r="A222" s="952"/>
      <c r="B222" s="349" t="s">
        <v>335</v>
      </c>
      <c r="C222" s="627"/>
      <c r="D222" s="627"/>
      <c r="E222" s="1277"/>
      <c r="F222" s="948"/>
    </row>
    <row r="223" spans="1:6" x14ac:dyDescent="0.25">
      <c r="A223" s="952"/>
      <c r="B223" s="231" t="s">
        <v>332</v>
      </c>
      <c r="C223" s="618"/>
      <c r="D223" s="618"/>
      <c r="E223" s="1266"/>
      <c r="F223" s="954"/>
    </row>
    <row r="224" spans="1:6" x14ac:dyDescent="0.25">
      <c r="A224" s="952"/>
      <c r="B224" s="345" t="s">
        <v>331</v>
      </c>
      <c r="C224" s="608"/>
      <c r="D224" s="608"/>
      <c r="E224" s="1275"/>
      <c r="F224" s="944"/>
    </row>
    <row r="225" spans="1:6" x14ac:dyDescent="0.25">
      <c r="A225" s="952"/>
      <c r="B225" s="345" t="s">
        <v>330</v>
      </c>
      <c r="C225" s="608"/>
      <c r="D225" s="608"/>
      <c r="E225" s="1275"/>
      <c r="F225" s="944"/>
    </row>
    <row r="226" spans="1:6" x14ac:dyDescent="0.25">
      <c r="A226" s="952"/>
      <c r="B226" s="346" t="s">
        <v>329</v>
      </c>
      <c r="C226" s="618"/>
      <c r="D226" s="618"/>
      <c r="E226" s="1266"/>
      <c r="F226" s="944"/>
    </row>
    <row r="227" spans="1:6" x14ac:dyDescent="0.25">
      <c r="A227" s="952"/>
      <c r="B227" s="346" t="s">
        <v>328</v>
      </c>
      <c r="C227" s="618"/>
      <c r="D227" s="618"/>
      <c r="E227" s="1266"/>
      <c r="F227" s="944"/>
    </row>
    <row r="228" spans="1:6" x14ac:dyDescent="0.25">
      <c r="A228" s="952"/>
      <c r="B228" s="346" t="s">
        <v>327</v>
      </c>
      <c r="C228" s="618"/>
      <c r="D228" s="618"/>
      <c r="E228" s="1266"/>
      <c r="F228" s="944"/>
    </row>
    <row r="229" spans="1:6" x14ac:dyDescent="0.25">
      <c r="A229" s="952"/>
      <c r="B229" s="346" t="s">
        <v>326</v>
      </c>
      <c r="C229" s="618"/>
      <c r="D229" s="618"/>
      <c r="E229" s="1266"/>
      <c r="F229" s="944"/>
    </row>
    <row r="230" spans="1:6" x14ac:dyDescent="0.25">
      <c r="A230" s="952"/>
      <c r="B230" s="347" t="s">
        <v>325</v>
      </c>
      <c r="C230" s="618"/>
      <c r="D230" s="618"/>
      <c r="E230" s="1266"/>
      <c r="F230" s="944"/>
    </row>
    <row r="231" spans="1:6" ht="13.8" thickBot="1" x14ac:dyDescent="0.3">
      <c r="A231" s="952"/>
      <c r="B231" s="348" t="s">
        <v>323</v>
      </c>
      <c r="C231" s="626"/>
      <c r="D231" s="626"/>
      <c r="E231" s="1276"/>
      <c r="F231" s="948"/>
    </row>
    <row r="232" spans="1:6" ht="13.8" thickBot="1" x14ac:dyDescent="0.3">
      <c r="A232" s="952"/>
      <c r="B232" s="349" t="s">
        <v>322</v>
      </c>
      <c r="C232" s="624"/>
      <c r="D232" s="624"/>
      <c r="E232" s="1273"/>
      <c r="F232" s="948"/>
    </row>
    <row r="233" spans="1:6" ht="13.8" thickBot="1" x14ac:dyDescent="0.3">
      <c r="A233" s="952"/>
      <c r="B233" s="351" t="s">
        <v>321</v>
      </c>
      <c r="C233" s="624"/>
      <c r="D233" s="624"/>
      <c r="E233" s="1273"/>
      <c r="F233" s="948"/>
    </row>
    <row r="234" spans="1:6" ht="13.8" thickBot="1" x14ac:dyDescent="0.3">
      <c r="A234" s="952"/>
      <c r="B234" s="232" t="s">
        <v>320</v>
      </c>
      <c r="C234" s="616"/>
      <c r="D234" s="616"/>
      <c r="E234" s="1264"/>
      <c r="F234" s="948"/>
    </row>
    <row r="235" spans="1:6" ht="13.8" thickBot="1" x14ac:dyDescent="0.3">
      <c r="A235" s="952"/>
      <c r="B235" s="233" t="s">
        <v>319</v>
      </c>
      <c r="C235" s="626"/>
      <c r="D235" s="626"/>
      <c r="E235" s="1276"/>
      <c r="F235" s="948"/>
    </row>
    <row r="236" spans="1:6" ht="13.8" thickBot="1" x14ac:dyDescent="0.3">
      <c r="A236" s="952"/>
      <c r="B236" s="230" t="s">
        <v>316</v>
      </c>
      <c r="C236" s="624"/>
      <c r="D236" s="624"/>
      <c r="E236" s="1273"/>
      <c r="F236" s="948"/>
    </row>
    <row r="237" spans="1:6" x14ac:dyDescent="0.25">
      <c r="A237" s="952"/>
      <c r="B237" s="352" t="s">
        <v>311</v>
      </c>
      <c r="C237" s="618"/>
      <c r="D237" s="618"/>
      <c r="E237" s="1266">
        <v>2413</v>
      </c>
      <c r="F237" s="950"/>
    </row>
    <row r="238" spans="1:6" ht="13.8" thickBot="1" x14ac:dyDescent="0.3">
      <c r="A238" s="952"/>
      <c r="B238" s="353" t="s">
        <v>314</v>
      </c>
      <c r="C238" s="623">
        <v>176646</v>
      </c>
      <c r="D238" s="623">
        <v>176646</v>
      </c>
      <c r="E238" s="1272">
        <f>176646+7550</f>
        <v>184196</v>
      </c>
      <c r="F238" s="367">
        <f>E238/D238</f>
        <v>1.0427408489294974</v>
      </c>
    </row>
    <row r="239" spans="1:6" ht="13.8" thickBot="1" x14ac:dyDescent="0.3">
      <c r="A239" s="952"/>
      <c r="B239" s="229" t="s">
        <v>312</v>
      </c>
      <c r="C239" s="624">
        <f>SUM(C237:C238)</f>
        <v>176646</v>
      </c>
      <c r="D239" s="624">
        <f>SUM(D237:D238)</f>
        <v>176646</v>
      </c>
      <c r="E239" s="1273">
        <f>SUM(E237:E238)</f>
        <v>186609</v>
      </c>
      <c r="F239" s="350">
        <f>E239/D239</f>
        <v>1.0564009374681567</v>
      </c>
    </row>
    <row r="240" spans="1:6" ht="13.8" thickBot="1" x14ac:dyDescent="0.3">
      <c r="A240" s="952"/>
      <c r="B240" s="354" t="s">
        <v>311</v>
      </c>
      <c r="C240" s="626"/>
      <c r="D240" s="626"/>
      <c r="E240" s="1276"/>
      <c r="F240" s="945"/>
    </row>
    <row r="241" spans="1:6" ht="13.8" thickBot="1" x14ac:dyDescent="0.3">
      <c r="A241" s="952"/>
      <c r="B241" s="229" t="s">
        <v>310</v>
      </c>
      <c r="C241" s="624">
        <f>SUM(C240)</f>
        <v>0</v>
      </c>
      <c r="D241" s="624">
        <f>SUM(D240)</f>
        <v>0</v>
      </c>
      <c r="E241" s="1273">
        <f>SUM(E240)</f>
        <v>0</v>
      </c>
      <c r="F241" s="945"/>
    </row>
    <row r="242" spans="1:6" ht="14.4" thickBot="1" x14ac:dyDescent="0.3">
      <c r="A242" s="952"/>
      <c r="B242" s="234" t="s">
        <v>309</v>
      </c>
      <c r="C242" s="624">
        <f>SUM(C234+C236+C239+C241)</f>
        <v>176646</v>
      </c>
      <c r="D242" s="624">
        <f>SUM(D234+D236+D239+D241)</f>
        <v>176646</v>
      </c>
      <c r="E242" s="1273">
        <f>SUM(E234+E236+E239+E241)</f>
        <v>186609</v>
      </c>
      <c r="F242" s="350">
        <f>E242/D242</f>
        <v>1.0564009374681567</v>
      </c>
    </row>
    <row r="243" spans="1:6" x14ac:dyDescent="0.25">
      <c r="A243" s="952"/>
      <c r="B243" s="355" t="s">
        <v>308</v>
      </c>
      <c r="C243" s="618">
        <v>144229</v>
      </c>
      <c r="D243" s="618">
        <v>144229</v>
      </c>
      <c r="E243" s="1266">
        <f>144229+126+5000</f>
        <v>149355</v>
      </c>
      <c r="F243" s="367">
        <f>E243/D243</f>
        <v>1.0355407026326189</v>
      </c>
    </row>
    <row r="244" spans="1:6" x14ac:dyDescent="0.25">
      <c r="A244" s="952"/>
      <c r="B244" s="355" t="s">
        <v>307</v>
      </c>
      <c r="C244" s="618">
        <v>19323</v>
      </c>
      <c r="D244" s="618">
        <v>19323</v>
      </c>
      <c r="E244" s="1266">
        <f>19323+463+1400</f>
        <v>21186</v>
      </c>
      <c r="F244" s="367">
        <f>E244/D244</f>
        <v>1.096413600372613</v>
      </c>
    </row>
    <row r="245" spans="1:6" x14ac:dyDescent="0.25">
      <c r="A245" s="952"/>
      <c r="B245" s="355" t="s">
        <v>306</v>
      </c>
      <c r="C245" s="618">
        <v>6363</v>
      </c>
      <c r="D245" s="618">
        <v>6363</v>
      </c>
      <c r="E245" s="1266">
        <f>6363+1238</f>
        <v>7601</v>
      </c>
      <c r="F245" s="367">
        <f>E245/D245</f>
        <v>1.1945623133741945</v>
      </c>
    </row>
    <row r="246" spans="1:6" x14ac:dyDescent="0.25">
      <c r="A246" s="952"/>
      <c r="B246" s="356" t="s">
        <v>305</v>
      </c>
      <c r="C246" s="618"/>
      <c r="D246" s="618"/>
      <c r="E246" s="1266"/>
      <c r="F246" s="944"/>
    </row>
    <row r="247" spans="1:6" ht="13.8" thickBot="1" x14ac:dyDescent="0.3">
      <c r="A247" s="952"/>
      <c r="B247" s="357" t="s">
        <v>304</v>
      </c>
      <c r="C247" s="626"/>
      <c r="D247" s="626"/>
      <c r="E247" s="1276">
        <v>586</v>
      </c>
      <c r="F247" s="948"/>
    </row>
    <row r="248" spans="1:6" ht="13.8" thickBot="1" x14ac:dyDescent="0.3">
      <c r="A248" s="952"/>
      <c r="B248" s="358" t="s">
        <v>18</v>
      </c>
      <c r="C248" s="624">
        <f>SUM(C243:C247)</f>
        <v>169915</v>
      </c>
      <c r="D248" s="624">
        <f>SUM(D243:D247)</f>
        <v>169915</v>
      </c>
      <c r="E248" s="1273">
        <f>SUM(E243:E247)</f>
        <v>178728</v>
      </c>
      <c r="F248" s="350">
        <f>E248/D248</f>
        <v>1.051867110025601</v>
      </c>
    </row>
    <row r="249" spans="1:6" x14ac:dyDescent="0.25">
      <c r="A249" s="952"/>
      <c r="B249" s="355" t="s">
        <v>339</v>
      </c>
      <c r="C249" s="617">
        <v>6731</v>
      </c>
      <c r="D249" s="617">
        <v>6731</v>
      </c>
      <c r="E249" s="1265">
        <f>6731+1150</f>
        <v>7881</v>
      </c>
      <c r="F249" s="367">
        <f>E249/D249</f>
        <v>1.1708512850987967</v>
      </c>
    </row>
    <row r="250" spans="1:6" x14ac:dyDescent="0.25">
      <c r="A250" s="952"/>
      <c r="B250" s="355" t="s">
        <v>303</v>
      </c>
      <c r="C250" s="618"/>
      <c r="D250" s="618"/>
      <c r="E250" s="1266"/>
      <c r="F250" s="944"/>
    </row>
    <row r="251" spans="1:6" ht="13.8" thickBot="1" x14ac:dyDescent="0.3">
      <c r="A251" s="952"/>
      <c r="B251" s="357" t="s">
        <v>302</v>
      </c>
      <c r="C251" s="626"/>
      <c r="D251" s="626"/>
      <c r="E251" s="1276"/>
      <c r="F251" s="948"/>
    </row>
    <row r="252" spans="1:6" ht="13.8" thickBot="1" x14ac:dyDescent="0.3">
      <c r="A252" s="952"/>
      <c r="B252" s="359" t="s">
        <v>19</v>
      </c>
      <c r="C252" s="624">
        <f>SUM(C249:C251)</f>
        <v>6731</v>
      </c>
      <c r="D252" s="624">
        <f>SUM(D249:D251)</f>
        <v>6731</v>
      </c>
      <c r="E252" s="1273">
        <f>SUM(E249:E251)</f>
        <v>7881</v>
      </c>
      <c r="F252" s="350">
        <f>E252/D252</f>
        <v>1.1708512850987967</v>
      </c>
    </row>
    <row r="253" spans="1:6" ht="14.4" thickBot="1" x14ac:dyDescent="0.3">
      <c r="A253" s="953"/>
      <c r="B253" s="360" t="s">
        <v>42</v>
      </c>
      <c r="C253" s="624">
        <f>SUM(C248+C252)</f>
        <v>176646</v>
      </c>
      <c r="D253" s="624">
        <f>SUM(D248+D252)</f>
        <v>176646</v>
      </c>
      <c r="E253" s="1273">
        <f>SUM(E248+E252)</f>
        <v>186609</v>
      </c>
      <c r="F253" s="350">
        <f>E253/D253</f>
        <v>1.0564009374681567</v>
      </c>
    </row>
    <row r="254" spans="1:6" ht="13.8" x14ac:dyDescent="0.25">
      <c r="A254" s="955">
        <v>2345</v>
      </c>
      <c r="B254" s="364" t="s">
        <v>363</v>
      </c>
      <c r="C254" s="618"/>
      <c r="D254" s="618"/>
      <c r="E254" s="1266"/>
      <c r="F254" s="954"/>
    </row>
    <row r="255" spans="1:6" ht="12.6" customHeight="1" x14ac:dyDescent="0.25">
      <c r="A255" s="952"/>
      <c r="B255" s="231" t="s">
        <v>337</v>
      </c>
      <c r="C255" s="366"/>
      <c r="D255" s="366"/>
      <c r="E255" s="1268"/>
      <c r="F255" s="944"/>
    </row>
    <row r="256" spans="1:6" ht="13.8" thickBot="1" x14ac:dyDescent="0.3">
      <c r="A256" s="952"/>
      <c r="B256" s="343" t="s">
        <v>336</v>
      </c>
      <c r="C256" s="620"/>
      <c r="D256" s="620"/>
      <c r="E256" s="1269"/>
      <c r="F256" s="948"/>
    </row>
    <row r="257" spans="1:6" ht="13.8" thickBot="1" x14ac:dyDescent="0.3">
      <c r="A257" s="952"/>
      <c r="B257" s="344" t="s">
        <v>335</v>
      </c>
      <c r="C257" s="629"/>
      <c r="D257" s="629"/>
      <c r="E257" s="1279"/>
      <c r="F257" s="948"/>
    </row>
    <row r="258" spans="1:6" x14ac:dyDescent="0.25">
      <c r="A258" s="952"/>
      <c r="B258" s="231" t="s">
        <v>332</v>
      </c>
      <c r="C258" s="618"/>
      <c r="D258" s="618"/>
      <c r="E258" s="1266"/>
      <c r="F258" s="954"/>
    </row>
    <row r="259" spans="1:6" x14ac:dyDescent="0.25">
      <c r="A259" s="952"/>
      <c r="B259" s="345" t="s">
        <v>331</v>
      </c>
      <c r="C259" s="608"/>
      <c r="D259" s="608"/>
      <c r="E259" s="1275"/>
      <c r="F259" s="944"/>
    </row>
    <row r="260" spans="1:6" x14ac:dyDescent="0.25">
      <c r="A260" s="952"/>
      <c r="B260" s="345" t="s">
        <v>330</v>
      </c>
      <c r="C260" s="608"/>
      <c r="D260" s="608"/>
      <c r="E260" s="1275"/>
      <c r="F260" s="944"/>
    </row>
    <row r="261" spans="1:6" x14ac:dyDescent="0.25">
      <c r="A261" s="952"/>
      <c r="B261" s="346" t="s">
        <v>329</v>
      </c>
      <c r="C261" s="618"/>
      <c r="D261" s="618"/>
      <c r="E261" s="1266"/>
      <c r="F261" s="944"/>
    </row>
    <row r="262" spans="1:6" x14ac:dyDescent="0.25">
      <c r="A262" s="952"/>
      <c r="B262" s="346" t="s">
        <v>328</v>
      </c>
      <c r="C262" s="618"/>
      <c r="D262" s="618"/>
      <c r="E262" s="1266"/>
      <c r="F262" s="944"/>
    </row>
    <row r="263" spans="1:6" x14ac:dyDescent="0.25">
      <c r="A263" s="952"/>
      <c r="B263" s="346" t="s">
        <v>327</v>
      </c>
      <c r="C263" s="618"/>
      <c r="D263" s="618"/>
      <c r="E263" s="1266"/>
      <c r="F263" s="944"/>
    </row>
    <row r="264" spans="1:6" x14ac:dyDescent="0.25">
      <c r="A264" s="952"/>
      <c r="B264" s="346" t="s">
        <v>326</v>
      </c>
      <c r="C264" s="618"/>
      <c r="D264" s="618"/>
      <c r="E264" s="1266"/>
      <c r="F264" s="944"/>
    </row>
    <row r="265" spans="1:6" x14ac:dyDescent="0.25">
      <c r="A265" s="952"/>
      <c r="B265" s="347" t="s">
        <v>325</v>
      </c>
      <c r="C265" s="618"/>
      <c r="D265" s="618"/>
      <c r="E265" s="1266"/>
      <c r="F265" s="944"/>
    </row>
    <row r="266" spans="1:6" ht="13.8" thickBot="1" x14ac:dyDescent="0.3">
      <c r="A266" s="952"/>
      <c r="B266" s="348" t="s">
        <v>323</v>
      </c>
      <c r="C266" s="623"/>
      <c r="D266" s="623"/>
      <c r="E266" s="1272"/>
      <c r="F266" s="948"/>
    </row>
    <row r="267" spans="1:6" ht="13.8" thickBot="1" x14ac:dyDescent="0.3">
      <c r="A267" s="952"/>
      <c r="B267" s="349" t="s">
        <v>322</v>
      </c>
      <c r="C267" s="624"/>
      <c r="D267" s="624"/>
      <c r="E267" s="1273"/>
      <c r="F267" s="948"/>
    </row>
    <row r="268" spans="1:6" ht="13.8" thickBot="1" x14ac:dyDescent="0.3">
      <c r="A268" s="952"/>
      <c r="B268" s="351" t="s">
        <v>321</v>
      </c>
      <c r="C268" s="624"/>
      <c r="D268" s="624"/>
      <c r="E268" s="1273"/>
      <c r="F268" s="948"/>
    </row>
    <row r="269" spans="1:6" ht="13.8" thickBot="1" x14ac:dyDescent="0.3">
      <c r="A269" s="952"/>
      <c r="B269" s="232" t="s">
        <v>320</v>
      </c>
      <c r="C269" s="616"/>
      <c r="D269" s="616"/>
      <c r="E269" s="1264"/>
      <c r="F269" s="948"/>
    </row>
    <row r="270" spans="1:6" ht="13.8" thickBot="1" x14ac:dyDescent="0.3">
      <c r="A270" s="952"/>
      <c r="B270" s="233" t="s">
        <v>319</v>
      </c>
      <c r="C270" s="626"/>
      <c r="D270" s="626"/>
      <c r="E270" s="1276"/>
      <c r="F270" s="948"/>
    </row>
    <row r="271" spans="1:6" ht="13.8" thickBot="1" x14ac:dyDescent="0.3">
      <c r="A271" s="952"/>
      <c r="B271" s="230" t="s">
        <v>316</v>
      </c>
      <c r="C271" s="624"/>
      <c r="D271" s="624"/>
      <c r="E271" s="1273"/>
      <c r="F271" s="948"/>
    </row>
    <row r="272" spans="1:6" x14ac:dyDescent="0.25">
      <c r="A272" s="952"/>
      <c r="B272" s="352" t="s">
        <v>311</v>
      </c>
      <c r="C272" s="617"/>
      <c r="D272" s="617"/>
      <c r="E272" s="1265">
        <v>2654</v>
      </c>
      <c r="F272" s="950"/>
    </row>
    <row r="273" spans="1:6" ht="13.8" thickBot="1" x14ac:dyDescent="0.3">
      <c r="A273" s="952"/>
      <c r="B273" s="353" t="s">
        <v>314</v>
      </c>
      <c r="C273" s="628">
        <v>191853</v>
      </c>
      <c r="D273" s="628">
        <v>191853</v>
      </c>
      <c r="E273" s="1278">
        <f>191853+2560</f>
        <v>194413</v>
      </c>
      <c r="F273" s="367">
        <f>E273/D273</f>
        <v>1.0133435494884104</v>
      </c>
    </row>
    <row r="274" spans="1:6" ht="13.8" thickBot="1" x14ac:dyDescent="0.3">
      <c r="A274" s="952"/>
      <c r="B274" s="229" t="s">
        <v>312</v>
      </c>
      <c r="C274" s="624">
        <f>SUM(C272:C273)</f>
        <v>191853</v>
      </c>
      <c r="D274" s="624">
        <f>SUM(D272:D273)</f>
        <v>191853</v>
      </c>
      <c r="E274" s="1273">
        <f>SUM(E272:E273)</f>
        <v>197067</v>
      </c>
      <c r="F274" s="350">
        <f>E274/D274</f>
        <v>1.0271770574345984</v>
      </c>
    </row>
    <row r="275" spans="1:6" ht="13.8" thickBot="1" x14ac:dyDescent="0.3">
      <c r="A275" s="952"/>
      <c r="B275" s="354" t="s">
        <v>311</v>
      </c>
      <c r="C275" s="628"/>
      <c r="D275" s="628"/>
      <c r="E275" s="1278"/>
      <c r="F275" s="945"/>
    </row>
    <row r="276" spans="1:6" ht="13.8" thickBot="1" x14ac:dyDescent="0.3">
      <c r="A276" s="952"/>
      <c r="B276" s="229" t="s">
        <v>310</v>
      </c>
      <c r="C276" s="624"/>
      <c r="D276" s="624"/>
      <c r="E276" s="1273"/>
      <c r="F276" s="945"/>
    </row>
    <row r="277" spans="1:6" ht="14.4" thickBot="1" x14ac:dyDescent="0.3">
      <c r="A277" s="952"/>
      <c r="B277" s="234" t="s">
        <v>309</v>
      </c>
      <c r="C277" s="624">
        <f>SUM(C269+C271+C274+C276)</f>
        <v>191853</v>
      </c>
      <c r="D277" s="624">
        <f>SUM(D269+D271+D274+D276)</f>
        <v>191853</v>
      </c>
      <c r="E277" s="1273">
        <f>SUM(E269+E271+E274+E276)</f>
        <v>197067</v>
      </c>
      <c r="F277" s="350">
        <f>E277/D277</f>
        <v>1.0271770574345984</v>
      </c>
    </row>
    <row r="278" spans="1:6" x14ac:dyDescent="0.25">
      <c r="A278" s="952"/>
      <c r="B278" s="355" t="s">
        <v>308</v>
      </c>
      <c r="C278" s="618">
        <v>161674</v>
      </c>
      <c r="D278" s="618">
        <v>161674</v>
      </c>
      <c r="E278" s="1266">
        <f>161674+2000</f>
        <v>163674</v>
      </c>
      <c r="F278" s="367">
        <f>E278/D278</f>
        <v>1.0123705728812302</v>
      </c>
    </row>
    <row r="279" spans="1:6" x14ac:dyDescent="0.25">
      <c r="A279" s="952"/>
      <c r="B279" s="355" t="s">
        <v>307</v>
      </c>
      <c r="C279" s="618">
        <v>21599</v>
      </c>
      <c r="D279" s="618">
        <v>21599</v>
      </c>
      <c r="E279" s="1266">
        <f>21599+234+560</f>
        <v>22393</v>
      </c>
      <c r="F279" s="367">
        <f>E279/D279</f>
        <v>1.036760961155609</v>
      </c>
    </row>
    <row r="280" spans="1:6" x14ac:dyDescent="0.25">
      <c r="A280" s="952"/>
      <c r="B280" s="355" t="s">
        <v>306</v>
      </c>
      <c r="C280" s="618">
        <v>6007</v>
      </c>
      <c r="D280" s="618">
        <v>6007</v>
      </c>
      <c r="E280" s="1266">
        <f>6007+1967</f>
        <v>7974</v>
      </c>
      <c r="F280" s="367">
        <f>E280/D280</f>
        <v>1.3274513068087233</v>
      </c>
    </row>
    <row r="281" spans="1:6" x14ac:dyDescent="0.25">
      <c r="A281" s="952"/>
      <c r="B281" s="356" t="s">
        <v>305</v>
      </c>
      <c r="C281" s="618"/>
      <c r="D281" s="618"/>
      <c r="E281" s="1266"/>
      <c r="F281" s="944"/>
    </row>
    <row r="282" spans="1:6" ht="13.8" thickBot="1" x14ac:dyDescent="0.3">
      <c r="A282" s="952"/>
      <c r="B282" s="357" t="s">
        <v>304</v>
      </c>
      <c r="C282" s="618"/>
      <c r="D282" s="618"/>
      <c r="E282" s="1266">
        <v>453</v>
      </c>
      <c r="F282" s="948"/>
    </row>
    <row r="283" spans="1:6" ht="13.8" thickBot="1" x14ac:dyDescent="0.3">
      <c r="A283" s="952"/>
      <c r="B283" s="358" t="s">
        <v>18</v>
      </c>
      <c r="C283" s="630">
        <f>SUM(C278:C282)</f>
        <v>189280</v>
      </c>
      <c r="D283" s="630">
        <f>SUM(D278:D282)</f>
        <v>189280</v>
      </c>
      <c r="E283" s="1280">
        <f>SUM(E278:E282)</f>
        <v>194494</v>
      </c>
      <c r="F283" s="350">
        <f>E283/D283</f>
        <v>1.0275464919695689</v>
      </c>
    </row>
    <row r="284" spans="1:6" x14ac:dyDescent="0.25">
      <c r="A284" s="952"/>
      <c r="B284" s="355" t="s">
        <v>339</v>
      </c>
      <c r="C284" s="617">
        <v>2573</v>
      </c>
      <c r="D284" s="617">
        <v>2573</v>
      </c>
      <c r="E284" s="1265">
        <v>2573</v>
      </c>
      <c r="F284" s="367">
        <f>E284/D284</f>
        <v>1</v>
      </c>
    </row>
    <row r="285" spans="1:6" x14ac:dyDescent="0.25">
      <c r="A285" s="952"/>
      <c r="B285" s="355" t="s">
        <v>303</v>
      </c>
      <c r="C285" s="618"/>
      <c r="D285" s="618"/>
      <c r="E285" s="1266"/>
      <c r="F285" s="944"/>
    </row>
    <row r="286" spans="1:6" ht="13.8" thickBot="1" x14ac:dyDescent="0.3">
      <c r="A286" s="952"/>
      <c r="B286" s="357" t="s">
        <v>302</v>
      </c>
      <c r="C286" s="618"/>
      <c r="D286" s="618"/>
      <c r="E286" s="1266"/>
      <c r="F286" s="948"/>
    </row>
    <row r="287" spans="1:6" ht="13.8" thickBot="1" x14ac:dyDescent="0.3">
      <c r="A287" s="952"/>
      <c r="B287" s="359" t="s">
        <v>19</v>
      </c>
      <c r="C287" s="630">
        <f>SUM(C284:C286)</f>
        <v>2573</v>
      </c>
      <c r="D287" s="630">
        <f>SUM(D284:D286)</f>
        <v>2573</v>
      </c>
      <c r="E287" s="1280">
        <f>SUM(E284:E286)</f>
        <v>2573</v>
      </c>
      <c r="F287" s="350">
        <f>E287/D287</f>
        <v>1</v>
      </c>
    </row>
    <row r="288" spans="1:6" ht="14.4" thickBot="1" x14ac:dyDescent="0.3">
      <c r="A288" s="953"/>
      <c r="B288" s="360" t="s">
        <v>42</v>
      </c>
      <c r="C288" s="624">
        <f>SUM(C283+C287)</f>
        <v>191853</v>
      </c>
      <c r="D288" s="624">
        <f>SUM(D283+D287)</f>
        <v>191853</v>
      </c>
      <c r="E288" s="1273">
        <f>SUM(E283+E287)</f>
        <v>197067</v>
      </c>
      <c r="F288" s="350">
        <f>E288/D288</f>
        <v>1.0271770574345984</v>
      </c>
    </row>
    <row r="289" spans="1:6" ht="13.8" x14ac:dyDescent="0.25">
      <c r="A289" s="955">
        <v>2360</v>
      </c>
      <c r="B289" s="363" t="s">
        <v>362</v>
      </c>
      <c r="C289" s="618"/>
      <c r="D289" s="618"/>
      <c r="E289" s="1266"/>
      <c r="F289" s="954"/>
    </row>
    <row r="290" spans="1:6" ht="12.75" customHeight="1" x14ac:dyDescent="0.25">
      <c r="A290" s="952"/>
      <c r="B290" s="231" t="s">
        <v>337</v>
      </c>
      <c r="C290" s="366"/>
      <c r="D290" s="366"/>
      <c r="E290" s="1268"/>
      <c r="F290" s="944"/>
    </row>
    <row r="291" spans="1:6" ht="13.8" thickBot="1" x14ac:dyDescent="0.3">
      <c r="A291" s="952"/>
      <c r="B291" s="343" t="s">
        <v>336</v>
      </c>
      <c r="C291" s="620"/>
      <c r="D291" s="620"/>
      <c r="E291" s="1269"/>
      <c r="F291" s="948"/>
    </row>
    <row r="292" spans="1:6" ht="13.8" thickBot="1" x14ac:dyDescent="0.3">
      <c r="A292" s="952"/>
      <c r="B292" s="344" t="s">
        <v>335</v>
      </c>
      <c r="C292" s="625"/>
      <c r="D292" s="625"/>
      <c r="E292" s="1274"/>
      <c r="F292" s="948"/>
    </row>
    <row r="293" spans="1:6" x14ac:dyDescent="0.25">
      <c r="A293" s="952"/>
      <c r="B293" s="231" t="s">
        <v>332</v>
      </c>
      <c r="C293" s="618"/>
      <c r="D293" s="618"/>
      <c r="E293" s="1266"/>
      <c r="F293" s="954"/>
    </row>
    <row r="294" spans="1:6" x14ac:dyDescent="0.25">
      <c r="A294" s="952"/>
      <c r="B294" s="345" t="s">
        <v>331</v>
      </c>
      <c r="C294" s="608"/>
      <c r="D294" s="608"/>
      <c r="E294" s="1275"/>
      <c r="F294" s="944"/>
    </row>
    <row r="295" spans="1:6" x14ac:dyDescent="0.25">
      <c r="A295" s="952"/>
      <c r="B295" s="345" t="s">
        <v>330</v>
      </c>
      <c r="C295" s="608"/>
      <c r="D295" s="608"/>
      <c r="E295" s="1275"/>
      <c r="F295" s="944"/>
    </row>
    <row r="296" spans="1:6" x14ac:dyDescent="0.25">
      <c r="A296" s="952"/>
      <c r="B296" s="346" t="s">
        <v>329</v>
      </c>
      <c r="C296" s="618"/>
      <c r="D296" s="618"/>
      <c r="E296" s="1266"/>
      <c r="F296" s="944"/>
    </row>
    <row r="297" spans="1:6" x14ac:dyDescent="0.25">
      <c r="A297" s="952"/>
      <c r="B297" s="346" t="s">
        <v>328</v>
      </c>
      <c r="C297" s="618"/>
      <c r="D297" s="618"/>
      <c r="E297" s="1266"/>
      <c r="F297" s="944"/>
    </row>
    <row r="298" spans="1:6" x14ac:dyDescent="0.25">
      <c r="A298" s="952"/>
      <c r="B298" s="346" t="s">
        <v>327</v>
      </c>
      <c r="C298" s="618"/>
      <c r="D298" s="618"/>
      <c r="E298" s="1266"/>
      <c r="F298" s="944"/>
    </row>
    <row r="299" spans="1:6" x14ac:dyDescent="0.25">
      <c r="A299" s="952"/>
      <c r="B299" s="346" t="s">
        <v>326</v>
      </c>
      <c r="C299" s="618"/>
      <c r="D299" s="618"/>
      <c r="E299" s="1266"/>
      <c r="F299" s="944"/>
    </row>
    <row r="300" spans="1:6" x14ac:dyDescent="0.25">
      <c r="A300" s="952"/>
      <c r="B300" s="347" t="s">
        <v>325</v>
      </c>
      <c r="C300" s="618"/>
      <c r="D300" s="618"/>
      <c r="E300" s="1266"/>
      <c r="F300" s="944"/>
    </row>
    <row r="301" spans="1:6" ht="13.8" thickBot="1" x14ac:dyDescent="0.3">
      <c r="A301" s="952"/>
      <c r="B301" s="348" t="s">
        <v>323</v>
      </c>
      <c r="C301" s="626"/>
      <c r="D301" s="626"/>
      <c r="E301" s="1276"/>
      <c r="F301" s="948"/>
    </row>
    <row r="302" spans="1:6" ht="13.8" thickBot="1" x14ac:dyDescent="0.3">
      <c r="A302" s="952"/>
      <c r="B302" s="349" t="s">
        <v>322</v>
      </c>
      <c r="C302" s="624"/>
      <c r="D302" s="624"/>
      <c r="E302" s="1273"/>
      <c r="F302" s="948"/>
    </row>
    <row r="303" spans="1:6" ht="13.8" thickBot="1" x14ac:dyDescent="0.3">
      <c r="A303" s="952"/>
      <c r="B303" s="351" t="s">
        <v>321</v>
      </c>
      <c r="C303" s="624"/>
      <c r="D303" s="624"/>
      <c r="E303" s="1273"/>
      <c r="F303" s="948"/>
    </row>
    <row r="304" spans="1:6" ht="13.8" thickBot="1" x14ac:dyDescent="0.3">
      <c r="A304" s="952"/>
      <c r="B304" s="232" t="s">
        <v>320</v>
      </c>
      <c r="C304" s="616"/>
      <c r="D304" s="616"/>
      <c r="E304" s="1264"/>
      <c r="F304" s="948"/>
    </row>
    <row r="305" spans="1:6" ht="13.8" thickBot="1" x14ac:dyDescent="0.3">
      <c r="A305" s="952"/>
      <c r="B305" s="233" t="s">
        <v>319</v>
      </c>
      <c r="C305" s="626"/>
      <c r="D305" s="626"/>
      <c r="E305" s="1276"/>
      <c r="F305" s="948"/>
    </row>
    <row r="306" spans="1:6" ht="13.8" thickBot="1" x14ac:dyDescent="0.3">
      <c r="A306" s="952"/>
      <c r="B306" s="230" t="s">
        <v>1435</v>
      </c>
      <c r="C306" s="624"/>
      <c r="D306" s="624"/>
      <c r="E306" s="1273"/>
      <c r="F306" s="948"/>
    </row>
    <row r="307" spans="1:6" x14ac:dyDescent="0.25">
      <c r="A307" s="952"/>
      <c r="B307" s="352" t="s">
        <v>311</v>
      </c>
      <c r="C307" s="617"/>
      <c r="D307" s="617"/>
      <c r="E307" s="1265">
        <v>2228</v>
      </c>
      <c r="F307" s="950"/>
    </row>
    <row r="308" spans="1:6" ht="13.8" thickBot="1" x14ac:dyDescent="0.3">
      <c r="A308" s="952"/>
      <c r="B308" s="353" t="s">
        <v>314</v>
      </c>
      <c r="C308" s="623">
        <v>188380</v>
      </c>
      <c r="D308" s="623">
        <v>188380</v>
      </c>
      <c r="E308" s="1272">
        <f>188380+1280</f>
        <v>189660</v>
      </c>
      <c r="F308" s="367">
        <f>E308/D308</f>
        <v>1.0067947765155536</v>
      </c>
    </row>
    <row r="309" spans="1:6" ht="13.8" thickBot="1" x14ac:dyDescent="0.3">
      <c r="A309" s="952"/>
      <c r="B309" s="229" t="s">
        <v>312</v>
      </c>
      <c r="C309" s="624">
        <f>SUM(C307:C308)</f>
        <v>188380</v>
      </c>
      <c r="D309" s="624">
        <f>SUM(D307:D308)</f>
        <v>188380</v>
      </c>
      <c r="E309" s="1273">
        <f>SUM(E307:E308)</f>
        <v>191888</v>
      </c>
      <c r="F309" s="350">
        <f>E309/D309</f>
        <v>1.0186219343879392</v>
      </c>
    </row>
    <row r="310" spans="1:6" ht="13.8" thickBot="1" x14ac:dyDescent="0.3">
      <c r="A310" s="952"/>
      <c r="B310" s="354" t="s">
        <v>311</v>
      </c>
      <c r="C310" s="626"/>
      <c r="D310" s="626"/>
      <c r="E310" s="1276">
        <v>330</v>
      </c>
      <c r="F310" s="945"/>
    </row>
    <row r="311" spans="1:6" ht="13.8" thickBot="1" x14ac:dyDescent="0.3">
      <c r="A311" s="952"/>
      <c r="B311" s="229" t="s">
        <v>310</v>
      </c>
      <c r="C311" s="624"/>
      <c r="D311" s="624"/>
      <c r="E311" s="1273">
        <f>SUM(E310)</f>
        <v>330</v>
      </c>
      <c r="F311" s="945"/>
    </row>
    <row r="312" spans="1:6" ht="14.4" thickBot="1" x14ac:dyDescent="0.3">
      <c r="A312" s="952"/>
      <c r="B312" s="234" t="s">
        <v>309</v>
      </c>
      <c r="C312" s="624">
        <f>SUM(C304+C306+C309+C311)</f>
        <v>188380</v>
      </c>
      <c r="D312" s="624">
        <f>SUM(D304+D306+D309+D311)</f>
        <v>188380</v>
      </c>
      <c r="E312" s="1273">
        <f>SUM(E304+E306+E309+E311)</f>
        <v>192218</v>
      </c>
      <c r="F312" s="350">
        <f>E312/D312</f>
        <v>1.0203737127083554</v>
      </c>
    </row>
    <row r="313" spans="1:6" x14ac:dyDescent="0.25">
      <c r="A313" s="952"/>
      <c r="B313" s="355" t="s">
        <v>308</v>
      </c>
      <c r="C313" s="618">
        <v>158792</v>
      </c>
      <c r="D313" s="618">
        <v>158792</v>
      </c>
      <c r="E313" s="1266">
        <f>158792+21+1000</f>
        <v>159813</v>
      </c>
      <c r="F313" s="367">
        <f>E313/D313</f>
        <v>1.0064297949518868</v>
      </c>
    </row>
    <row r="314" spans="1:6" x14ac:dyDescent="0.25">
      <c r="A314" s="952"/>
      <c r="B314" s="355" t="s">
        <v>307</v>
      </c>
      <c r="C314" s="618">
        <v>21218</v>
      </c>
      <c r="D314" s="618">
        <v>21218</v>
      </c>
      <c r="E314" s="1266">
        <f>21218+292+280</f>
        <v>21790</v>
      </c>
      <c r="F314" s="367">
        <f>E314/D314</f>
        <v>1.0269582430012254</v>
      </c>
    </row>
    <row r="315" spans="1:6" x14ac:dyDescent="0.25">
      <c r="A315" s="952"/>
      <c r="B315" s="355" t="s">
        <v>306</v>
      </c>
      <c r="C315" s="618">
        <v>5474</v>
      </c>
      <c r="D315" s="618">
        <v>5474</v>
      </c>
      <c r="E315" s="1266">
        <f>5474+1677+330</f>
        <v>7481</v>
      </c>
      <c r="F315" s="367">
        <f>E315/D315</f>
        <v>1.3666423090975521</v>
      </c>
    </row>
    <row r="316" spans="1:6" x14ac:dyDescent="0.25">
      <c r="A316" s="952"/>
      <c r="B316" s="356" t="s">
        <v>305</v>
      </c>
      <c r="C316" s="618"/>
      <c r="D316" s="618"/>
      <c r="E316" s="1266"/>
      <c r="F316" s="944"/>
    </row>
    <row r="317" spans="1:6" ht="13.8" thickBot="1" x14ac:dyDescent="0.3">
      <c r="A317" s="952"/>
      <c r="B317" s="357" t="s">
        <v>304</v>
      </c>
      <c r="C317" s="618"/>
      <c r="D317" s="618"/>
      <c r="E317" s="1266">
        <v>238</v>
      </c>
      <c r="F317" s="948"/>
    </row>
    <row r="318" spans="1:6" ht="13.8" thickBot="1" x14ac:dyDescent="0.3">
      <c r="A318" s="952"/>
      <c r="B318" s="358" t="s">
        <v>18</v>
      </c>
      <c r="C318" s="630">
        <f>SUM(C313:C317)</f>
        <v>185484</v>
      </c>
      <c r="D318" s="630">
        <f>SUM(D313:D317)</f>
        <v>185484</v>
      </c>
      <c r="E318" s="1280">
        <f>SUM(E313:E317)</f>
        <v>189322</v>
      </c>
      <c r="F318" s="350">
        <f>E318/D318</f>
        <v>1.0206918116926527</v>
      </c>
    </row>
    <row r="319" spans="1:6" x14ac:dyDescent="0.25">
      <c r="A319" s="952"/>
      <c r="B319" s="355" t="s">
        <v>339</v>
      </c>
      <c r="C319" s="618">
        <v>2896</v>
      </c>
      <c r="D319" s="618">
        <v>2896</v>
      </c>
      <c r="E319" s="1266">
        <f>2896+330-330</f>
        <v>2896</v>
      </c>
      <c r="F319" s="367">
        <f>E319/D319</f>
        <v>1</v>
      </c>
    </row>
    <row r="320" spans="1:6" x14ac:dyDescent="0.25">
      <c r="A320" s="952"/>
      <c r="B320" s="355" t="s">
        <v>303</v>
      </c>
      <c r="C320" s="618"/>
      <c r="D320" s="618"/>
      <c r="E320" s="1266"/>
      <c r="F320" s="944"/>
    </row>
    <row r="321" spans="1:6" ht="13.8" thickBot="1" x14ac:dyDescent="0.3">
      <c r="A321" s="952"/>
      <c r="B321" s="357" t="s">
        <v>302</v>
      </c>
      <c r="C321" s="618"/>
      <c r="D321" s="618"/>
      <c r="E321" s="1266"/>
      <c r="F321" s="948"/>
    </row>
    <row r="322" spans="1:6" ht="13.8" thickBot="1" x14ac:dyDescent="0.3">
      <c r="A322" s="952"/>
      <c r="B322" s="359" t="s">
        <v>19</v>
      </c>
      <c r="C322" s="630">
        <f>SUM(C319:C321)</f>
        <v>2896</v>
      </c>
      <c r="D322" s="630">
        <f>SUM(D319:D321)</f>
        <v>2896</v>
      </c>
      <c r="E322" s="1280">
        <f>SUM(E319:E321)</f>
        <v>2896</v>
      </c>
      <c r="F322" s="350">
        <f>E322/D322</f>
        <v>1</v>
      </c>
    </row>
    <row r="323" spans="1:6" ht="14.4" thickBot="1" x14ac:dyDescent="0.3">
      <c r="A323" s="953"/>
      <c r="B323" s="360" t="s">
        <v>42</v>
      </c>
      <c r="C323" s="624">
        <f>SUM(C318+C322)</f>
        <v>188380</v>
      </c>
      <c r="D323" s="624">
        <f>SUM(D318+D322)</f>
        <v>188380</v>
      </c>
      <c r="E323" s="1273">
        <f>SUM(E318+E322)</f>
        <v>192218</v>
      </c>
      <c r="F323" s="350">
        <f>E323/D323</f>
        <v>1.0203737127083554</v>
      </c>
    </row>
    <row r="324" spans="1:6" ht="13.8" x14ac:dyDescent="0.25">
      <c r="A324" s="957">
        <v>2499</v>
      </c>
      <c r="B324" s="362" t="s">
        <v>361</v>
      </c>
      <c r="C324" s="618"/>
      <c r="D324" s="618"/>
      <c r="E324" s="1266"/>
      <c r="F324" s="954"/>
    </row>
    <row r="325" spans="1:6" ht="12.75" customHeight="1" x14ac:dyDescent="0.25">
      <c r="A325" s="957"/>
      <c r="B325" s="231" t="s">
        <v>337</v>
      </c>
      <c r="C325" s="985">
        <f>SUM(C290+C255+C220+C185+C150+C115+C80+C45+C10)</f>
        <v>0</v>
      </c>
      <c r="D325" s="985">
        <f>SUM(D290+D255+D220+D185+D150+D115+D80+D45+D10)</f>
        <v>0</v>
      </c>
      <c r="E325" s="1281">
        <f>SUM(E290+E255+E220+E185+E150+E115+E80+E45+E10)</f>
        <v>0</v>
      </c>
      <c r="F325" s="944"/>
    </row>
    <row r="326" spans="1:6" ht="12.75" customHeight="1" thickBot="1" x14ac:dyDescent="0.3">
      <c r="A326" s="957"/>
      <c r="B326" s="343" t="s">
        <v>336</v>
      </c>
      <c r="C326" s="620">
        <f t="shared" ref="C326:D326" si="0">SUM(C291+C256+C221+C186+C151+C116+C81+C46+C11)</f>
        <v>0</v>
      </c>
      <c r="D326" s="620">
        <f t="shared" si="0"/>
        <v>0</v>
      </c>
      <c r="E326" s="1269">
        <f t="shared" ref="E326" si="1">SUM(E291+E256+E221+E186+E151+E116+E81+E46+E11)</f>
        <v>0</v>
      </c>
      <c r="F326" s="948"/>
    </row>
    <row r="327" spans="1:6" ht="12.75" customHeight="1" thickBot="1" x14ac:dyDescent="0.3">
      <c r="A327" s="957"/>
      <c r="B327" s="344" t="s">
        <v>335</v>
      </c>
      <c r="C327" s="625">
        <f>SUM(C325:C326)</f>
        <v>0</v>
      </c>
      <c r="D327" s="625">
        <f>SUM(D325:D326)</f>
        <v>0</v>
      </c>
      <c r="E327" s="1274">
        <f>SUM(E325:E326)</f>
        <v>0</v>
      </c>
      <c r="F327" s="948"/>
    </row>
    <row r="328" spans="1:6" ht="12.75" customHeight="1" x14ac:dyDescent="0.25">
      <c r="A328" s="957"/>
      <c r="B328" s="231" t="s">
        <v>332</v>
      </c>
      <c r="C328" s="618">
        <f>SUM(C329:C330)</f>
        <v>0</v>
      </c>
      <c r="D328" s="618">
        <f>SUM(D329:D330)</f>
        <v>0</v>
      </c>
      <c r="E328" s="1266">
        <f>SUM(E329:E330)</f>
        <v>0</v>
      </c>
      <c r="F328" s="954"/>
    </row>
    <row r="329" spans="1:6" ht="12.75" customHeight="1" x14ac:dyDescent="0.25">
      <c r="A329" s="957"/>
      <c r="B329" s="345" t="s">
        <v>331</v>
      </c>
      <c r="C329" s="608">
        <f t="shared" ref="C329:D329" si="2">SUM(C294+C259+C224+C189+C154+C119+C84+C49+C14)</f>
        <v>0</v>
      </c>
      <c r="D329" s="608">
        <f t="shared" si="2"/>
        <v>0</v>
      </c>
      <c r="E329" s="1275">
        <f t="shared" ref="E329" si="3">SUM(E294+E259+E224+E189+E154+E119+E84+E49+E14)</f>
        <v>0</v>
      </c>
      <c r="F329" s="944"/>
    </row>
    <row r="330" spans="1:6" ht="12.75" customHeight="1" x14ac:dyDescent="0.25">
      <c r="A330" s="957"/>
      <c r="B330" s="345" t="s">
        <v>330</v>
      </c>
      <c r="C330" s="608">
        <f t="shared" ref="C330:D330" si="4">SUM(C295+C260+C225+C190+C155+C120+C85+C50+C15)</f>
        <v>0</v>
      </c>
      <c r="D330" s="608">
        <f t="shared" si="4"/>
        <v>0</v>
      </c>
      <c r="E330" s="1275">
        <f t="shared" ref="E330" si="5">SUM(E295+E260+E225+E190+E155+E120+E85+E50+E15)</f>
        <v>0</v>
      </c>
      <c r="F330" s="944"/>
    </row>
    <row r="331" spans="1:6" ht="12.75" customHeight="1" x14ac:dyDescent="0.25">
      <c r="A331" s="957"/>
      <c r="B331" s="346" t="s">
        <v>329</v>
      </c>
      <c r="C331" s="618">
        <f t="shared" ref="C331:D331" si="6">SUM(C296+C261+C226+C191+C156+C121+C86+C51+C16)</f>
        <v>0</v>
      </c>
      <c r="D331" s="618">
        <f t="shared" si="6"/>
        <v>0</v>
      </c>
      <c r="E331" s="1266">
        <f t="shared" ref="E331" si="7">SUM(E296+E261+E226+E191+E156+E121+E86+E51+E16)</f>
        <v>0</v>
      </c>
      <c r="F331" s="944"/>
    </row>
    <row r="332" spans="1:6" ht="12.75" customHeight="1" x14ac:dyDescent="0.25">
      <c r="A332" s="957"/>
      <c r="B332" s="346" t="s">
        <v>328</v>
      </c>
      <c r="C332" s="618">
        <f t="shared" ref="C332:D332" si="8">SUM(C297+C262+C227+C192+C157+C122+C87+C52+C17)</f>
        <v>0</v>
      </c>
      <c r="D332" s="618">
        <f t="shared" si="8"/>
        <v>0</v>
      </c>
      <c r="E332" s="1266">
        <f t="shared" ref="E332" si="9">SUM(E297+E262+E227+E192+E157+E122+E87+E52+E17)</f>
        <v>0</v>
      </c>
      <c r="F332" s="944"/>
    </row>
    <row r="333" spans="1:6" ht="13.5" customHeight="1" x14ac:dyDescent="0.25">
      <c r="A333" s="957"/>
      <c r="B333" s="346" t="s">
        <v>327</v>
      </c>
      <c r="C333" s="618">
        <f t="shared" ref="C333:D333" si="10">SUM(C298+C263+C228+C193+C158+C123+C88+C53+C18)</f>
        <v>0</v>
      </c>
      <c r="D333" s="618">
        <f t="shared" si="10"/>
        <v>0</v>
      </c>
      <c r="E333" s="1266">
        <f t="shared" ref="E333" si="11">SUM(E298+E263+E228+E193+E158+E123+E88+E53+E18)</f>
        <v>0</v>
      </c>
      <c r="F333" s="944"/>
    </row>
    <row r="334" spans="1:6" ht="12.75" customHeight="1" x14ac:dyDescent="0.25">
      <c r="A334" s="957"/>
      <c r="B334" s="346" t="s">
        <v>326</v>
      </c>
      <c r="C334" s="618">
        <f t="shared" ref="C334:D334" si="12">SUM(C299+C264+C229+C194+C159+C124+C89+C54+C19)</f>
        <v>0</v>
      </c>
      <c r="D334" s="618">
        <f t="shared" si="12"/>
        <v>0</v>
      </c>
      <c r="E334" s="1266">
        <f t="shared" ref="E334" si="13">SUM(E299+E264+E229+E194+E159+E124+E89+E54+E19)</f>
        <v>0</v>
      </c>
      <c r="F334" s="944"/>
    </row>
    <row r="335" spans="1:6" ht="12.75" customHeight="1" x14ac:dyDescent="0.25">
      <c r="A335" s="957"/>
      <c r="B335" s="347" t="s">
        <v>325</v>
      </c>
      <c r="C335" s="618">
        <f t="shared" ref="C335:D335" si="14">SUM(C300+C265+C230+C195+C160+C125+C90+C55+C20)</f>
        <v>0</v>
      </c>
      <c r="D335" s="618">
        <f t="shared" si="14"/>
        <v>0</v>
      </c>
      <c r="E335" s="1266">
        <f t="shared" ref="E335" si="15">SUM(E300+E265+E230+E195+E160+E125+E90+E55+E20)</f>
        <v>0</v>
      </c>
      <c r="F335" s="944"/>
    </row>
    <row r="336" spans="1:6" ht="12.75" customHeight="1" thickBot="1" x14ac:dyDescent="0.3">
      <c r="A336" s="957"/>
      <c r="B336" s="348" t="s">
        <v>323</v>
      </c>
      <c r="C336" s="626">
        <f t="shared" ref="C336:D336" si="16">SUM(C301+C266+C231+C196+C161+C126+C91+C56+C21)</f>
        <v>0</v>
      </c>
      <c r="D336" s="626">
        <f t="shared" si="16"/>
        <v>0</v>
      </c>
      <c r="E336" s="1276">
        <f t="shared" ref="E336" si="17">SUM(E301+E266+E231+E196+E161+E126+E91+E56+E21)</f>
        <v>0</v>
      </c>
      <c r="F336" s="948"/>
    </row>
    <row r="337" spans="1:6" ht="12.75" customHeight="1" thickBot="1" x14ac:dyDescent="0.3">
      <c r="A337" s="957"/>
      <c r="B337" s="349" t="s">
        <v>322</v>
      </c>
      <c r="C337" s="624">
        <f>SUM(C331:C336,C328)</f>
        <v>0</v>
      </c>
      <c r="D337" s="624">
        <f>SUM(D331:D336,D328)</f>
        <v>0</v>
      </c>
      <c r="E337" s="1273">
        <f>SUM(E331:E336,E328)</f>
        <v>0</v>
      </c>
      <c r="F337" s="948"/>
    </row>
    <row r="338" spans="1:6" ht="12.75" customHeight="1" thickBot="1" x14ac:dyDescent="0.3">
      <c r="A338" s="957"/>
      <c r="B338" s="351" t="s">
        <v>321</v>
      </c>
      <c r="C338" s="624">
        <f t="shared" ref="C338:D338" si="18">SUM(C303+C268+C233+C198+C163+C128+C93+C58+C23)</f>
        <v>0</v>
      </c>
      <c r="D338" s="624">
        <f t="shared" si="18"/>
        <v>0</v>
      </c>
      <c r="E338" s="1273">
        <f t="shared" ref="E338" si="19">SUM(E303+E268+E233+E198+E163+E128+E93+E58+E23)</f>
        <v>0</v>
      </c>
      <c r="F338" s="948"/>
    </row>
    <row r="339" spans="1:6" ht="12.75" customHeight="1" thickBot="1" x14ac:dyDescent="0.3">
      <c r="A339" s="957"/>
      <c r="B339" s="232" t="s">
        <v>320</v>
      </c>
      <c r="C339" s="616">
        <f>SUM(C338,C337,C327)</f>
        <v>0</v>
      </c>
      <c r="D339" s="616">
        <f>SUM(D338,D337,D327)</f>
        <v>0</v>
      </c>
      <c r="E339" s="1264">
        <f>SUM(E338,E337,E327)</f>
        <v>0</v>
      </c>
      <c r="F339" s="948"/>
    </row>
    <row r="340" spans="1:6" ht="12.75" customHeight="1" thickBot="1" x14ac:dyDescent="0.3">
      <c r="A340" s="957"/>
      <c r="B340" s="236" t="s">
        <v>319</v>
      </c>
      <c r="C340" s="626">
        <f t="shared" ref="C340:D340" si="20">SUM(C305+C270+C235+C200+C165+C130+C95+C60+C25)</f>
        <v>0</v>
      </c>
      <c r="D340" s="626">
        <f t="shared" si="20"/>
        <v>0</v>
      </c>
      <c r="E340" s="1276">
        <f t="shared" ref="E340" si="21">SUM(E305+E270+E235+E200+E165+E130+E95+E60+E25)</f>
        <v>0</v>
      </c>
      <c r="F340" s="948"/>
    </row>
    <row r="341" spans="1:6" ht="12.75" customHeight="1" thickBot="1" x14ac:dyDescent="0.3">
      <c r="A341" s="957"/>
      <c r="B341" s="235" t="s">
        <v>316</v>
      </c>
      <c r="C341" s="624">
        <f>SUM(C340)</f>
        <v>0</v>
      </c>
      <c r="D341" s="624">
        <f>SUM(D340)</f>
        <v>0</v>
      </c>
      <c r="E341" s="1273">
        <f>SUM(E340)</f>
        <v>0</v>
      </c>
      <c r="F341" s="948"/>
    </row>
    <row r="342" spans="1:6" ht="12.75" customHeight="1" x14ac:dyDescent="0.25">
      <c r="A342" s="957"/>
      <c r="B342" s="352" t="s">
        <v>311</v>
      </c>
      <c r="C342" s="617">
        <f t="shared" ref="C342:D342" si="22">SUM(C307+C272+C237+C202+C167+C132+C97+C62+C27)</f>
        <v>0</v>
      </c>
      <c r="D342" s="617">
        <f t="shared" si="22"/>
        <v>0</v>
      </c>
      <c r="E342" s="1265">
        <f t="shared" ref="E342" si="23">SUM(E307+E272+E237+E202+E167+E132+E97+E62+E27)</f>
        <v>25998</v>
      </c>
      <c r="F342" s="950"/>
    </row>
    <row r="343" spans="1:6" ht="12.75" customHeight="1" thickBot="1" x14ac:dyDescent="0.3">
      <c r="A343" s="957"/>
      <c r="B343" s="353" t="s">
        <v>314</v>
      </c>
      <c r="C343" s="623">
        <f t="shared" ref="C343:D343" si="24">SUM(C308+C273+C238+C203+C168+C133+C98+C63+C28)</f>
        <v>2722206</v>
      </c>
      <c r="D343" s="623">
        <f t="shared" si="24"/>
        <v>2722206</v>
      </c>
      <c r="E343" s="1272">
        <f t="shared" ref="E343" si="25">SUM(E308+E273+E238+E203+E168+E133+E98+E63+E28)</f>
        <v>2785224</v>
      </c>
      <c r="F343" s="367">
        <f>E343/D343</f>
        <v>1.0231496073405173</v>
      </c>
    </row>
    <row r="344" spans="1:6" ht="12.75" customHeight="1" thickBot="1" x14ac:dyDescent="0.3">
      <c r="A344" s="957"/>
      <c r="B344" s="229" t="s">
        <v>312</v>
      </c>
      <c r="C344" s="624">
        <f>SUM(C342:C343)</f>
        <v>2722206</v>
      </c>
      <c r="D344" s="624">
        <f>SUM(D342:D343)</f>
        <v>2722206</v>
      </c>
      <c r="E344" s="1273">
        <f>SUM(E342:E343)</f>
        <v>2811222</v>
      </c>
      <c r="F344" s="350">
        <f>E344/D344</f>
        <v>1.0326999499670488</v>
      </c>
    </row>
    <row r="345" spans="1:6" ht="12.75" customHeight="1" thickBot="1" x14ac:dyDescent="0.3">
      <c r="A345" s="957"/>
      <c r="B345" s="354" t="s">
        <v>311</v>
      </c>
      <c r="C345" s="626">
        <f t="shared" ref="C345:D345" si="26">SUM(C310+C275+C240+C205+C170+C135+C100+C65+C30)</f>
        <v>0</v>
      </c>
      <c r="D345" s="626">
        <f t="shared" si="26"/>
        <v>0</v>
      </c>
      <c r="E345" s="1276">
        <f t="shared" ref="E345" si="27">SUM(E310+E275+E240+E205+E170+E135+E100+E65+E30)</f>
        <v>938</v>
      </c>
      <c r="F345" s="945"/>
    </row>
    <row r="346" spans="1:6" ht="12.75" customHeight="1" thickBot="1" x14ac:dyDescent="0.3">
      <c r="A346" s="957"/>
      <c r="B346" s="229" t="s">
        <v>310</v>
      </c>
      <c r="C346" s="624">
        <f>SUM(C345)</f>
        <v>0</v>
      </c>
      <c r="D346" s="624">
        <f>SUM(D345)</f>
        <v>0</v>
      </c>
      <c r="E346" s="1273">
        <f>SUM(E345)</f>
        <v>938</v>
      </c>
      <c r="F346" s="945"/>
    </row>
    <row r="347" spans="1:6" ht="12.75" customHeight="1" thickBot="1" x14ac:dyDescent="0.3">
      <c r="A347" s="957"/>
      <c r="B347" s="234" t="s">
        <v>309</v>
      </c>
      <c r="C347" s="624">
        <f>SUM(C346,C344,C341,C339)</f>
        <v>2722206</v>
      </c>
      <c r="D347" s="624">
        <f>SUM(D346,D344,D341,D339)</f>
        <v>2722206</v>
      </c>
      <c r="E347" s="1273">
        <f>SUM(E346,E344,E341,E339)</f>
        <v>2812160</v>
      </c>
      <c r="F347" s="350">
        <f>E347/D347</f>
        <v>1.0330445234489969</v>
      </c>
    </row>
    <row r="348" spans="1:6" ht="13.8" x14ac:dyDescent="0.25">
      <c r="A348" s="957"/>
      <c r="B348" s="355" t="s">
        <v>308</v>
      </c>
      <c r="C348" s="618">
        <f t="shared" ref="C348:D348" si="28">SUM(C313+C278+C243+C208+C173+C138+C103+C68+C33)</f>
        <v>2283281</v>
      </c>
      <c r="D348" s="618">
        <f t="shared" si="28"/>
        <v>2283281</v>
      </c>
      <c r="E348" s="1266">
        <f t="shared" ref="E348" si="29">SUM(E313+E278+E243+E208+E173+E138+E103+E68+E33)</f>
        <v>2329513</v>
      </c>
      <c r="F348" s="367">
        <f>E348/D348</f>
        <v>1.0202480553203921</v>
      </c>
    </row>
    <row r="349" spans="1:6" x14ac:dyDescent="0.25">
      <c r="A349" s="952"/>
      <c r="B349" s="355" t="s">
        <v>307</v>
      </c>
      <c r="C349" s="618">
        <f>SUM(C314+C279+C244+C209+C174+C139+C104+C69+C34)</f>
        <v>328629</v>
      </c>
      <c r="D349" s="618">
        <f>SUM(D314+D279+D244+D209+D174+D139+D104+D69+D34)</f>
        <v>328629</v>
      </c>
      <c r="E349" s="1266">
        <f>SUM(E314+E279+E244+E209+E174+E139+E104+E69+E34)</f>
        <v>347022</v>
      </c>
      <c r="F349" s="367">
        <f>E349/D349</f>
        <v>1.0559688889294614</v>
      </c>
    </row>
    <row r="350" spans="1:6" x14ac:dyDescent="0.25">
      <c r="A350" s="952"/>
      <c r="B350" s="355" t="s">
        <v>306</v>
      </c>
      <c r="C350" s="618">
        <f t="shared" ref="C350:D350" si="30">SUM(C315+C280+C245+C210+C175+C140+C105+C70+C35)</f>
        <v>63866</v>
      </c>
      <c r="D350" s="618">
        <f t="shared" si="30"/>
        <v>63866</v>
      </c>
      <c r="E350" s="1266">
        <f t="shared" ref="E350" si="31">SUM(E315+E280+E245+E210+E175+E140+E105+E70+E35)</f>
        <v>81824</v>
      </c>
      <c r="F350" s="367">
        <f>E350/D350</f>
        <v>1.2811824758087245</v>
      </c>
    </row>
    <row r="351" spans="1:6" x14ac:dyDescent="0.25">
      <c r="A351" s="952"/>
      <c r="B351" s="356" t="s">
        <v>305</v>
      </c>
      <c r="C351" s="618">
        <f t="shared" ref="C351:D351" si="32">SUM(C316+C281+C246+C211+C176+C141+C106+C71+C36)</f>
        <v>0</v>
      </c>
      <c r="D351" s="618">
        <f t="shared" si="32"/>
        <v>0</v>
      </c>
      <c r="E351" s="1266">
        <f t="shared" ref="E351" si="33">SUM(E316+E281+E246+E211+E176+E141+E106+E71+E36)</f>
        <v>0</v>
      </c>
      <c r="F351" s="944"/>
    </row>
    <row r="352" spans="1:6" ht="13.8" thickBot="1" x14ac:dyDescent="0.3">
      <c r="A352" s="952"/>
      <c r="B352" s="357" t="s">
        <v>304</v>
      </c>
      <c r="C352" s="618">
        <f t="shared" ref="C352:D352" si="34">SUM(C317+C282+C247+C212+C177+C142+C107+C72+C37)</f>
        <v>0</v>
      </c>
      <c r="D352" s="618">
        <f t="shared" si="34"/>
        <v>0</v>
      </c>
      <c r="E352" s="1266">
        <f t="shared" ref="E352" si="35">SUM(E317+E282+E247+E212+E177+E142+E107+E72+E37)</f>
        <v>3113</v>
      </c>
      <c r="F352" s="948"/>
    </row>
    <row r="353" spans="1:6" ht="13.8" thickBot="1" x14ac:dyDescent="0.3">
      <c r="A353" s="952"/>
      <c r="B353" s="358" t="s">
        <v>18</v>
      </c>
      <c r="C353" s="630">
        <f>SUM(C348:C352)</f>
        <v>2675776</v>
      </c>
      <c r="D353" s="630">
        <f>SUM(D348:D352)</f>
        <v>2675776</v>
      </c>
      <c r="E353" s="1280">
        <f>SUM(E348:E352)</f>
        <v>2761472</v>
      </c>
      <c r="F353" s="350">
        <f>E353/D353</f>
        <v>1.0320265971441556</v>
      </c>
    </row>
    <row r="354" spans="1:6" x14ac:dyDescent="0.25">
      <c r="A354" s="952"/>
      <c r="B354" s="355" t="s">
        <v>96</v>
      </c>
      <c r="C354" s="618">
        <f>SUM(C319+C284+C249+C214+C179+C144+C109+C74+C39)</f>
        <v>46430</v>
      </c>
      <c r="D354" s="618">
        <f>SUM(D319+D284+D249+D214+D179+D144+D109+D74+D39)</f>
        <v>46430</v>
      </c>
      <c r="E354" s="1266">
        <f>SUM(E319+E284+E249+E214+E179+E144+E109+E74+E39)</f>
        <v>50688</v>
      </c>
      <c r="F354" s="367">
        <f>E354/D354</f>
        <v>1.0917079474477709</v>
      </c>
    </row>
    <row r="355" spans="1:6" x14ac:dyDescent="0.25">
      <c r="A355" s="952"/>
      <c r="B355" s="355" t="s">
        <v>303</v>
      </c>
      <c r="C355" s="618">
        <f t="shared" ref="C355:D355" si="36">SUM(C320+C285+C250+C215+C180+C145+C110+C75+C40)</f>
        <v>0</v>
      </c>
      <c r="D355" s="618">
        <f t="shared" si="36"/>
        <v>0</v>
      </c>
      <c r="E355" s="1266">
        <f t="shared" ref="E355" si="37">SUM(E320+E285+E250+E215+E180+E145+E110+E75+E40)</f>
        <v>0</v>
      </c>
      <c r="F355" s="944"/>
    </row>
    <row r="356" spans="1:6" ht="13.8" thickBot="1" x14ac:dyDescent="0.3">
      <c r="A356" s="952"/>
      <c r="B356" s="357" t="s">
        <v>302</v>
      </c>
      <c r="C356" s="618">
        <f t="shared" ref="C356:D356" si="38">SUM(C321+C286+C251+C216+C181+C146+C111+C76+C41)</f>
        <v>0</v>
      </c>
      <c r="D356" s="618">
        <f t="shared" si="38"/>
        <v>0</v>
      </c>
      <c r="E356" s="1266">
        <f t="shared" ref="E356" si="39">SUM(E321+E286+E251+E216+E181+E146+E111+E76+E41)</f>
        <v>0</v>
      </c>
      <c r="F356" s="948"/>
    </row>
    <row r="357" spans="1:6" ht="13.8" thickBot="1" x14ac:dyDescent="0.3">
      <c r="A357" s="952"/>
      <c r="B357" s="359" t="s">
        <v>19</v>
      </c>
      <c r="C357" s="630">
        <f>SUM(C354:C356)</f>
        <v>46430</v>
      </c>
      <c r="D357" s="630">
        <f>SUM(D354:D356)</f>
        <v>46430</v>
      </c>
      <c r="E357" s="1280">
        <f>SUM(E354:E356)</f>
        <v>50688</v>
      </c>
      <c r="F357" s="350">
        <f>E357/D357</f>
        <v>1.0917079474477709</v>
      </c>
    </row>
    <row r="358" spans="1:6" ht="14.4" thickBot="1" x14ac:dyDescent="0.3">
      <c r="A358" s="953"/>
      <c r="B358" s="360" t="s">
        <v>42</v>
      </c>
      <c r="C358" s="624">
        <f>SUM(C357,C353)</f>
        <v>2722206</v>
      </c>
      <c r="D358" s="624">
        <f>SUM(D357,D353)</f>
        <v>2722206</v>
      </c>
      <c r="E358" s="1273">
        <f>SUM(E357,E353)</f>
        <v>2812160</v>
      </c>
      <c r="F358" s="350">
        <f>E358/D358</f>
        <v>1.0330445234489969</v>
      </c>
    </row>
    <row r="359" spans="1:6" ht="13.8" x14ac:dyDescent="0.25">
      <c r="A359" s="958">
        <v>2795</v>
      </c>
      <c r="B359" s="365" t="s">
        <v>360</v>
      </c>
      <c r="C359" s="633"/>
      <c r="D359" s="633"/>
      <c r="E359" s="1282"/>
      <c r="F359" s="954"/>
    </row>
    <row r="360" spans="1:6" ht="12.6" customHeight="1" x14ac:dyDescent="0.25">
      <c r="A360" s="952"/>
      <c r="B360" s="231" t="s">
        <v>337</v>
      </c>
      <c r="C360" s="366"/>
      <c r="D360" s="366"/>
      <c r="E360" s="1268"/>
      <c r="F360" s="944"/>
    </row>
    <row r="361" spans="1:6" ht="13.8" thickBot="1" x14ac:dyDescent="0.3">
      <c r="A361" s="952"/>
      <c r="B361" s="343" t="s">
        <v>336</v>
      </c>
      <c r="C361" s="626"/>
      <c r="D361" s="626"/>
      <c r="E361" s="1276"/>
      <c r="F361" s="948"/>
    </row>
    <row r="362" spans="1:6" ht="13.8" thickBot="1" x14ac:dyDescent="0.3">
      <c r="A362" s="952"/>
      <c r="B362" s="344" t="s">
        <v>335</v>
      </c>
      <c r="C362" s="616"/>
      <c r="D362" s="616"/>
      <c r="E362" s="1264"/>
      <c r="F362" s="948"/>
    </row>
    <row r="363" spans="1:6" x14ac:dyDescent="0.25">
      <c r="A363" s="952"/>
      <c r="B363" s="989" t="s">
        <v>332</v>
      </c>
      <c r="C363" s="618">
        <f>SUM(C364:C365)</f>
        <v>108005</v>
      </c>
      <c r="D363" s="618">
        <f>SUM(D364:D365)</f>
        <v>108005</v>
      </c>
      <c r="E363" s="1266">
        <f>SUM(E364:E365)</f>
        <v>108005</v>
      </c>
      <c r="F363" s="990">
        <f t="shared" ref="F363:F368" si="40">E363/D363</f>
        <v>1</v>
      </c>
    </row>
    <row r="364" spans="1:6" x14ac:dyDescent="0.25">
      <c r="A364" s="952"/>
      <c r="B364" s="991" t="s">
        <v>331</v>
      </c>
      <c r="C364" s="608">
        <v>33000</v>
      </c>
      <c r="D364" s="608">
        <v>33000</v>
      </c>
      <c r="E364" s="1275">
        <v>33000</v>
      </c>
      <c r="F364" s="992">
        <f t="shared" si="40"/>
        <v>1</v>
      </c>
    </row>
    <row r="365" spans="1:6" x14ac:dyDescent="0.25">
      <c r="A365" s="952"/>
      <c r="B365" s="991" t="s">
        <v>330</v>
      </c>
      <c r="C365" s="608">
        <v>75005</v>
      </c>
      <c r="D365" s="608">
        <v>75005</v>
      </c>
      <c r="E365" s="1275">
        <v>75005</v>
      </c>
      <c r="F365" s="992">
        <f t="shared" si="40"/>
        <v>1</v>
      </c>
    </row>
    <row r="366" spans="1:6" x14ac:dyDescent="0.25">
      <c r="A366" s="952"/>
      <c r="B366" s="989" t="s">
        <v>329</v>
      </c>
      <c r="C366" s="618">
        <v>6500</v>
      </c>
      <c r="D366" s="618">
        <f>6500-1472</f>
        <v>5028</v>
      </c>
      <c r="E366" s="1266">
        <f>6500-1472</f>
        <v>5028</v>
      </c>
      <c r="F366" s="992">
        <f t="shared" si="40"/>
        <v>1</v>
      </c>
    </row>
    <row r="367" spans="1:6" x14ac:dyDescent="0.25">
      <c r="A367" s="952"/>
      <c r="B367" s="989" t="s">
        <v>328</v>
      </c>
      <c r="C367" s="618">
        <v>211725</v>
      </c>
      <c r="D367" s="618">
        <v>211725</v>
      </c>
      <c r="E367" s="1266">
        <v>211725</v>
      </c>
      <c r="F367" s="992">
        <f t="shared" si="40"/>
        <v>1</v>
      </c>
    </row>
    <row r="368" spans="1:6" x14ac:dyDescent="0.25">
      <c r="A368" s="952"/>
      <c r="B368" s="989" t="s">
        <v>327</v>
      </c>
      <c r="C368" s="618">
        <v>88082</v>
      </c>
      <c r="D368" s="618">
        <f>88082-397</f>
        <v>87685</v>
      </c>
      <c r="E368" s="1266">
        <f>88082-397</f>
        <v>87685</v>
      </c>
      <c r="F368" s="992">
        <f t="shared" si="40"/>
        <v>1</v>
      </c>
    </row>
    <row r="369" spans="1:6" x14ac:dyDescent="0.25">
      <c r="A369" s="952"/>
      <c r="B369" s="989" t="s">
        <v>326</v>
      </c>
      <c r="C369" s="618">
        <v>50000</v>
      </c>
      <c r="D369" s="618">
        <v>50000</v>
      </c>
      <c r="E369" s="1266">
        <v>50000</v>
      </c>
      <c r="F369" s="992"/>
    </row>
    <row r="370" spans="1:6" x14ac:dyDescent="0.25">
      <c r="A370" s="952"/>
      <c r="B370" s="993" t="s">
        <v>325</v>
      </c>
      <c r="C370" s="618"/>
      <c r="D370" s="618"/>
      <c r="E370" s="1266"/>
      <c r="F370" s="992"/>
    </row>
    <row r="371" spans="1:6" x14ac:dyDescent="0.25">
      <c r="A371" s="952"/>
      <c r="B371" s="993" t="s">
        <v>324</v>
      </c>
      <c r="C371" s="618"/>
      <c r="D371" s="618"/>
      <c r="E371" s="1266"/>
      <c r="F371" s="992"/>
    </row>
    <row r="372" spans="1:6" ht="13.8" thickBot="1" x14ac:dyDescent="0.3">
      <c r="A372" s="952"/>
      <c r="B372" s="994" t="s">
        <v>323</v>
      </c>
      <c r="C372" s="618"/>
      <c r="D372" s="618"/>
      <c r="E372" s="1266"/>
      <c r="F372" s="992"/>
    </row>
    <row r="373" spans="1:6" ht="13.8" thickBot="1" x14ac:dyDescent="0.3">
      <c r="A373" s="952"/>
      <c r="B373" s="995" t="s">
        <v>322</v>
      </c>
      <c r="C373" s="630">
        <f>SUM(C363+C366+C367+C368+C369+C372+C370+C371)</f>
        <v>464312</v>
      </c>
      <c r="D373" s="630">
        <f>SUM(D363+D366+D367+D368+D369+D372+D370+D371)</f>
        <v>462443</v>
      </c>
      <c r="E373" s="1280">
        <f>SUM(E363+E366+E367+E368+E369+E372+E370+E371)</f>
        <v>462443</v>
      </c>
      <c r="F373" s="996">
        <f>E373/D373</f>
        <v>1</v>
      </c>
    </row>
    <row r="374" spans="1:6" ht="13.8" thickBot="1" x14ac:dyDescent="0.3">
      <c r="A374" s="952"/>
      <c r="B374" s="627" t="s">
        <v>321</v>
      </c>
      <c r="C374" s="624"/>
      <c r="D374" s="624"/>
      <c r="E374" s="1273"/>
      <c r="F374" s="997"/>
    </row>
    <row r="375" spans="1:6" ht="13.8" thickBot="1" x14ac:dyDescent="0.3">
      <c r="A375" s="952"/>
      <c r="B375" s="998" t="s">
        <v>320</v>
      </c>
      <c r="C375" s="999">
        <f>SUM(C373+C362)</f>
        <v>464312</v>
      </c>
      <c r="D375" s="999">
        <f>SUM(D373+D362)</f>
        <v>462443</v>
      </c>
      <c r="E375" s="1283">
        <f>SUM(E373+E362)</f>
        <v>462443</v>
      </c>
      <c r="F375" s="996">
        <f>E375/D375</f>
        <v>1</v>
      </c>
    </row>
    <row r="376" spans="1:6" ht="13.8" thickBot="1" x14ac:dyDescent="0.3">
      <c r="A376" s="952"/>
      <c r="B376" s="620" t="s">
        <v>359</v>
      </c>
      <c r="C376" s="626"/>
      <c r="D376" s="626"/>
      <c r="E376" s="1276"/>
      <c r="F376" s="997"/>
    </row>
    <row r="377" spans="1:6" ht="13.8" thickBot="1" x14ac:dyDescent="0.3">
      <c r="A377" s="952"/>
      <c r="B377" s="1000" t="s">
        <v>316</v>
      </c>
      <c r="C377" s="624">
        <f>C376</f>
        <v>0</v>
      </c>
      <c r="D377" s="624">
        <f>D376</f>
        <v>0</v>
      </c>
      <c r="E377" s="1273">
        <f>E376</f>
        <v>0</v>
      </c>
      <c r="F377" s="997"/>
    </row>
    <row r="378" spans="1:6" x14ac:dyDescent="0.25">
      <c r="A378" s="952"/>
      <c r="B378" s="1001" t="s">
        <v>311</v>
      </c>
      <c r="C378" s="618"/>
      <c r="D378" s="618"/>
      <c r="E378" s="1266">
        <v>334038</v>
      </c>
      <c r="F378" s="992"/>
    </row>
    <row r="379" spans="1:6" x14ac:dyDescent="0.25">
      <c r="A379" s="952"/>
      <c r="B379" s="1002" t="s">
        <v>351</v>
      </c>
      <c r="C379" s="618"/>
      <c r="D379" s="618"/>
      <c r="E379" s="1266"/>
      <c r="F379" s="992"/>
    </row>
    <row r="380" spans="1:6" x14ac:dyDescent="0.25">
      <c r="A380" s="952"/>
      <c r="B380" s="1002" t="s">
        <v>314</v>
      </c>
      <c r="C380" s="618">
        <v>2798313</v>
      </c>
      <c r="D380" s="618">
        <f>2798313+1869</f>
        <v>2800182</v>
      </c>
      <c r="E380" s="1266">
        <f>2798313+1869+416887+123021</f>
        <v>3340090</v>
      </c>
      <c r="F380" s="992">
        <f>E380/D380</f>
        <v>1.1928117529503439</v>
      </c>
    </row>
    <row r="381" spans="1:6" ht="13.8" thickBot="1" x14ac:dyDescent="0.3">
      <c r="A381" s="952"/>
      <c r="B381" s="1003" t="s">
        <v>313</v>
      </c>
      <c r="C381" s="626">
        <v>768358</v>
      </c>
      <c r="D381" s="626">
        <v>768358</v>
      </c>
      <c r="E381" s="1276">
        <v>768358</v>
      </c>
      <c r="F381" s="1004">
        <f>E381/D381</f>
        <v>1</v>
      </c>
    </row>
    <row r="382" spans="1:6" ht="13.8" thickBot="1" x14ac:dyDescent="0.3">
      <c r="A382" s="952"/>
      <c r="B382" s="1005" t="s">
        <v>312</v>
      </c>
      <c r="C382" s="626">
        <f>SUM(C378:C381)</f>
        <v>3566671</v>
      </c>
      <c r="D382" s="626">
        <f>SUM(D378:D381)</f>
        <v>3568540</v>
      </c>
      <c r="E382" s="1276">
        <f>SUM(E378:E381)</f>
        <v>4442486</v>
      </c>
      <c r="F382" s="997">
        <f>E382/D382</f>
        <v>1.2449029575120358</v>
      </c>
    </row>
    <row r="383" spans="1:6" ht="13.8" thickBot="1" x14ac:dyDescent="0.3">
      <c r="A383" s="952"/>
      <c r="B383" s="1006" t="s">
        <v>311</v>
      </c>
      <c r="C383" s="626"/>
      <c r="D383" s="626"/>
      <c r="E383" s="1276"/>
      <c r="F383" s="997"/>
    </row>
    <row r="384" spans="1:6" ht="13.8" thickBot="1" x14ac:dyDescent="0.3">
      <c r="A384" s="952"/>
      <c r="B384" s="1007" t="s">
        <v>310</v>
      </c>
      <c r="C384" s="624"/>
      <c r="D384" s="624"/>
      <c r="E384" s="1273"/>
      <c r="F384" s="997"/>
    </row>
    <row r="385" spans="1:6" ht="14.4" thickBot="1" x14ac:dyDescent="0.3">
      <c r="A385" s="952"/>
      <c r="B385" s="1008" t="s">
        <v>309</v>
      </c>
      <c r="C385" s="624">
        <f>SUM(C375+C377+C382)+C384</f>
        <v>4030983</v>
      </c>
      <c r="D385" s="624">
        <f>SUM(D375+D377+D382)+D384</f>
        <v>4030983</v>
      </c>
      <c r="E385" s="1273">
        <f>SUM(E375+E377+E382)+E384</f>
        <v>4904929</v>
      </c>
      <c r="F385" s="996">
        <f>E385/D385</f>
        <v>1.2168071658947706</v>
      </c>
    </row>
    <row r="386" spans="1:6" x14ac:dyDescent="0.25">
      <c r="A386" s="952"/>
      <c r="B386" s="1009" t="s">
        <v>308</v>
      </c>
      <c r="C386" s="618">
        <v>1236716</v>
      </c>
      <c r="D386" s="618">
        <v>1236716</v>
      </c>
      <c r="E386" s="1266">
        <f>1236716+7694+21481</f>
        <v>1265891</v>
      </c>
      <c r="F386" s="990">
        <f>E386/D386</f>
        <v>1.023590703120199</v>
      </c>
    </row>
    <row r="387" spans="1:6" x14ac:dyDescent="0.25">
      <c r="A387" s="952"/>
      <c r="B387" s="1009" t="s">
        <v>307</v>
      </c>
      <c r="C387" s="618">
        <v>188955</v>
      </c>
      <c r="D387" s="618">
        <v>188955</v>
      </c>
      <c r="E387" s="1266">
        <f>188955+6529+5640</f>
        <v>201124</v>
      </c>
      <c r="F387" s="992">
        <f>E387/D387</f>
        <v>1.0644015770950757</v>
      </c>
    </row>
    <row r="388" spans="1:6" x14ac:dyDescent="0.25">
      <c r="A388" s="952"/>
      <c r="B388" s="1009" t="s">
        <v>306</v>
      </c>
      <c r="C388" s="618">
        <v>1988981</v>
      </c>
      <c r="D388" s="618">
        <v>1988981</v>
      </c>
      <c r="E388" s="1266">
        <f>1988981+36621+319815</f>
        <v>2345417</v>
      </c>
      <c r="F388" s="992">
        <f>E388/D388</f>
        <v>1.1792053317754168</v>
      </c>
    </row>
    <row r="389" spans="1:6" x14ac:dyDescent="0.25">
      <c r="A389" s="952"/>
      <c r="B389" s="1010" t="s">
        <v>305</v>
      </c>
      <c r="C389" s="618"/>
      <c r="D389" s="618"/>
      <c r="E389" s="1266"/>
      <c r="F389" s="992"/>
    </row>
    <row r="390" spans="1:6" ht="13.8" thickBot="1" x14ac:dyDescent="0.3">
      <c r="A390" s="952"/>
      <c r="B390" s="1011" t="s">
        <v>304</v>
      </c>
      <c r="C390" s="618"/>
      <c r="D390" s="618"/>
      <c r="E390" s="1266"/>
      <c r="F390" s="1004"/>
    </row>
    <row r="391" spans="1:6" ht="13.8" thickBot="1" x14ac:dyDescent="0.3">
      <c r="A391" s="952"/>
      <c r="B391" s="1012" t="s">
        <v>18</v>
      </c>
      <c r="C391" s="630">
        <f>SUM(C386:C390)</f>
        <v>3414652</v>
      </c>
      <c r="D391" s="630">
        <f>SUM(D386:D390)</f>
        <v>3414652</v>
      </c>
      <c r="E391" s="1280">
        <f>SUM(E386:E390)</f>
        <v>3812432</v>
      </c>
      <c r="F391" s="996">
        <f>E391/D391</f>
        <v>1.1164921051984213</v>
      </c>
    </row>
    <row r="392" spans="1:6" x14ac:dyDescent="0.25">
      <c r="A392" s="952"/>
      <c r="B392" s="1013" t="s">
        <v>96</v>
      </c>
      <c r="C392" s="634">
        <f>SUM(C393:C411)</f>
        <v>246380</v>
      </c>
      <c r="D392" s="634">
        <f>SUM(D393:D411)</f>
        <v>246380</v>
      </c>
      <c r="E392" s="1284">
        <f>SUM(E393:E411)</f>
        <v>471422.864</v>
      </c>
      <c r="F392" s="1014">
        <f>E392/D392</f>
        <v>1.9133974510918095</v>
      </c>
    </row>
    <row r="393" spans="1:6" x14ac:dyDescent="0.25">
      <c r="A393" s="952"/>
      <c r="B393" s="1015" t="s">
        <v>1454</v>
      </c>
      <c r="C393" s="635"/>
      <c r="D393" s="635"/>
      <c r="E393" s="1285">
        <v>30809</v>
      </c>
      <c r="F393" s="992"/>
    </row>
    <row r="394" spans="1:6" x14ac:dyDescent="0.25">
      <c r="A394" s="952"/>
      <c r="B394" s="1015" t="s">
        <v>1448</v>
      </c>
      <c r="C394" s="635"/>
      <c r="D394" s="635"/>
      <c r="E394" s="1285">
        <f>35571024/1000</f>
        <v>35571.023999999998</v>
      </c>
      <c r="F394" s="992"/>
    </row>
    <row r="395" spans="1:6" x14ac:dyDescent="0.25">
      <c r="A395" s="952"/>
      <c r="B395" s="1015" t="s">
        <v>1449</v>
      </c>
      <c r="C395" s="635"/>
      <c r="D395" s="635"/>
      <c r="E395" s="1285">
        <f>1272912/1000</f>
        <v>1272.912</v>
      </c>
      <c r="F395" s="992"/>
    </row>
    <row r="396" spans="1:6" x14ac:dyDescent="0.25">
      <c r="A396" s="952"/>
      <c r="B396" s="1015" t="s">
        <v>1450</v>
      </c>
      <c r="C396" s="635"/>
      <c r="D396" s="635"/>
      <c r="E396" s="1285">
        <f>57027928/1000</f>
        <v>57027.928</v>
      </c>
      <c r="F396" s="992"/>
    </row>
    <row r="397" spans="1:6" x14ac:dyDescent="0.25">
      <c r="A397" s="952"/>
      <c r="B397" s="1015" t="s">
        <v>1455</v>
      </c>
      <c r="C397" s="635"/>
      <c r="D397" s="635"/>
      <c r="E397" s="1285">
        <v>50800</v>
      </c>
      <c r="F397" s="992"/>
    </row>
    <row r="398" spans="1:6" x14ac:dyDescent="0.25">
      <c r="A398" s="952"/>
      <c r="B398" s="1015" t="s">
        <v>1456</v>
      </c>
      <c r="C398" s="635"/>
      <c r="D398" s="635"/>
      <c r="E398" s="1285">
        <v>7000</v>
      </c>
      <c r="F398" s="992"/>
    </row>
    <row r="399" spans="1:6" x14ac:dyDescent="0.25">
      <c r="A399" s="952"/>
      <c r="B399" s="1015" t="s">
        <v>358</v>
      </c>
      <c r="C399" s="635"/>
      <c r="D399" s="635"/>
      <c r="E399" s="1285">
        <f>4462+38100</f>
        <v>42562</v>
      </c>
      <c r="F399" s="992"/>
    </row>
    <row r="400" spans="1:6" ht="22.8" x14ac:dyDescent="0.25">
      <c r="A400" s="952"/>
      <c r="B400" s="1015" t="s">
        <v>639</v>
      </c>
      <c r="C400" s="608">
        <v>21590</v>
      </c>
      <c r="D400" s="608">
        <v>21590</v>
      </c>
      <c r="E400" s="1275">
        <v>21590</v>
      </c>
      <c r="F400" s="992"/>
    </row>
    <row r="401" spans="1:6" ht="34.200000000000003" x14ac:dyDescent="0.25">
      <c r="A401" s="952"/>
      <c r="B401" s="1015" t="s">
        <v>640</v>
      </c>
      <c r="C401" s="608">
        <v>21590</v>
      </c>
      <c r="D401" s="608">
        <v>21590</v>
      </c>
      <c r="E401" s="1275">
        <v>21590</v>
      </c>
      <c r="F401" s="992"/>
    </row>
    <row r="402" spans="1:6" ht="22.8" x14ac:dyDescent="0.25">
      <c r="A402" s="952"/>
      <c r="B402" s="1015" t="s">
        <v>641</v>
      </c>
      <c r="C402" s="608">
        <v>21590</v>
      </c>
      <c r="D402" s="608">
        <v>21590</v>
      </c>
      <c r="E402" s="1275">
        <v>21590</v>
      </c>
      <c r="F402" s="992"/>
    </row>
    <row r="403" spans="1:6" ht="22.8" x14ac:dyDescent="0.25">
      <c r="A403" s="952"/>
      <c r="B403" s="1015" t="s">
        <v>642</v>
      </c>
      <c r="C403" s="608">
        <v>21590</v>
      </c>
      <c r="D403" s="608">
        <v>21590</v>
      </c>
      <c r="E403" s="1275">
        <v>21590</v>
      </c>
      <c r="F403" s="992"/>
    </row>
    <row r="404" spans="1:6" ht="22.8" x14ac:dyDescent="0.25">
      <c r="A404" s="952"/>
      <c r="B404" s="1015" t="s">
        <v>643</v>
      </c>
      <c r="C404" s="608">
        <v>21590</v>
      </c>
      <c r="D404" s="608">
        <v>21590</v>
      </c>
      <c r="E404" s="1275">
        <v>21590</v>
      </c>
      <c r="F404" s="992"/>
    </row>
    <row r="405" spans="1:6" ht="34.200000000000003" x14ac:dyDescent="0.25">
      <c r="A405" s="952"/>
      <c r="B405" s="1015" t="s">
        <v>644</v>
      </c>
      <c r="C405" s="608">
        <v>21590</v>
      </c>
      <c r="D405" s="608">
        <v>21590</v>
      </c>
      <c r="E405" s="1275">
        <v>21590</v>
      </c>
      <c r="F405" s="992"/>
    </row>
    <row r="406" spans="1:6" ht="22.8" x14ac:dyDescent="0.25">
      <c r="A406" s="952"/>
      <c r="B406" s="1015" t="s">
        <v>645</v>
      </c>
      <c r="C406" s="608">
        <v>21590</v>
      </c>
      <c r="D406" s="608">
        <v>21590</v>
      </c>
      <c r="E406" s="1275">
        <v>21590</v>
      </c>
      <c r="F406" s="992"/>
    </row>
    <row r="407" spans="1:6" x14ac:dyDescent="0.25">
      <c r="A407" s="952"/>
      <c r="B407" s="1015" t="s">
        <v>647</v>
      </c>
      <c r="C407" s="608">
        <v>3810</v>
      </c>
      <c r="D407" s="608">
        <v>3810</v>
      </c>
      <c r="E407" s="1275">
        <v>3810</v>
      </c>
      <c r="F407" s="992"/>
    </row>
    <row r="408" spans="1:6" x14ac:dyDescent="0.25">
      <c r="A408" s="952"/>
      <c r="B408" s="1015" t="s">
        <v>650</v>
      </c>
      <c r="C408" s="608">
        <v>34290</v>
      </c>
      <c r="D408" s="608">
        <v>34290</v>
      </c>
      <c r="E408" s="1275">
        <v>34290</v>
      </c>
      <c r="F408" s="992"/>
    </row>
    <row r="409" spans="1:6" x14ac:dyDescent="0.25">
      <c r="A409" s="952"/>
      <c r="B409" s="1015" t="s">
        <v>651</v>
      </c>
      <c r="C409" s="608">
        <v>6985</v>
      </c>
      <c r="D409" s="608">
        <v>6985</v>
      </c>
      <c r="E409" s="1275">
        <v>6985</v>
      </c>
      <c r="F409" s="992"/>
    </row>
    <row r="410" spans="1:6" x14ac:dyDescent="0.25">
      <c r="A410" s="952"/>
      <c r="B410" s="1015" t="s">
        <v>652</v>
      </c>
      <c r="C410" s="608">
        <v>9525</v>
      </c>
      <c r="D410" s="608">
        <v>9525</v>
      </c>
      <c r="E410" s="1275">
        <v>9525</v>
      </c>
      <c r="F410" s="992"/>
    </row>
    <row r="411" spans="1:6" ht="22.8" x14ac:dyDescent="0.25">
      <c r="A411" s="952"/>
      <c r="B411" s="1015" t="s">
        <v>653</v>
      </c>
      <c r="C411" s="608">
        <v>40640</v>
      </c>
      <c r="D411" s="608">
        <v>40640</v>
      </c>
      <c r="E411" s="1275">
        <v>40640</v>
      </c>
      <c r="F411" s="992"/>
    </row>
    <row r="412" spans="1:6" x14ac:dyDescent="0.25">
      <c r="A412" s="952"/>
      <c r="B412" s="1016" t="s">
        <v>303</v>
      </c>
      <c r="C412" s="634">
        <f>SUM(C413:C428)</f>
        <v>369951</v>
      </c>
      <c r="D412" s="634">
        <f>SUM(D413:D428)</f>
        <v>369951</v>
      </c>
      <c r="E412" s="1284">
        <f>SUM(E413:E428)</f>
        <v>621074.05536999996</v>
      </c>
      <c r="F412" s="1014">
        <f>E412/D412</f>
        <v>1.6788008557079179</v>
      </c>
    </row>
    <row r="413" spans="1:6" x14ac:dyDescent="0.25">
      <c r="A413" s="952"/>
      <c r="B413" s="1015" t="s">
        <v>1457</v>
      </c>
      <c r="C413" s="635"/>
      <c r="D413" s="635"/>
      <c r="E413" s="1285">
        <f>56982145.37/1000</f>
        <v>56982.145369999998</v>
      </c>
      <c r="F413" s="992"/>
    </row>
    <row r="414" spans="1:6" x14ac:dyDescent="0.25">
      <c r="A414" s="952"/>
      <c r="B414" s="1015" t="s">
        <v>357</v>
      </c>
      <c r="C414" s="635"/>
      <c r="D414" s="635"/>
      <c r="E414" s="1285">
        <f>29792930/1000</f>
        <v>29792.93</v>
      </c>
      <c r="F414" s="992"/>
    </row>
    <row r="415" spans="1:6" x14ac:dyDescent="0.25">
      <c r="A415" s="952"/>
      <c r="B415" s="1015" t="s">
        <v>356</v>
      </c>
      <c r="C415" s="635"/>
      <c r="D415" s="635"/>
      <c r="E415" s="1285">
        <f>17498090/1000</f>
        <v>17498.09</v>
      </c>
      <c r="F415" s="992"/>
    </row>
    <row r="416" spans="1:6" ht="22.8" x14ac:dyDescent="0.25">
      <c r="A416" s="952"/>
      <c r="B416" s="1015" t="s">
        <v>355</v>
      </c>
      <c r="C416" s="635"/>
      <c r="D416" s="635"/>
      <c r="E416" s="1285">
        <v>42.113</v>
      </c>
      <c r="F416" s="992"/>
    </row>
    <row r="417" spans="1:6" x14ac:dyDescent="0.25">
      <c r="A417" s="952"/>
      <c r="B417" s="1015" t="s">
        <v>1451</v>
      </c>
      <c r="C417" s="635"/>
      <c r="D417" s="635"/>
      <c r="E417" s="1285">
        <f>32455676/1000</f>
        <v>32455.675999999999</v>
      </c>
      <c r="F417" s="992"/>
    </row>
    <row r="418" spans="1:6" x14ac:dyDescent="0.25">
      <c r="A418" s="952"/>
      <c r="B418" s="1015" t="s">
        <v>1452</v>
      </c>
      <c r="C418" s="635"/>
      <c r="D418" s="635"/>
      <c r="E418" s="1285">
        <v>106613</v>
      </c>
      <c r="F418" s="992"/>
    </row>
    <row r="419" spans="1:6" x14ac:dyDescent="0.25">
      <c r="A419" s="952"/>
      <c r="B419" s="1015" t="s">
        <v>1453</v>
      </c>
      <c r="C419" s="635"/>
      <c r="D419" s="635"/>
      <c r="E419" s="1285">
        <f>7739101/1000</f>
        <v>7739.1009999999997</v>
      </c>
      <c r="F419" s="992"/>
    </row>
    <row r="420" spans="1:6" ht="34.200000000000003" x14ac:dyDescent="0.25">
      <c r="A420" s="952"/>
      <c r="B420" s="1015" t="s">
        <v>646</v>
      </c>
      <c r="C420" s="635">
        <v>8001</v>
      </c>
      <c r="D420" s="635">
        <v>8001</v>
      </c>
      <c r="E420" s="1285">
        <v>8001</v>
      </c>
      <c r="F420" s="992"/>
    </row>
    <row r="421" spans="1:6" ht="22.8" x14ac:dyDescent="0.25">
      <c r="A421" s="952"/>
      <c r="B421" s="1015" t="s">
        <v>648</v>
      </c>
      <c r="C421" s="635">
        <v>9525</v>
      </c>
      <c r="D421" s="635">
        <v>9525</v>
      </c>
      <c r="E421" s="1285">
        <v>9525</v>
      </c>
      <c r="F421" s="992"/>
    </row>
    <row r="422" spans="1:6" ht="22.8" x14ac:dyDescent="0.25">
      <c r="A422" s="952"/>
      <c r="B422" s="1015" t="s">
        <v>649</v>
      </c>
      <c r="C422" s="635">
        <v>15240</v>
      </c>
      <c r="D422" s="635">
        <v>15240</v>
      </c>
      <c r="E422" s="1285">
        <v>15240</v>
      </c>
      <c r="F422" s="992"/>
    </row>
    <row r="423" spans="1:6" ht="34.200000000000003" x14ac:dyDescent="0.25">
      <c r="A423" s="952"/>
      <c r="B423" s="1015" t="s">
        <v>654</v>
      </c>
      <c r="C423" s="635">
        <v>76200</v>
      </c>
      <c r="D423" s="635">
        <v>76200</v>
      </c>
      <c r="E423" s="1285">
        <v>76200</v>
      </c>
      <c r="F423" s="992"/>
    </row>
    <row r="424" spans="1:6" x14ac:dyDescent="0.25">
      <c r="A424" s="952"/>
      <c r="B424" s="1015" t="s">
        <v>655</v>
      </c>
      <c r="C424" s="635">
        <v>16510</v>
      </c>
      <c r="D424" s="635">
        <v>16510</v>
      </c>
      <c r="E424" s="1285">
        <v>16510</v>
      </c>
      <c r="F424" s="992"/>
    </row>
    <row r="425" spans="1:6" ht="22.8" x14ac:dyDescent="0.25">
      <c r="A425" s="952"/>
      <c r="B425" s="1015" t="s">
        <v>656</v>
      </c>
      <c r="C425" s="635">
        <v>82550</v>
      </c>
      <c r="D425" s="635">
        <v>82550</v>
      </c>
      <c r="E425" s="1285">
        <v>82550</v>
      </c>
      <c r="F425" s="992"/>
    </row>
    <row r="426" spans="1:6" x14ac:dyDescent="0.25">
      <c r="A426" s="952"/>
      <c r="B426" s="1015" t="s">
        <v>657</v>
      </c>
      <c r="C426" s="635">
        <v>3175</v>
      </c>
      <c r="D426" s="635">
        <v>3175</v>
      </c>
      <c r="E426" s="1285">
        <v>3175</v>
      </c>
      <c r="F426" s="992"/>
    </row>
    <row r="427" spans="1:6" x14ac:dyDescent="0.25">
      <c r="A427" s="952"/>
      <c r="B427" s="1015" t="s">
        <v>658</v>
      </c>
      <c r="C427" s="635">
        <v>19050</v>
      </c>
      <c r="D427" s="635">
        <v>19050</v>
      </c>
      <c r="E427" s="1285">
        <v>19050</v>
      </c>
      <c r="F427" s="992"/>
    </row>
    <row r="428" spans="1:6" ht="34.799999999999997" thickBot="1" x14ac:dyDescent="0.3">
      <c r="A428" s="952"/>
      <c r="B428" s="1015" t="s">
        <v>659</v>
      </c>
      <c r="C428" s="635">
        <v>139700</v>
      </c>
      <c r="D428" s="635">
        <v>139700</v>
      </c>
      <c r="E428" s="1285">
        <v>139700</v>
      </c>
      <c r="F428" s="992"/>
    </row>
    <row r="429" spans="1:6" ht="13.8" thickBot="1" x14ac:dyDescent="0.3">
      <c r="A429" s="952"/>
      <c r="B429" s="1017" t="s">
        <v>19</v>
      </c>
      <c r="C429" s="636">
        <f>SUM(C392+C412)</f>
        <v>616331</v>
      </c>
      <c r="D429" s="636">
        <f>SUM(D392+D412)</f>
        <v>616331</v>
      </c>
      <c r="E429" s="1286">
        <f>SUM(E392+E412)</f>
        <v>1092496.91937</v>
      </c>
      <c r="F429" s="996">
        <f>E429/D429</f>
        <v>1.7725814852246602</v>
      </c>
    </row>
    <row r="430" spans="1:6" ht="14.4" thickBot="1" x14ac:dyDescent="0.3">
      <c r="A430" s="953"/>
      <c r="B430" s="1018" t="s">
        <v>42</v>
      </c>
      <c r="C430" s="624">
        <f>SUM(C391+C429)</f>
        <v>4030983</v>
      </c>
      <c r="D430" s="624">
        <f>SUM(D391+D429)</f>
        <v>4030983</v>
      </c>
      <c r="E430" s="1273">
        <f>SUM(E391+E429)</f>
        <v>4904928.9193700003</v>
      </c>
      <c r="F430" s="996">
        <f>E430/D430</f>
        <v>1.2168071458922056</v>
      </c>
    </row>
    <row r="431" spans="1:6" ht="13.8" x14ac:dyDescent="0.25">
      <c r="A431" s="955">
        <v>2799</v>
      </c>
      <c r="B431" s="1019" t="s">
        <v>354</v>
      </c>
      <c r="C431" s="608"/>
      <c r="D431" s="608"/>
      <c r="E431" s="1275"/>
      <c r="F431" s="990"/>
    </row>
    <row r="432" spans="1:6" x14ac:dyDescent="0.25">
      <c r="A432" s="952"/>
      <c r="B432" s="989" t="s">
        <v>337</v>
      </c>
      <c r="C432" s="1020"/>
      <c r="D432" s="1020"/>
      <c r="E432" s="1287"/>
      <c r="F432" s="992"/>
    </row>
    <row r="433" spans="1:6" ht="13.8" thickBot="1" x14ac:dyDescent="0.3">
      <c r="A433" s="952"/>
      <c r="B433" s="994" t="s">
        <v>336</v>
      </c>
      <c r="C433" s="632">
        <f>C327+C362</f>
        <v>0</v>
      </c>
      <c r="D433" s="632">
        <f>D327+D362</f>
        <v>0</v>
      </c>
      <c r="E433" s="1288">
        <f>E327+E362</f>
        <v>0</v>
      </c>
      <c r="F433" s="1004"/>
    </row>
    <row r="434" spans="1:6" ht="13.8" thickBot="1" x14ac:dyDescent="0.3">
      <c r="A434" s="952"/>
      <c r="B434" s="995" t="s">
        <v>335</v>
      </c>
      <c r="C434" s="1021">
        <f>C432+C433</f>
        <v>0</v>
      </c>
      <c r="D434" s="1021">
        <f>D432+D433</f>
        <v>0</v>
      </c>
      <c r="E434" s="1289">
        <f>E432+E433</f>
        <v>0</v>
      </c>
      <c r="F434" s="997"/>
    </row>
    <row r="435" spans="1:6" x14ac:dyDescent="0.25">
      <c r="A435" s="952"/>
      <c r="B435" s="989" t="s">
        <v>332</v>
      </c>
      <c r="C435" s="618">
        <f>SUM(C436:C437)</f>
        <v>108005</v>
      </c>
      <c r="D435" s="618">
        <f>SUM(D436:D437)</f>
        <v>108005</v>
      </c>
      <c r="E435" s="1266">
        <f>SUM(E436:E437)</f>
        <v>108005</v>
      </c>
      <c r="F435" s="990">
        <f t="shared" ref="F435:F440" si="41">E435/D435</f>
        <v>1</v>
      </c>
    </row>
    <row r="436" spans="1:6" x14ac:dyDescent="0.25">
      <c r="A436" s="952"/>
      <c r="B436" s="991" t="s">
        <v>331</v>
      </c>
      <c r="C436" s="608">
        <f>C364</f>
        <v>33000</v>
      </c>
      <c r="D436" s="608">
        <f>D364</f>
        <v>33000</v>
      </c>
      <c r="E436" s="1275">
        <f>E364</f>
        <v>33000</v>
      </c>
      <c r="F436" s="992">
        <f t="shared" si="41"/>
        <v>1</v>
      </c>
    </row>
    <row r="437" spans="1:6" x14ac:dyDescent="0.25">
      <c r="A437" s="952"/>
      <c r="B437" s="991" t="s">
        <v>330</v>
      </c>
      <c r="C437" s="608">
        <f>SUM(C365)</f>
        <v>75005</v>
      </c>
      <c r="D437" s="608">
        <f>SUM(D365)</f>
        <v>75005</v>
      </c>
      <c r="E437" s="1275">
        <f>SUM(E365)</f>
        <v>75005</v>
      </c>
      <c r="F437" s="992">
        <f t="shared" si="41"/>
        <v>1</v>
      </c>
    </row>
    <row r="438" spans="1:6" x14ac:dyDescent="0.25">
      <c r="A438" s="952"/>
      <c r="B438" s="989" t="s">
        <v>329</v>
      </c>
      <c r="C438" s="618">
        <f>SUM(C336+C366)</f>
        <v>6500</v>
      </c>
      <c r="D438" s="618">
        <f>SUM(D336+D366)</f>
        <v>5028</v>
      </c>
      <c r="E438" s="1266">
        <f>SUM(E336+E366)</f>
        <v>5028</v>
      </c>
      <c r="F438" s="992">
        <f t="shared" si="41"/>
        <v>1</v>
      </c>
    </row>
    <row r="439" spans="1:6" x14ac:dyDescent="0.25">
      <c r="A439" s="952"/>
      <c r="B439" s="989" t="s">
        <v>328</v>
      </c>
      <c r="C439" s="618">
        <f t="shared" ref="C439:E441" si="42">SUM(C367)</f>
        <v>211725</v>
      </c>
      <c r="D439" s="618">
        <f t="shared" si="42"/>
        <v>211725</v>
      </c>
      <c r="E439" s="1266">
        <f t="shared" si="42"/>
        <v>211725</v>
      </c>
      <c r="F439" s="992">
        <f t="shared" si="41"/>
        <v>1</v>
      </c>
    </row>
    <row r="440" spans="1:6" x14ac:dyDescent="0.25">
      <c r="A440" s="952"/>
      <c r="B440" s="989" t="s">
        <v>327</v>
      </c>
      <c r="C440" s="618">
        <f t="shared" si="42"/>
        <v>88082</v>
      </c>
      <c r="D440" s="618">
        <f t="shared" si="42"/>
        <v>87685</v>
      </c>
      <c r="E440" s="1266">
        <f t="shared" si="42"/>
        <v>87685</v>
      </c>
      <c r="F440" s="992">
        <f t="shared" si="41"/>
        <v>1</v>
      </c>
    </row>
    <row r="441" spans="1:6" x14ac:dyDescent="0.25">
      <c r="A441" s="952"/>
      <c r="B441" s="989" t="s">
        <v>326</v>
      </c>
      <c r="C441" s="618">
        <f t="shared" si="42"/>
        <v>50000</v>
      </c>
      <c r="D441" s="618">
        <f t="shared" si="42"/>
        <v>50000</v>
      </c>
      <c r="E441" s="1266">
        <f t="shared" si="42"/>
        <v>50000</v>
      </c>
      <c r="F441" s="992">
        <v>0</v>
      </c>
    </row>
    <row r="442" spans="1:6" x14ac:dyDescent="0.25">
      <c r="A442" s="952"/>
      <c r="B442" s="993" t="s">
        <v>325</v>
      </c>
      <c r="C442" s="618">
        <f>SUM(C370+C340)</f>
        <v>0</v>
      </c>
      <c r="D442" s="618">
        <f>SUM(D370+D340)</f>
        <v>0</v>
      </c>
      <c r="E442" s="1266">
        <f>SUM(E370+E340)</f>
        <v>0</v>
      </c>
      <c r="F442" s="992"/>
    </row>
    <row r="443" spans="1:6" x14ac:dyDescent="0.25">
      <c r="A443" s="952"/>
      <c r="B443" s="993" t="s">
        <v>324</v>
      </c>
      <c r="C443" s="618">
        <f>C371</f>
        <v>0</v>
      </c>
      <c r="D443" s="618">
        <f>D371</f>
        <v>0</v>
      </c>
      <c r="E443" s="1266">
        <f>E371</f>
        <v>0</v>
      </c>
      <c r="F443" s="992"/>
    </row>
    <row r="444" spans="1:6" ht="13.8" thickBot="1" x14ac:dyDescent="0.3">
      <c r="A444" s="952"/>
      <c r="B444" s="994" t="s">
        <v>323</v>
      </c>
      <c r="C444" s="618">
        <f>SUM(C372)</f>
        <v>0</v>
      </c>
      <c r="D444" s="618">
        <f>SUM(D372)</f>
        <v>0</v>
      </c>
      <c r="E444" s="1266">
        <f>SUM(E372)</f>
        <v>0</v>
      </c>
      <c r="F444" s="992"/>
    </row>
    <row r="445" spans="1:6" ht="13.8" thickBot="1" x14ac:dyDescent="0.3">
      <c r="A445" s="952"/>
      <c r="B445" s="995" t="s">
        <v>322</v>
      </c>
      <c r="C445" s="630">
        <f>SUM(C435+C438+C439+C440+C443+C444+C441+C442)</f>
        <v>464312</v>
      </c>
      <c r="D445" s="630">
        <f>SUM(D435+D438+D439+D440+D443+D444+D441+D442)</f>
        <v>462443</v>
      </c>
      <c r="E445" s="1280">
        <f>SUM(E435+E438+E439+E440+E443+E444+E441+E442)</f>
        <v>462443</v>
      </c>
      <c r="F445" s="996">
        <f>E445/D445</f>
        <v>1</v>
      </c>
    </row>
    <row r="446" spans="1:6" ht="13.8" thickBot="1" x14ac:dyDescent="0.3">
      <c r="A446" s="952"/>
      <c r="B446" s="627" t="s">
        <v>321</v>
      </c>
      <c r="C446" s="624"/>
      <c r="D446" s="624"/>
      <c r="E446" s="1273"/>
      <c r="F446" s="997"/>
    </row>
    <row r="447" spans="1:6" ht="13.8" thickBot="1" x14ac:dyDescent="0.3">
      <c r="A447" s="952"/>
      <c r="B447" s="998" t="s">
        <v>320</v>
      </c>
      <c r="C447" s="624">
        <f>SUM(C445+C434)</f>
        <v>464312</v>
      </c>
      <c r="D447" s="624">
        <f>SUM(D445+D434)</f>
        <v>462443</v>
      </c>
      <c r="E447" s="1273">
        <f>SUM(E445+E434)</f>
        <v>462443</v>
      </c>
      <c r="F447" s="996">
        <f>E447/D447</f>
        <v>1</v>
      </c>
    </row>
    <row r="448" spans="1:6" x14ac:dyDescent="0.25">
      <c r="A448" s="952"/>
      <c r="B448" s="1022" t="s">
        <v>319</v>
      </c>
      <c r="C448" s="618"/>
      <c r="D448" s="618"/>
      <c r="E448" s="1266"/>
      <c r="F448" s="992"/>
    </row>
    <row r="449" spans="1:6" ht="13.8" thickBot="1" x14ac:dyDescent="0.3">
      <c r="A449" s="952"/>
      <c r="B449" s="620" t="s">
        <v>353</v>
      </c>
      <c r="C449" s="626">
        <f>C377</f>
        <v>0</v>
      </c>
      <c r="D449" s="626">
        <f>D377</f>
        <v>0</v>
      </c>
      <c r="E449" s="1276">
        <f>E377</f>
        <v>0</v>
      </c>
      <c r="F449" s="1004"/>
    </row>
    <row r="450" spans="1:6" ht="13.8" thickBot="1" x14ac:dyDescent="0.3">
      <c r="A450" s="952"/>
      <c r="B450" s="1000" t="s">
        <v>316</v>
      </c>
      <c r="C450" s="624">
        <f>SUM(C448:C449)</f>
        <v>0</v>
      </c>
      <c r="D450" s="624">
        <f>SUM(D448:D449)</f>
        <v>0</v>
      </c>
      <c r="E450" s="1273">
        <f>SUM(E448:E449)</f>
        <v>0</v>
      </c>
      <c r="F450" s="997"/>
    </row>
    <row r="451" spans="1:6" x14ac:dyDescent="0.25">
      <c r="A451" s="952"/>
      <c r="B451" s="1001" t="s">
        <v>311</v>
      </c>
      <c r="C451" s="618">
        <f>C342+C378</f>
        <v>0</v>
      </c>
      <c r="D451" s="618">
        <f>D342+D378</f>
        <v>0</v>
      </c>
      <c r="E451" s="1266">
        <f>E342+E378</f>
        <v>360036</v>
      </c>
      <c r="F451" s="992"/>
    </row>
    <row r="452" spans="1:6" x14ac:dyDescent="0.25">
      <c r="A452" s="952"/>
      <c r="B452" s="1002" t="s">
        <v>351</v>
      </c>
      <c r="C452" s="618">
        <f>C379</f>
        <v>0</v>
      </c>
      <c r="D452" s="618">
        <f>D379</f>
        <v>0</v>
      </c>
      <c r="E452" s="1266">
        <f>E379</f>
        <v>0</v>
      </c>
      <c r="F452" s="992"/>
    </row>
    <row r="453" spans="1:6" x14ac:dyDescent="0.25">
      <c r="A453" s="952"/>
      <c r="B453" s="1002" t="s">
        <v>314</v>
      </c>
      <c r="C453" s="618">
        <f>SUM(C343+C380)</f>
        <v>5520519</v>
      </c>
      <c r="D453" s="618">
        <f>SUM(D343+D380)</f>
        <v>5522388</v>
      </c>
      <c r="E453" s="1266">
        <f>SUM(E343+E380)</f>
        <v>6125314</v>
      </c>
      <c r="F453" s="992">
        <f>E453/D453</f>
        <v>1.1091784930722</v>
      </c>
    </row>
    <row r="454" spans="1:6" ht="13.8" thickBot="1" x14ac:dyDescent="0.3">
      <c r="A454" s="952"/>
      <c r="B454" s="1003" t="s">
        <v>313</v>
      </c>
      <c r="C454" s="626">
        <f>SUM(C381)</f>
        <v>768358</v>
      </c>
      <c r="D454" s="626">
        <f>SUM(D381)</f>
        <v>768358</v>
      </c>
      <c r="E454" s="1276">
        <f>SUM(E381)</f>
        <v>768358</v>
      </c>
      <c r="F454" s="992">
        <f>E454/D454</f>
        <v>1</v>
      </c>
    </row>
    <row r="455" spans="1:6" ht="13.8" thickBot="1" x14ac:dyDescent="0.3">
      <c r="A455" s="952"/>
      <c r="B455" s="1007" t="s">
        <v>312</v>
      </c>
      <c r="C455" s="624">
        <f>SUM(C451:C454)</f>
        <v>6288877</v>
      </c>
      <c r="D455" s="624">
        <f>SUM(D451:D454)</f>
        <v>6290746</v>
      </c>
      <c r="E455" s="1273">
        <f>SUM(E451:E454)</f>
        <v>7253708</v>
      </c>
      <c r="F455" s="996">
        <f>E455/D455</f>
        <v>1.1530759626918652</v>
      </c>
    </row>
    <row r="456" spans="1:6" ht="13.8" thickBot="1" x14ac:dyDescent="0.3">
      <c r="A456" s="952"/>
      <c r="B456" s="1006" t="s">
        <v>311</v>
      </c>
      <c r="C456" s="626">
        <f>C345+C383</f>
        <v>0</v>
      </c>
      <c r="D456" s="626">
        <f>D345+D383</f>
        <v>0</v>
      </c>
      <c r="E456" s="1276">
        <f>E345+E383</f>
        <v>938</v>
      </c>
      <c r="F456" s="997"/>
    </row>
    <row r="457" spans="1:6" ht="13.8" thickBot="1" x14ac:dyDescent="0.3">
      <c r="A457" s="952"/>
      <c r="B457" s="1007" t="s">
        <v>310</v>
      </c>
      <c r="C457" s="624">
        <f>SUM(C456)</f>
        <v>0</v>
      </c>
      <c r="D457" s="624">
        <f>SUM(D456)</f>
        <v>0</v>
      </c>
      <c r="E457" s="1273">
        <f>SUM(E456)</f>
        <v>938</v>
      </c>
      <c r="F457" s="997"/>
    </row>
    <row r="458" spans="1:6" ht="14.4" thickBot="1" x14ac:dyDescent="0.3">
      <c r="A458" s="952"/>
      <c r="B458" s="1008" t="s">
        <v>309</v>
      </c>
      <c r="C458" s="624">
        <f>SUM(C447+C450+C455+C457)</f>
        <v>6753189</v>
      </c>
      <c r="D458" s="624">
        <f>SUM(D447+D450+D455+D457)</f>
        <v>6753189</v>
      </c>
      <c r="E458" s="1273">
        <f>SUM(E447+E450+E455+E457)</f>
        <v>7717089</v>
      </c>
      <c r="F458" s="996">
        <f>E458/D458</f>
        <v>1.142732566791778</v>
      </c>
    </row>
    <row r="459" spans="1:6" x14ac:dyDescent="0.25">
      <c r="A459" s="952"/>
      <c r="B459" s="1009" t="s">
        <v>308</v>
      </c>
      <c r="C459" s="618">
        <f t="shared" ref="C459:E461" si="43">SUM(C386+C348)</f>
        <v>3519997</v>
      </c>
      <c r="D459" s="618">
        <f t="shared" si="43"/>
        <v>3519997</v>
      </c>
      <c r="E459" s="1266">
        <f t="shared" si="43"/>
        <v>3595404</v>
      </c>
      <c r="F459" s="990">
        <f>E459/D459</f>
        <v>1.0214224614395979</v>
      </c>
    </row>
    <row r="460" spans="1:6" x14ac:dyDescent="0.25">
      <c r="A460" s="952"/>
      <c r="B460" s="1009" t="s">
        <v>307</v>
      </c>
      <c r="C460" s="618">
        <f t="shared" si="43"/>
        <v>517584</v>
      </c>
      <c r="D460" s="618">
        <f t="shared" si="43"/>
        <v>517584</v>
      </c>
      <c r="E460" s="1266">
        <f t="shared" si="43"/>
        <v>548146</v>
      </c>
      <c r="F460" s="992">
        <f>E460/D460</f>
        <v>1.0590474203221121</v>
      </c>
    </row>
    <row r="461" spans="1:6" x14ac:dyDescent="0.25">
      <c r="A461" s="952"/>
      <c r="B461" s="1009" t="s">
        <v>306</v>
      </c>
      <c r="C461" s="618">
        <f t="shared" si="43"/>
        <v>2052847</v>
      </c>
      <c r="D461" s="618">
        <f t="shared" si="43"/>
        <v>2052847</v>
      </c>
      <c r="E461" s="1266">
        <f t="shared" si="43"/>
        <v>2427241</v>
      </c>
      <c r="F461" s="992">
        <f>E461/D461</f>
        <v>1.1823779365924494</v>
      </c>
    </row>
    <row r="462" spans="1:6" x14ac:dyDescent="0.25">
      <c r="A462" s="952"/>
      <c r="B462" s="1010" t="s">
        <v>305</v>
      </c>
      <c r="C462" s="618">
        <f>SUM(C356)</f>
        <v>0</v>
      </c>
      <c r="D462" s="618">
        <f>SUM(D356)</f>
        <v>0</v>
      </c>
      <c r="E462" s="1266">
        <f>SUM(E356)</f>
        <v>0</v>
      </c>
      <c r="F462" s="992"/>
    </row>
    <row r="463" spans="1:6" ht="13.8" thickBot="1" x14ac:dyDescent="0.3">
      <c r="A463" s="952"/>
      <c r="B463" s="1011" t="s">
        <v>304</v>
      </c>
      <c r="C463" s="618">
        <f>SUM(C390+C352)</f>
        <v>0</v>
      </c>
      <c r="D463" s="618">
        <f>SUM(D390+D352)</f>
        <v>0</v>
      </c>
      <c r="E463" s="1266">
        <f>SUM(E390+E352)</f>
        <v>3113</v>
      </c>
      <c r="F463" s="1004"/>
    </row>
    <row r="464" spans="1:6" ht="13.8" thickBot="1" x14ac:dyDescent="0.3">
      <c r="A464" s="952"/>
      <c r="B464" s="1012" t="s">
        <v>18</v>
      </c>
      <c r="C464" s="630">
        <f>SUM(C459:C463)</f>
        <v>6090428</v>
      </c>
      <c r="D464" s="630">
        <f>SUM(D459:D463)</f>
        <v>6090428</v>
      </c>
      <c r="E464" s="1280">
        <f>SUM(E459:E463)</f>
        <v>6573904</v>
      </c>
      <c r="F464" s="996">
        <f>E464/D464</f>
        <v>1.0793829267828139</v>
      </c>
    </row>
    <row r="465" spans="1:6" x14ac:dyDescent="0.25">
      <c r="A465" s="952"/>
      <c r="B465" s="1009" t="s">
        <v>96</v>
      </c>
      <c r="C465" s="618">
        <f>SUM(C392+C354)</f>
        <v>292810</v>
      </c>
      <c r="D465" s="618">
        <f>SUM(D392+D354)</f>
        <v>292810</v>
      </c>
      <c r="E465" s="1266">
        <f>SUM(E392+E354)</f>
        <v>522110.864</v>
      </c>
      <c r="F465" s="990">
        <f>E465/D465</f>
        <v>1.783104620743827</v>
      </c>
    </row>
    <row r="466" spans="1:6" x14ac:dyDescent="0.25">
      <c r="A466" s="952"/>
      <c r="B466" s="1009" t="s">
        <v>303</v>
      </c>
      <c r="C466" s="618">
        <f>SUM(C355+C412)</f>
        <v>369951</v>
      </c>
      <c r="D466" s="618">
        <f>SUM(D355+D412)</f>
        <v>369951</v>
      </c>
      <c r="E466" s="1266">
        <f>SUM(E355+E412)</f>
        <v>621074.05536999996</v>
      </c>
      <c r="F466" s="992">
        <f>E466/D466</f>
        <v>1.6788008557079179</v>
      </c>
    </row>
    <row r="467" spans="1:6" ht="13.8" thickBot="1" x14ac:dyDescent="0.3">
      <c r="A467" s="952"/>
      <c r="B467" s="1011" t="s">
        <v>302</v>
      </c>
      <c r="C467" s="626"/>
      <c r="D467" s="626"/>
      <c r="E467" s="1276"/>
      <c r="F467" s="1004"/>
    </row>
    <row r="468" spans="1:6" ht="13.8" thickBot="1" x14ac:dyDescent="0.3">
      <c r="A468" s="952"/>
      <c r="B468" s="1017" t="s">
        <v>19</v>
      </c>
      <c r="C468" s="624">
        <f>SUM(C465:C467)</f>
        <v>662761</v>
      </c>
      <c r="D468" s="624">
        <f>SUM(D465:D467)</f>
        <v>662761</v>
      </c>
      <c r="E468" s="1273">
        <f>SUM(E465:E467)</f>
        <v>1143184.91937</v>
      </c>
      <c r="F468" s="996">
        <f>E468/D468</f>
        <v>1.7248826037892997</v>
      </c>
    </row>
    <row r="469" spans="1:6" ht="14.4" thickBot="1" x14ac:dyDescent="0.3">
      <c r="A469" s="953"/>
      <c r="B469" s="1018" t="s">
        <v>42</v>
      </c>
      <c r="C469" s="624">
        <f>SUM(C464+C468)</f>
        <v>6753189</v>
      </c>
      <c r="D469" s="624">
        <f>SUM(D464+D468)</f>
        <v>6753189</v>
      </c>
      <c r="E469" s="1273">
        <f>SUM(E464+E468)</f>
        <v>7717088.9193700003</v>
      </c>
      <c r="F469" s="996">
        <f>E469/D469</f>
        <v>1.1427325548522336</v>
      </c>
    </row>
    <row r="470" spans="1:6" ht="13.8" x14ac:dyDescent="0.25">
      <c r="A470" s="955">
        <v>2850</v>
      </c>
      <c r="B470" s="1019" t="s">
        <v>352</v>
      </c>
      <c r="C470" s="618"/>
      <c r="D470" s="618"/>
      <c r="E470" s="1266"/>
      <c r="F470" s="990"/>
    </row>
    <row r="471" spans="1:6" ht="12.6" customHeight="1" x14ac:dyDescent="0.25">
      <c r="A471" s="952"/>
      <c r="B471" s="989" t="s">
        <v>337</v>
      </c>
      <c r="C471" s="1020"/>
      <c r="D471" s="1020"/>
      <c r="E471" s="1287"/>
      <c r="F471" s="992"/>
    </row>
    <row r="472" spans="1:6" ht="13.8" thickBot="1" x14ac:dyDescent="0.3">
      <c r="A472" s="952"/>
      <c r="B472" s="994" t="s">
        <v>336</v>
      </c>
      <c r="C472" s="637"/>
      <c r="D472" s="637"/>
      <c r="E472" s="1290"/>
      <c r="F472" s="1004"/>
    </row>
    <row r="473" spans="1:6" ht="13.8" thickBot="1" x14ac:dyDescent="0.3">
      <c r="A473" s="952"/>
      <c r="B473" s="995" t="s">
        <v>335</v>
      </c>
      <c r="C473" s="1023"/>
      <c r="D473" s="1023"/>
      <c r="E473" s="1291"/>
      <c r="F473" s="1004"/>
    </row>
    <row r="474" spans="1:6" x14ac:dyDescent="0.25">
      <c r="A474" s="952"/>
      <c r="B474" s="989" t="s">
        <v>332</v>
      </c>
      <c r="C474" s="618">
        <f>SUM(C475)</f>
        <v>17995</v>
      </c>
      <c r="D474" s="618">
        <f>SUM(D475)</f>
        <v>17995</v>
      </c>
      <c r="E474" s="1266">
        <f>SUM(E475)</f>
        <v>14395</v>
      </c>
      <c r="F474" s="990">
        <f>E474/D474</f>
        <v>0.79994442900805784</v>
      </c>
    </row>
    <row r="475" spans="1:6" x14ac:dyDescent="0.25">
      <c r="A475" s="952"/>
      <c r="B475" s="991" t="s">
        <v>331</v>
      </c>
      <c r="C475" s="608">
        <v>17995</v>
      </c>
      <c r="D475" s="608">
        <v>17995</v>
      </c>
      <c r="E475" s="1275">
        <f>17995-3600</f>
        <v>14395</v>
      </c>
      <c r="F475" s="992">
        <f>E475/D475</f>
        <v>0.79994442900805784</v>
      </c>
    </row>
    <row r="476" spans="1:6" x14ac:dyDescent="0.25">
      <c r="A476" s="952"/>
      <c r="B476" s="991" t="s">
        <v>330</v>
      </c>
      <c r="C476" s="608"/>
      <c r="D476" s="608"/>
      <c r="E476" s="1275"/>
      <c r="F476" s="992"/>
    </row>
    <row r="477" spans="1:6" x14ac:dyDescent="0.25">
      <c r="A477" s="952"/>
      <c r="B477" s="989" t="s">
        <v>329</v>
      </c>
      <c r="C477" s="618"/>
      <c r="D477" s="618"/>
      <c r="E477" s="1266"/>
      <c r="F477" s="992"/>
    </row>
    <row r="478" spans="1:6" x14ac:dyDescent="0.25">
      <c r="A478" s="952"/>
      <c r="B478" s="989" t="s">
        <v>328</v>
      </c>
      <c r="C478" s="618">
        <v>18825</v>
      </c>
      <c r="D478" s="618">
        <v>18825</v>
      </c>
      <c r="E478" s="1266">
        <f>18825+3600</f>
        <v>22425</v>
      </c>
      <c r="F478" s="992">
        <f>E478/D478</f>
        <v>1.1912350597609562</v>
      </c>
    </row>
    <row r="479" spans="1:6" x14ac:dyDescent="0.25">
      <c r="A479" s="952"/>
      <c r="B479" s="989" t="s">
        <v>327</v>
      </c>
      <c r="C479" s="618">
        <v>8970</v>
      </c>
      <c r="D479" s="618">
        <v>8970</v>
      </c>
      <c r="E479" s="1266">
        <f>8970</f>
        <v>8970</v>
      </c>
      <c r="F479" s="992">
        <f>E479/D479</f>
        <v>1</v>
      </c>
    </row>
    <row r="480" spans="1:6" x14ac:dyDescent="0.25">
      <c r="A480" s="952"/>
      <c r="B480" s="989" t="s">
        <v>326</v>
      </c>
      <c r="C480" s="618"/>
      <c r="D480" s="618"/>
      <c r="E480" s="1266"/>
      <c r="F480" s="992"/>
    </row>
    <row r="481" spans="1:6" x14ac:dyDescent="0.25">
      <c r="A481" s="952"/>
      <c r="B481" s="993" t="s">
        <v>325</v>
      </c>
      <c r="C481" s="618"/>
      <c r="D481" s="618"/>
      <c r="E481" s="1266"/>
      <c r="F481" s="992"/>
    </row>
    <row r="482" spans="1:6" x14ac:dyDescent="0.25">
      <c r="A482" s="952"/>
      <c r="B482" s="993" t="s">
        <v>324</v>
      </c>
      <c r="C482" s="618"/>
      <c r="D482" s="618"/>
      <c r="E482" s="1266"/>
      <c r="F482" s="992"/>
    </row>
    <row r="483" spans="1:6" ht="13.8" thickBot="1" x14ac:dyDescent="0.3">
      <c r="A483" s="952"/>
      <c r="B483" s="994" t="s">
        <v>323</v>
      </c>
      <c r="C483" s="618"/>
      <c r="D483" s="618"/>
      <c r="E483" s="1266"/>
      <c r="F483" s="1004"/>
    </row>
    <row r="484" spans="1:6" ht="13.8" thickBot="1" x14ac:dyDescent="0.3">
      <c r="A484" s="952"/>
      <c r="B484" s="995" t="s">
        <v>322</v>
      </c>
      <c r="C484" s="630">
        <f>SUM(C474+C477+C478+C479+C483+C480+C481+C482)</f>
        <v>45790</v>
      </c>
      <c r="D484" s="630">
        <f>SUM(D474+D477+D478+D479+D483+D480+D481+D482)</f>
        <v>45790</v>
      </c>
      <c r="E484" s="1280">
        <f>SUM(E474+E477+E478+E479+E483+E480+E481+E482)</f>
        <v>45790</v>
      </c>
      <c r="F484" s="996">
        <f>E484/D484</f>
        <v>1</v>
      </c>
    </row>
    <row r="485" spans="1:6" ht="13.8" thickBot="1" x14ac:dyDescent="0.3">
      <c r="A485" s="952"/>
      <c r="B485" s="627" t="s">
        <v>321</v>
      </c>
      <c r="C485" s="624"/>
      <c r="D485" s="624"/>
      <c r="E485" s="1273"/>
      <c r="F485" s="997"/>
    </row>
    <row r="486" spans="1:6" ht="13.8" thickBot="1" x14ac:dyDescent="0.3">
      <c r="A486" s="952"/>
      <c r="B486" s="998" t="s">
        <v>320</v>
      </c>
      <c r="C486" s="624">
        <f>SUM(C484+C473)</f>
        <v>45790</v>
      </c>
      <c r="D486" s="624">
        <f>SUM(D484+D473)</f>
        <v>45790</v>
      </c>
      <c r="E486" s="1273">
        <f>SUM(E484+E473)</f>
        <v>45790</v>
      </c>
      <c r="F486" s="996">
        <f>E486/D486</f>
        <v>1</v>
      </c>
    </row>
    <row r="487" spans="1:6" ht="13.8" thickBot="1" x14ac:dyDescent="0.3">
      <c r="A487" s="952"/>
      <c r="B487" s="1000" t="s">
        <v>316</v>
      </c>
      <c r="C487" s="626"/>
      <c r="D487" s="626"/>
      <c r="E487" s="1276"/>
      <c r="F487" s="997"/>
    </row>
    <row r="488" spans="1:6" x14ac:dyDescent="0.25">
      <c r="A488" s="952"/>
      <c r="B488" s="1001" t="s">
        <v>311</v>
      </c>
      <c r="C488" s="618"/>
      <c r="D488" s="618"/>
      <c r="E488" s="1266">
        <v>22178</v>
      </c>
      <c r="F488" s="992"/>
    </row>
    <row r="489" spans="1:6" x14ac:dyDescent="0.25">
      <c r="A489" s="952"/>
      <c r="B489" s="1002" t="s">
        <v>351</v>
      </c>
      <c r="C489" s="618"/>
      <c r="D489" s="618"/>
      <c r="E489" s="1266">
        <v>1862</v>
      </c>
      <c r="F489" s="992"/>
    </row>
    <row r="490" spans="1:6" x14ac:dyDescent="0.25">
      <c r="A490" s="952"/>
      <c r="B490" s="1002" t="s">
        <v>314</v>
      </c>
      <c r="C490" s="618">
        <v>1235759</v>
      </c>
      <c r="D490" s="618">
        <v>1235759</v>
      </c>
      <c r="E490" s="1266">
        <f>1235759+1447+7171+25668</f>
        <v>1270045</v>
      </c>
      <c r="F490" s="992">
        <f>E490/D490</f>
        <v>1.0277448920056418</v>
      </c>
    </row>
    <row r="491" spans="1:6" ht="13.8" thickBot="1" x14ac:dyDescent="0.3">
      <c r="A491" s="952"/>
      <c r="B491" s="1003" t="s">
        <v>313</v>
      </c>
      <c r="C491" s="626">
        <v>39949</v>
      </c>
      <c r="D491" s="626">
        <v>39949</v>
      </c>
      <c r="E491" s="1276">
        <v>39949</v>
      </c>
      <c r="F491" s="992">
        <f>E491/D491</f>
        <v>1</v>
      </c>
    </row>
    <row r="492" spans="1:6" ht="13.8" thickBot="1" x14ac:dyDescent="0.3">
      <c r="A492" s="952"/>
      <c r="B492" s="1007" t="s">
        <v>312</v>
      </c>
      <c r="C492" s="624">
        <f>SUM(C488:C491)</f>
        <v>1275708</v>
      </c>
      <c r="D492" s="624">
        <f>SUM(D488:D491)</f>
        <v>1275708</v>
      </c>
      <c r="E492" s="1273">
        <f>SUM(E488:E491)</f>
        <v>1334034</v>
      </c>
      <c r="F492" s="996">
        <f>E492/D492</f>
        <v>1.0457204940315494</v>
      </c>
    </row>
    <row r="493" spans="1:6" ht="13.8" thickBot="1" x14ac:dyDescent="0.3">
      <c r="A493" s="952"/>
      <c r="B493" s="1006" t="s">
        <v>311</v>
      </c>
      <c r="C493" s="626"/>
      <c r="D493" s="626"/>
      <c r="E493" s="1276">
        <v>265</v>
      </c>
      <c r="F493" s="997"/>
    </row>
    <row r="494" spans="1:6" ht="13.8" thickBot="1" x14ac:dyDescent="0.3">
      <c r="A494" s="952"/>
      <c r="B494" s="1007" t="s">
        <v>310</v>
      </c>
      <c r="C494" s="624"/>
      <c r="D494" s="624"/>
      <c r="E494" s="1273">
        <f>SUM(E493)</f>
        <v>265</v>
      </c>
      <c r="F494" s="997"/>
    </row>
    <row r="495" spans="1:6" ht="14.4" thickBot="1" x14ac:dyDescent="0.3">
      <c r="A495" s="952"/>
      <c r="B495" s="1008" t="s">
        <v>309</v>
      </c>
      <c r="C495" s="624">
        <f>SUM(C486+C487+C492)+C494</f>
        <v>1321498</v>
      </c>
      <c r="D495" s="624">
        <f>SUM(D486+D487+D492)+D494</f>
        <v>1321498</v>
      </c>
      <c r="E495" s="1273">
        <f>SUM(E486+E487+E492)+E494</f>
        <v>1380089</v>
      </c>
      <c r="F495" s="996">
        <f>E495/D495</f>
        <v>1.0443368056554001</v>
      </c>
    </row>
    <row r="496" spans="1:6" ht="12.75" customHeight="1" x14ac:dyDescent="0.25">
      <c r="A496" s="952"/>
      <c r="B496" s="1009" t="s">
        <v>308</v>
      </c>
      <c r="C496" s="618">
        <v>1038893</v>
      </c>
      <c r="D496" s="618">
        <v>1038893</v>
      </c>
      <c r="E496" s="1266">
        <f>1038893+6346+458+20358</f>
        <v>1066055</v>
      </c>
      <c r="F496" s="992">
        <f>E496/D496</f>
        <v>1.026145137179671</v>
      </c>
    </row>
    <row r="497" spans="1:6" x14ac:dyDescent="0.25">
      <c r="A497" s="952"/>
      <c r="B497" s="1009" t="s">
        <v>307</v>
      </c>
      <c r="C497" s="618">
        <v>156105</v>
      </c>
      <c r="D497" s="618">
        <v>156105</v>
      </c>
      <c r="E497" s="1266">
        <f>156105+825+4082+5310</f>
        <v>166322</v>
      </c>
      <c r="F497" s="992">
        <f>E497/D497</f>
        <v>1.0654495371704942</v>
      </c>
    </row>
    <row r="498" spans="1:6" x14ac:dyDescent="0.25">
      <c r="A498" s="952"/>
      <c r="B498" s="1009" t="s">
        <v>306</v>
      </c>
      <c r="C498" s="618">
        <v>115705</v>
      </c>
      <c r="D498" s="618">
        <v>115705</v>
      </c>
      <c r="E498" s="1266">
        <f>115705+1447+19332</f>
        <v>136484</v>
      </c>
      <c r="F498" s="992">
        <f>E498/D498</f>
        <v>1.1795860161617908</v>
      </c>
    </row>
    <row r="499" spans="1:6" x14ac:dyDescent="0.25">
      <c r="A499" s="952"/>
      <c r="B499" s="1010" t="s">
        <v>305</v>
      </c>
      <c r="C499" s="618"/>
      <c r="D499" s="618"/>
      <c r="E499" s="1266"/>
      <c r="F499" s="992"/>
    </row>
    <row r="500" spans="1:6" ht="13.8" thickBot="1" x14ac:dyDescent="0.3">
      <c r="A500" s="952"/>
      <c r="B500" s="1011" t="s">
        <v>304</v>
      </c>
      <c r="C500" s="618"/>
      <c r="D500" s="618"/>
      <c r="E500" s="1266">
        <v>168</v>
      </c>
      <c r="F500" s="1004"/>
    </row>
    <row r="501" spans="1:6" ht="13.8" thickBot="1" x14ac:dyDescent="0.3">
      <c r="A501" s="952"/>
      <c r="B501" s="1012" t="s">
        <v>18</v>
      </c>
      <c r="C501" s="630">
        <f>SUM(C496:C500)</f>
        <v>1310703</v>
      </c>
      <c r="D501" s="630">
        <f>SUM(D496:D500)</f>
        <v>1310703</v>
      </c>
      <c r="E501" s="1280">
        <f>SUM(E496:E500)</f>
        <v>1369029</v>
      </c>
      <c r="F501" s="996">
        <f>E501/D501</f>
        <v>1.0444997837038597</v>
      </c>
    </row>
    <row r="502" spans="1:6" x14ac:dyDescent="0.25">
      <c r="A502" s="952"/>
      <c r="B502" s="1009" t="s">
        <v>339</v>
      </c>
      <c r="C502" s="618">
        <v>10795</v>
      </c>
      <c r="D502" s="618">
        <v>10795</v>
      </c>
      <c r="E502" s="1266">
        <f>10795+265</f>
        <v>11060</v>
      </c>
      <c r="F502" s="992">
        <f>E502/D502</f>
        <v>1.0245484020379805</v>
      </c>
    </row>
    <row r="503" spans="1:6" x14ac:dyDescent="0.25">
      <c r="A503" s="952"/>
      <c r="B503" s="1009" t="s">
        <v>303</v>
      </c>
      <c r="C503" s="618"/>
      <c r="D503" s="618"/>
      <c r="E503" s="1266"/>
      <c r="F503" s="992"/>
    </row>
    <row r="504" spans="1:6" ht="13.8" thickBot="1" x14ac:dyDescent="0.3">
      <c r="A504" s="952"/>
      <c r="B504" s="1011" t="s">
        <v>302</v>
      </c>
      <c r="C504" s="618"/>
      <c r="D504" s="618"/>
      <c r="E504" s="1266"/>
      <c r="F504" s="1004"/>
    </row>
    <row r="505" spans="1:6" ht="13.8" thickBot="1" x14ac:dyDescent="0.3">
      <c r="A505" s="952"/>
      <c r="B505" s="1017" t="s">
        <v>19</v>
      </c>
      <c r="C505" s="630">
        <f>SUM(C502:C504)</f>
        <v>10795</v>
      </c>
      <c r="D505" s="630">
        <f>SUM(D502:D504)</f>
        <v>10795</v>
      </c>
      <c r="E505" s="1280">
        <f>SUM(E502:E504)</f>
        <v>11060</v>
      </c>
      <c r="F505" s="996">
        <f>E505/D505</f>
        <v>1.0245484020379805</v>
      </c>
    </row>
    <row r="506" spans="1:6" ht="14.4" thickBot="1" x14ac:dyDescent="0.3">
      <c r="A506" s="953"/>
      <c r="B506" s="1018" t="s">
        <v>42</v>
      </c>
      <c r="C506" s="624">
        <f>SUM(C501+C505)</f>
        <v>1321498</v>
      </c>
      <c r="D506" s="624">
        <f>SUM(D501+D505)</f>
        <v>1321498</v>
      </c>
      <c r="E506" s="1273">
        <f>SUM(E501+E505)</f>
        <v>1380089</v>
      </c>
      <c r="F506" s="996">
        <f>E506/D506</f>
        <v>1.0443368056554001</v>
      </c>
    </row>
    <row r="507" spans="1:6" ht="13.8" x14ac:dyDescent="0.25">
      <c r="A507" s="955">
        <v>2875</v>
      </c>
      <c r="B507" s="1019" t="s">
        <v>350</v>
      </c>
      <c r="C507" s="618"/>
      <c r="D507" s="618"/>
      <c r="E507" s="1266"/>
      <c r="F507" s="990"/>
    </row>
    <row r="508" spans="1:6" ht="12.6" customHeight="1" x14ac:dyDescent="0.25">
      <c r="A508" s="952"/>
      <c r="B508" s="989" t="s">
        <v>337</v>
      </c>
      <c r="C508" s="1020"/>
      <c r="D508" s="1020"/>
      <c r="E508" s="1287"/>
      <c r="F508" s="992"/>
    </row>
    <row r="509" spans="1:6" ht="13.8" thickBot="1" x14ac:dyDescent="0.3">
      <c r="A509" s="952"/>
      <c r="B509" s="994" t="s">
        <v>336</v>
      </c>
      <c r="C509" s="626"/>
      <c r="D509" s="626"/>
      <c r="E509" s="1276"/>
      <c r="F509" s="1004"/>
    </row>
    <row r="510" spans="1:6" ht="13.8" thickBot="1" x14ac:dyDescent="0.3">
      <c r="A510" s="952"/>
      <c r="B510" s="995" t="s">
        <v>335</v>
      </c>
      <c r="C510" s="624"/>
      <c r="D510" s="624"/>
      <c r="E510" s="1273"/>
      <c r="F510" s="1004"/>
    </row>
    <row r="511" spans="1:6" x14ac:dyDescent="0.25">
      <c r="A511" s="952"/>
      <c r="B511" s="989" t="s">
        <v>332</v>
      </c>
      <c r="C511" s="618"/>
      <c r="D511" s="618"/>
      <c r="E511" s="1266"/>
      <c r="F511" s="990"/>
    </row>
    <row r="512" spans="1:6" x14ac:dyDescent="0.25">
      <c r="A512" s="952"/>
      <c r="B512" s="991" t="s">
        <v>331</v>
      </c>
      <c r="C512" s="608"/>
      <c r="D512" s="608"/>
      <c r="E512" s="1275"/>
      <c r="F512" s="992"/>
    </row>
    <row r="513" spans="1:6" x14ac:dyDescent="0.25">
      <c r="A513" s="952"/>
      <c r="B513" s="991" t="s">
        <v>330</v>
      </c>
      <c r="C513" s="608"/>
      <c r="D513" s="608"/>
      <c r="E513" s="1275"/>
      <c r="F513" s="992"/>
    </row>
    <row r="514" spans="1:6" x14ac:dyDescent="0.25">
      <c r="A514" s="952"/>
      <c r="B514" s="989" t="s">
        <v>329</v>
      </c>
      <c r="C514" s="618"/>
      <c r="D514" s="618"/>
      <c r="E514" s="1266"/>
      <c r="F514" s="992"/>
    </row>
    <row r="515" spans="1:6" x14ac:dyDescent="0.25">
      <c r="A515" s="952"/>
      <c r="B515" s="989" t="s">
        <v>328</v>
      </c>
      <c r="C515" s="618">
        <v>57915</v>
      </c>
      <c r="D515" s="618">
        <v>57915</v>
      </c>
      <c r="E515" s="1266">
        <v>57915</v>
      </c>
      <c r="F515" s="992">
        <f>E515/D515</f>
        <v>1</v>
      </c>
    </row>
    <row r="516" spans="1:6" x14ac:dyDescent="0.25">
      <c r="A516" s="952"/>
      <c r="B516" s="989" t="s">
        <v>327</v>
      </c>
      <c r="C516" s="618">
        <v>11390</v>
      </c>
      <c r="D516" s="618">
        <v>11390</v>
      </c>
      <c r="E516" s="1266">
        <v>11390</v>
      </c>
      <c r="F516" s="992">
        <f>E516/D516</f>
        <v>1</v>
      </c>
    </row>
    <row r="517" spans="1:6" x14ac:dyDescent="0.25">
      <c r="A517" s="952"/>
      <c r="B517" s="989" t="s">
        <v>326</v>
      </c>
      <c r="C517" s="618">
        <v>18000</v>
      </c>
      <c r="D517" s="618">
        <v>18000</v>
      </c>
      <c r="E517" s="1266">
        <v>18000</v>
      </c>
      <c r="F517" s="992">
        <f>E517/D517</f>
        <v>1</v>
      </c>
    </row>
    <row r="518" spans="1:6" x14ac:dyDescent="0.25">
      <c r="A518" s="952"/>
      <c r="B518" s="993" t="s">
        <v>325</v>
      </c>
      <c r="C518" s="618"/>
      <c r="D518" s="618"/>
      <c r="E518" s="1266"/>
      <c r="F518" s="992"/>
    </row>
    <row r="519" spans="1:6" x14ac:dyDescent="0.25">
      <c r="A519" s="952"/>
      <c r="B519" s="993" t="s">
        <v>324</v>
      </c>
      <c r="C519" s="618"/>
      <c r="D519" s="618"/>
      <c r="E519" s="1266"/>
      <c r="F519" s="992"/>
    </row>
    <row r="520" spans="1:6" ht="13.8" thickBot="1" x14ac:dyDescent="0.3">
      <c r="A520" s="952"/>
      <c r="B520" s="994" t="s">
        <v>323</v>
      </c>
      <c r="C520" s="618"/>
      <c r="D520" s="618"/>
      <c r="E520" s="1266"/>
      <c r="F520" s="1004"/>
    </row>
    <row r="521" spans="1:6" ht="13.8" thickBot="1" x14ac:dyDescent="0.3">
      <c r="A521" s="952"/>
      <c r="B521" s="995" t="s">
        <v>322</v>
      </c>
      <c r="C521" s="630">
        <f>SUM(C511+C514+C515+C516+C520+C517+C518+C519)</f>
        <v>87305</v>
      </c>
      <c r="D521" s="630">
        <f>SUM(D511+D514+D515+D516+D520+D517+D518+D519)</f>
        <v>87305</v>
      </c>
      <c r="E521" s="1280">
        <f>SUM(E511+E514+E515+E516+E520+E517+E518+E519)</f>
        <v>87305</v>
      </c>
      <c r="F521" s="996">
        <f>E521/D521</f>
        <v>1</v>
      </c>
    </row>
    <row r="522" spans="1:6" ht="13.8" thickBot="1" x14ac:dyDescent="0.3">
      <c r="A522" s="952"/>
      <c r="B522" s="627" t="s">
        <v>321</v>
      </c>
      <c r="C522" s="624"/>
      <c r="D522" s="624"/>
      <c r="E522" s="1273"/>
      <c r="F522" s="1024"/>
    </row>
    <row r="523" spans="1:6" ht="13.8" thickBot="1" x14ac:dyDescent="0.3">
      <c r="A523" s="952"/>
      <c r="B523" s="998" t="s">
        <v>320</v>
      </c>
      <c r="C523" s="624">
        <f>SUM(C521+C510)+C522</f>
        <v>87305</v>
      </c>
      <c r="D523" s="624">
        <f>SUM(D521+D510)+D522</f>
        <v>87305</v>
      </c>
      <c r="E523" s="1273">
        <f>SUM(E521+E510)+E522</f>
        <v>87305</v>
      </c>
      <c r="F523" s="996">
        <f>E523/D523</f>
        <v>1</v>
      </c>
    </row>
    <row r="524" spans="1:6" ht="13.8" thickBot="1" x14ac:dyDescent="0.3">
      <c r="A524" s="952"/>
      <c r="B524" s="994" t="s">
        <v>318</v>
      </c>
      <c r="C524" s="626"/>
      <c r="D524" s="626"/>
      <c r="E524" s="1276"/>
      <c r="F524" s="1004"/>
    </row>
    <row r="525" spans="1:6" ht="13.8" thickBot="1" x14ac:dyDescent="0.3">
      <c r="A525" s="952"/>
      <c r="B525" s="1000" t="s">
        <v>316</v>
      </c>
      <c r="C525" s="623"/>
      <c r="D525" s="623"/>
      <c r="E525" s="1272"/>
      <c r="F525" s="1004"/>
    </row>
    <row r="526" spans="1:6" x14ac:dyDescent="0.25">
      <c r="A526" s="952"/>
      <c r="B526" s="1001" t="s">
        <v>311</v>
      </c>
      <c r="C526" s="638"/>
      <c r="D526" s="638"/>
      <c r="E526" s="1292">
        <v>10755</v>
      </c>
      <c r="F526" s="992"/>
    </row>
    <row r="527" spans="1:6" ht="13.8" thickBot="1" x14ac:dyDescent="0.3">
      <c r="A527" s="952"/>
      <c r="B527" s="1003" t="s">
        <v>314</v>
      </c>
      <c r="C527" s="626">
        <v>1418941</v>
      </c>
      <c r="D527" s="626">
        <v>1418941</v>
      </c>
      <c r="E527" s="1276">
        <f>1418941+24203+76997+35212</f>
        <v>1555353</v>
      </c>
      <c r="F527" s="1004">
        <f>E527/D527</f>
        <v>1.096136484885559</v>
      </c>
    </row>
    <row r="528" spans="1:6" ht="13.8" thickBot="1" x14ac:dyDescent="0.3">
      <c r="A528" s="952"/>
      <c r="B528" s="1007" t="s">
        <v>312</v>
      </c>
      <c r="C528" s="624">
        <f>SUM(C526:C527)</f>
        <v>1418941</v>
      </c>
      <c r="D528" s="624">
        <f>SUM(D526:D527)</f>
        <v>1418941</v>
      </c>
      <c r="E528" s="1273">
        <f>SUM(E526:E527)</f>
        <v>1566108</v>
      </c>
      <c r="F528" s="996">
        <f>E528/D528</f>
        <v>1.1037160812183171</v>
      </c>
    </row>
    <row r="529" spans="1:6" ht="13.8" thickBot="1" x14ac:dyDescent="0.3">
      <c r="A529" s="952"/>
      <c r="B529" s="1006" t="s">
        <v>311</v>
      </c>
      <c r="C529" s="626"/>
      <c r="D529" s="626"/>
      <c r="E529" s="1276"/>
      <c r="F529" s="1004"/>
    </row>
    <row r="530" spans="1:6" ht="13.8" thickBot="1" x14ac:dyDescent="0.3">
      <c r="A530" s="952"/>
      <c r="B530" s="1007" t="s">
        <v>310</v>
      </c>
      <c r="C530" s="624"/>
      <c r="D530" s="624"/>
      <c r="E530" s="1273"/>
      <c r="F530" s="1004"/>
    </row>
    <row r="531" spans="1:6" ht="14.4" thickBot="1" x14ac:dyDescent="0.3">
      <c r="A531" s="952"/>
      <c r="B531" s="1008" t="s">
        <v>309</v>
      </c>
      <c r="C531" s="624">
        <f>SUM(C525+C528+C530)+C523</f>
        <v>1506246</v>
      </c>
      <c r="D531" s="624">
        <f>SUM(D525+D528+D530)+D523</f>
        <v>1506246</v>
      </c>
      <c r="E531" s="1273">
        <f>SUM(E525+E528+E530)+E523</f>
        <v>1653413</v>
      </c>
      <c r="F531" s="996">
        <f>E531/D531</f>
        <v>1.0977044918293559</v>
      </c>
    </row>
    <row r="532" spans="1:6" x14ac:dyDescent="0.25">
      <c r="A532" s="952"/>
      <c r="B532" s="1009" t="s">
        <v>308</v>
      </c>
      <c r="C532" s="618">
        <v>966207</v>
      </c>
      <c r="D532" s="618">
        <v>966207</v>
      </c>
      <c r="E532" s="1266">
        <f>966207+24+68653+1515+25549</f>
        <v>1061948</v>
      </c>
      <c r="F532" s="992">
        <f>E532/D532</f>
        <v>1.0990895325742827</v>
      </c>
    </row>
    <row r="533" spans="1:6" x14ac:dyDescent="0.25">
      <c r="A533" s="952"/>
      <c r="B533" s="1009" t="s">
        <v>307</v>
      </c>
      <c r="C533" s="618">
        <v>154424</v>
      </c>
      <c r="D533" s="618">
        <v>154424</v>
      </c>
      <c r="E533" s="1266">
        <f>154424+8344+6193+5538</f>
        <v>174499</v>
      </c>
      <c r="F533" s="992">
        <f>E533/D533</f>
        <v>1.1299992229187172</v>
      </c>
    </row>
    <row r="534" spans="1:6" x14ac:dyDescent="0.25">
      <c r="A534" s="952"/>
      <c r="B534" s="1009" t="s">
        <v>306</v>
      </c>
      <c r="C534" s="618">
        <v>370820</v>
      </c>
      <c r="D534" s="618">
        <v>370820</v>
      </c>
      <c r="E534" s="1266">
        <f>370820+24179+3047+2400</f>
        <v>400446</v>
      </c>
      <c r="F534" s="992">
        <f>E534/D534</f>
        <v>1.0798932096434928</v>
      </c>
    </row>
    <row r="535" spans="1:6" x14ac:dyDescent="0.25">
      <c r="A535" s="952"/>
      <c r="B535" s="1010" t="s">
        <v>305</v>
      </c>
      <c r="C535" s="618">
        <v>345</v>
      </c>
      <c r="D535" s="618">
        <v>345</v>
      </c>
      <c r="E535" s="1266">
        <v>345</v>
      </c>
      <c r="F535" s="992">
        <f>E535/D535</f>
        <v>1</v>
      </c>
    </row>
    <row r="536" spans="1:6" ht="13.8" thickBot="1" x14ac:dyDescent="0.3">
      <c r="A536" s="952"/>
      <c r="B536" s="1011" t="s">
        <v>304</v>
      </c>
      <c r="C536" s="618"/>
      <c r="D536" s="618"/>
      <c r="E536" s="1266"/>
      <c r="F536" s="1004"/>
    </row>
    <row r="537" spans="1:6" ht="13.8" thickBot="1" x14ac:dyDescent="0.3">
      <c r="A537" s="952"/>
      <c r="B537" s="1012" t="s">
        <v>18</v>
      </c>
      <c r="C537" s="630">
        <f>SUM(C532:C536)</f>
        <v>1491796</v>
      </c>
      <c r="D537" s="630">
        <f>SUM(D532:D536)</f>
        <v>1491796</v>
      </c>
      <c r="E537" s="1280">
        <f>SUM(E532:E536)</f>
        <v>1637238</v>
      </c>
      <c r="F537" s="996">
        <f>E537/D537</f>
        <v>1.0974945635998488</v>
      </c>
    </row>
    <row r="538" spans="1:6" x14ac:dyDescent="0.25">
      <c r="A538" s="952"/>
      <c r="B538" s="1009" t="s">
        <v>339</v>
      </c>
      <c r="C538" s="618">
        <v>14450</v>
      </c>
      <c r="D538" s="618">
        <v>14450</v>
      </c>
      <c r="E538" s="1266">
        <f>14450+1725</f>
        <v>16175</v>
      </c>
      <c r="F538" s="992">
        <f>E538/D538</f>
        <v>1.1193771626297577</v>
      </c>
    </row>
    <row r="539" spans="1:6" x14ac:dyDescent="0.25">
      <c r="A539" s="952"/>
      <c r="B539" s="1009" t="s">
        <v>303</v>
      </c>
      <c r="C539" s="618"/>
      <c r="D539" s="618"/>
      <c r="E539" s="1266"/>
      <c r="F539" s="992"/>
    </row>
    <row r="540" spans="1:6" ht="13.8" thickBot="1" x14ac:dyDescent="0.3">
      <c r="A540" s="952"/>
      <c r="B540" s="1011" t="s">
        <v>302</v>
      </c>
      <c r="C540" s="618"/>
      <c r="D540" s="618"/>
      <c r="E540" s="1266"/>
      <c r="F540" s="1004"/>
    </row>
    <row r="541" spans="1:6" ht="13.8" thickBot="1" x14ac:dyDescent="0.3">
      <c r="A541" s="952"/>
      <c r="B541" s="1017" t="s">
        <v>19</v>
      </c>
      <c r="C541" s="630">
        <f>SUM(C538:C540)</f>
        <v>14450</v>
      </c>
      <c r="D541" s="630">
        <f>SUM(D538:D540)</f>
        <v>14450</v>
      </c>
      <c r="E541" s="1280">
        <f>SUM(E538:E540)</f>
        <v>16175</v>
      </c>
      <c r="F541" s="996">
        <f>E541/D541</f>
        <v>1.1193771626297577</v>
      </c>
    </row>
    <row r="542" spans="1:6" ht="14.4" thickBot="1" x14ac:dyDescent="0.3">
      <c r="A542" s="953"/>
      <c r="B542" s="1018" t="s">
        <v>42</v>
      </c>
      <c r="C542" s="624">
        <f>SUM(C537+C541)</f>
        <v>1506246</v>
      </c>
      <c r="D542" s="624">
        <f>SUM(D537+D541)</f>
        <v>1506246</v>
      </c>
      <c r="E542" s="1273">
        <f>SUM(E537+E541)</f>
        <v>1653413</v>
      </c>
      <c r="F542" s="996">
        <f>E542/D542</f>
        <v>1.0977044918293559</v>
      </c>
    </row>
    <row r="543" spans="1:6" ht="13.8" x14ac:dyDescent="0.25">
      <c r="A543" s="955">
        <v>2898</v>
      </c>
      <c r="B543" s="1025" t="s">
        <v>349</v>
      </c>
      <c r="C543" s="631"/>
      <c r="D543" s="631"/>
      <c r="E543" s="1293"/>
      <c r="F543" s="990"/>
    </row>
    <row r="544" spans="1:6" x14ac:dyDescent="0.25">
      <c r="A544" s="952"/>
      <c r="B544" s="989" t="s">
        <v>337</v>
      </c>
      <c r="C544" s="1020"/>
      <c r="D544" s="1020"/>
      <c r="E544" s="1287"/>
      <c r="F544" s="992"/>
    </row>
    <row r="545" spans="1:6" ht="13.8" thickBot="1" x14ac:dyDescent="0.3">
      <c r="A545" s="952"/>
      <c r="B545" s="994" t="s">
        <v>336</v>
      </c>
      <c r="C545" s="626"/>
      <c r="D545" s="626"/>
      <c r="E545" s="1276"/>
      <c r="F545" s="1004"/>
    </row>
    <row r="546" spans="1:6" ht="13.8" thickBot="1" x14ac:dyDescent="0.3">
      <c r="A546" s="952"/>
      <c r="B546" s="995" t="s">
        <v>335</v>
      </c>
      <c r="C546" s="624"/>
      <c r="D546" s="624"/>
      <c r="E546" s="1273"/>
      <c r="F546" s="1004"/>
    </row>
    <row r="547" spans="1:6" x14ac:dyDescent="0.25">
      <c r="A547" s="952"/>
      <c r="B547" s="989" t="s">
        <v>332</v>
      </c>
      <c r="C547" s="618">
        <f>SUM(C511+C474)</f>
        <v>17995</v>
      </c>
      <c r="D547" s="618">
        <f>SUM(D511+D474)</f>
        <v>17995</v>
      </c>
      <c r="E547" s="1266">
        <f>SUM(E511+E474)</f>
        <v>14395</v>
      </c>
      <c r="F547" s="992">
        <f>E547/D547</f>
        <v>0.79994442900805784</v>
      </c>
    </row>
    <row r="548" spans="1:6" x14ac:dyDescent="0.25">
      <c r="A548" s="952"/>
      <c r="B548" s="991" t="s">
        <v>331</v>
      </c>
      <c r="C548" s="608">
        <f t="shared" ref="C548:C556" si="44">C512+C475</f>
        <v>17995</v>
      </c>
      <c r="D548" s="608">
        <f t="shared" ref="D548:E548" si="45">D512+D475</f>
        <v>17995</v>
      </c>
      <c r="E548" s="1275">
        <f t="shared" si="45"/>
        <v>14395</v>
      </c>
      <c r="F548" s="992">
        <f>E548/D548</f>
        <v>0.79994442900805784</v>
      </c>
    </row>
    <row r="549" spans="1:6" x14ac:dyDescent="0.25">
      <c r="A549" s="952"/>
      <c r="B549" s="991" t="s">
        <v>330</v>
      </c>
      <c r="C549" s="608">
        <f t="shared" si="44"/>
        <v>0</v>
      </c>
      <c r="D549" s="608">
        <f t="shared" ref="D549:E549" si="46">D513+D476</f>
        <v>0</v>
      </c>
      <c r="E549" s="1275">
        <f t="shared" si="46"/>
        <v>0</v>
      </c>
      <c r="F549" s="992"/>
    </row>
    <row r="550" spans="1:6" x14ac:dyDescent="0.25">
      <c r="A550" s="952"/>
      <c r="B550" s="989" t="s">
        <v>329</v>
      </c>
      <c r="C550" s="608">
        <f t="shared" si="44"/>
        <v>0</v>
      </c>
      <c r="D550" s="608">
        <f t="shared" ref="D550:E550" si="47">D514+D477</f>
        <v>0</v>
      </c>
      <c r="E550" s="1275">
        <f t="shared" si="47"/>
        <v>0</v>
      </c>
      <c r="F550" s="992"/>
    </row>
    <row r="551" spans="1:6" x14ac:dyDescent="0.25">
      <c r="A551" s="952"/>
      <c r="B551" s="989" t="s">
        <v>328</v>
      </c>
      <c r="C551" s="608">
        <f t="shared" si="44"/>
        <v>76740</v>
      </c>
      <c r="D551" s="608">
        <f t="shared" ref="D551:E551" si="48">D515+D478</f>
        <v>76740</v>
      </c>
      <c r="E551" s="1275">
        <f t="shared" si="48"/>
        <v>80340</v>
      </c>
      <c r="F551" s="992">
        <f>E551/D551</f>
        <v>1.0469116497263486</v>
      </c>
    </row>
    <row r="552" spans="1:6" x14ac:dyDescent="0.25">
      <c r="A552" s="952"/>
      <c r="B552" s="989" t="s">
        <v>327</v>
      </c>
      <c r="C552" s="608">
        <f t="shared" si="44"/>
        <v>20360</v>
      </c>
      <c r="D552" s="608">
        <f t="shared" ref="D552:E552" si="49">D516+D479</f>
        <v>20360</v>
      </c>
      <c r="E552" s="1275">
        <f t="shared" si="49"/>
        <v>20360</v>
      </c>
      <c r="F552" s="992">
        <f>E552/D552</f>
        <v>1</v>
      </c>
    </row>
    <row r="553" spans="1:6" x14ac:dyDescent="0.25">
      <c r="A553" s="952"/>
      <c r="B553" s="989" t="s">
        <v>326</v>
      </c>
      <c r="C553" s="608">
        <f t="shared" si="44"/>
        <v>18000</v>
      </c>
      <c r="D553" s="608">
        <f t="shared" ref="D553:E553" si="50">D517+D480</f>
        <v>18000</v>
      </c>
      <c r="E553" s="1275">
        <f t="shared" si="50"/>
        <v>18000</v>
      </c>
      <c r="F553" s="992">
        <f>E553/D553</f>
        <v>1</v>
      </c>
    </row>
    <row r="554" spans="1:6" x14ac:dyDescent="0.25">
      <c r="A554" s="952"/>
      <c r="B554" s="993" t="s">
        <v>325</v>
      </c>
      <c r="C554" s="608">
        <f t="shared" si="44"/>
        <v>0</v>
      </c>
      <c r="D554" s="608">
        <f t="shared" ref="D554:E554" si="51">D518+D481</f>
        <v>0</v>
      </c>
      <c r="E554" s="1275">
        <f t="shared" si="51"/>
        <v>0</v>
      </c>
      <c r="F554" s="992"/>
    </row>
    <row r="555" spans="1:6" x14ac:dyDescent="0.25">
      <c r="A555" s="952"/>
      <c r="B555" s="993" t="s">
        <v>324</v>
      </c>
      <c r="C555" s="608">
        <f t="shared" si="44"/>
        <v>0</v>
      </c>
      <c r="D555" s="608">
        <f t="shared" ref="D555:E555" si="52">D519+D482</f>
        <v>0</v>
      </c>
      <c r="E555" s="1275">
        <f t="shared" si="52"/>
        <v>0</v>
      </c>
      <c r="F555" s="992"/>
    </row>
    <row r="556" spans="1:6" ht="13.8" thickBot="1" x14ac:dyDescent="0.3">
      <c r="A556" s="952"/>
      <c r="B556" s="994" t="s">
        <v>323</v>
      </c>
      <c r="C556" s="608">
        <f t="shared" si="44"/>
        <v>0</v>
      </c>
      <c r="D556" s="608">
        <f t="shared" ref="D556:E556" si="53">D520+D483</f>
        <v>0</v>
      </c>
      <c r="E556" s="1275">
        <f t="shared" si="53"/>
        <v>0</v>
      </c>
      <c r="F556" s="1004"/>
    </row>
    <row r="557" spans="1:6" ht="13.8" thickBot="1" x14ac:dyDescent="0.3">
      <c r="A557" s="952"/>
      <c r="B557" s="995" t="s">
        <v>322</v>
      </c>
      <c r="C557" s="630">
        <f>SUM(C547+C550+C551+C552+C553+C554+C555+C556)</f>
        <v>133095</v>
      </c>
      <c r="D557" s="630">
        <f>SUM(D547+D550+D551+D552+D553+D554+D555+D556)</f>
        <v>133095</v>
      </c>
      <c r="E557" s="1280">
        <f>SUM(E547+E550+E551+E552+E553+E554+E555+E556)</f>
        <v>133095</v>
      </c>
      <c r="F557" s="996">
        <f>E557/D557</f>
        <v>1</v>
      </c>
    </row>
    <row r="558" spans="1:6" ht="13.8" thickBot="1" x14ac:dyDescent="0.3">
      <c r="A558" s="952"/>
      <c r="B558" s="627" t="s">
        <v>321</v>
      </c>
      <c r="C558" s="624">
        <f>C485+C522</f>
        <v>0</v>
      </c>
      <c r="D558" s="624">
        <f>D485+D522</f>
        <v>0</v>
      </c>
      <c r="E558" s="1273">
        <f>E485+E522</f>
        <v>0</v>
      </c>
      <c r="F558" s="1004"/>
    </row>
    <row r="559" spans="1:6" ht="13.8" thickBot="1" x14ac:dyDescent="0.3">
      <c r="A559" s="952"/>
      <c r="B559" s="998" t="s">
        <v>320</v>
      </c>
      <c r="C559" s="624">
        <f>SUM(C557+C546)+C558</f>
        <v>133095</v>
      </c>
      <c r="D559" s="624">
        <f>SUM(D557+D546)+D558</f>
        <v>133095</v>
      </c>
      <c r="E559" s="1273">
        <f>SUM(E557+E546)+E558</f>
        <v>133095</v>
      </c>
      <c r="F559" s="996">
        <f>E559/D559</f>
        <v>1</v>
      </c>
    </row>
    <row r="560" spans="1:6" ht="13.8" thickBot="1" x14ac:dyDescent="0.3">
      <c r="A560" s="952"/>
      <c r="B560" s="994" t="s">
        <v>318</v>
      </c>
      <c r="C560" s="626">
        <f>C524</f>
        <v>0</v>
      </c>
      <c r="D560" s="626">
        <f>D524</f>
        <v>0</v>
      </c>
      <c r="E560" s="1276">
        <f>E524</f>
        <v>0</v>
      </c>
      <c r="F560" s="1004"/>
    </row>
    <row r="561" spans="1:6" ht="13.8" thickBot="1" x14ac:dyDescent="0.3">
      <c r="A561" s="952"/>
      <c r="B561" s="1000" t="s">
        <v>316</v>
      </c>
      <c r="C561" s="624">
        <f>C560</f>
        <v>0</v>
      </c>
      <c r="D561" s="624">
        <f>D560</f>
        <v>0</v>
      </c>
      <c r="E561" s="1273">
        <f>E560</f>
        <v>0</v>
      </c>
      <c r="F561" s="1004"/>
    </row>
    <row r="562" spans="1:6" x14ac:dyDescent="0.25">
      <c r="A562" s="952"/>
      <c r="B562" s="1001" t="s">
        <v>311</v>
      </c>
      <c r="C562" s="618">
        <f>SUM(C526+C488)</f>
        <v>0</v>
      </c>
      <c r="D562" s="618">
        <f>SUM(D526+D488)</f>
        <v>0</v>
      </c>
      <c r="E562" s="1266">
        <f>SUM(E526+E488)</f>
        <v>32933</v>
      </c>
      <c r="F562" s="990"/>
    </row>
    <row r="563" spans="1:6" x14ac:dyDescent="0.25">
      <c r="A563" s="952"/>
      <c r="B563" s="1002" t="s">
        <v>348</v>
      </c>
      <c r="C563" s="618">
        <f>SUM(C489)</f>
        <v>0</v>
      </c>
      <c r="D563" s="618">
        <f>SUM(D489)</f>
        <v>0</v>
      </c>
      <c r="E563" s="1266">
        <f>SUM(E489)</f>
        <v>1862</v>
      </c>
      <c r="F563" s="992"/>
    </row>
    <row r="564" spans="1:6" x14ac:dyDescent="0.25">
      <c r="A564" s="952"/>
      <c r="B564" s="1002" t="s">
        <v>314</v>
      </c>
      <c r="C564" s="618">
        <f>SUM(C527+C490)</f>
        <v>2654700</v>
      </c>
      <c r="D564" s="618">
        <f>SUM(D527+D490)</f>
        <v>2654700</v>
      </c>
      <c r="E564" s="1266">
        <f>SUM(E527+E490)</f>
        <v>2825398</v>
      </c>
      <c r="F564" s="992">
        <f>E564/D564</f>
        <v>1.0643002975854146</v>
      </c>
    </row>
    <row r="565" spans="1:6" ht="13.8" thickBot="1" x14ac:dyDescent="0.3">
      <c r="A565" s="952"/>
      <c r="B565" s="1003" t="s">
        <v>313</v>
      </c>
      <c r="C565" s="626">
        <f>SUM(C491)</f>
        <v>39949</v>
      </c>
      <c r="D565" s="626">
        <f>SUM(D491)</f>
        <v>39949</v>
      </c>
      <c r="E565" s="1276">
        <f>SUM(E491)</f>
        <v>39949</v>
      </c>
      <c r="F565" s="992">
        <f>E565/D565</f>
        <v>1</v>
      </c>
    </row>
    <row r="566" spans="1:6" ht="13.8" thickBot="1" x14ac:dyDescent="0.3">
      <c r="A566" s="952"/>
      <c r="B566" s="1007" t="s">
        <v>312</v>
      </c>
      <c r="C566" s="624">
        <f>SUM(C562:C565)</f>
        <v>2694649</v>
      </c>
      <c r="D566" s="624">
        <f>SUM(D562:D565)</f>
        <v>2694649</v>
      </c>
      <c r="E566" s="1273">
        <f>SUM(E562:E565)</f>
        <v>2900142</v>
      </c>
      <c r="F566" s="996">
        <f>E566/D566</f>
        <v>1.076259653854732</v>
      </c>
    </row>
    <row r="567" spans="1:6" ht="13.8" thickBot="1" x14ac:dyDescent="0.3">
      <c r="A567" s="952"/>
      <c r="B567" s="1006" t="s">
        <v>311</v>
      </c>
      <c r="C567" s="626">
        <f>SUM(C529)+C493</f>
        <v>0</v>
      </c>
      <c r="D567" s="626">
        <f>SUM(D529)+D493</f>
        <v>0</v>
      </c>
      <c r="E567" s="1276">
        <f>SUM(E529)+E493</f>
        <v>265</v>
      </c>
      <c r="F567" s="1004"/>
    </row>
    <row r="568" spans="1:6" ht="13.8" thickBot="1" x14ac:dyDescent="0.3">
      <c r="A568" s="952"/>
      <c r="B568" s="1007" t="s">
        <v>310</v>
      </c>
      <c r="C568" s="624">
        <f>SUM(C567)</f>
        <v>0</v>
      </c>
      <c r="D568" s="624">
        <f>SUM(D567)</f>
        <v>0</v>
      </c>
      <c r="E568" s="1273">
        <f>SUM(E567)</f>
        <v>265</v>
      </c>
      <c r="F568" s="1004"/>
    </row>
    <row r="569" spans="1:6" ht="14.4" thickBot="1" x14ac:dyDescent="0.3">
      <c r="A569" s="952"/>
      <c r="B569" s="1008" t="s">
        <v>309</v>
      </c>
      <c r="C569" s="624">
        <f>SUM(C559+C561+C566+C568)</f>
        <v>2827744</v>
      </c>
      <c r="D569" s="624">
        <f>SUM(D559+D561+D566+D568)</f>
        <v>2827744</v>
      </c>
      <c r="E569" s="1273">
        <f>SUM(E559+E561+E566+E568)</f>
        <v>3033502</v>
      </c>
      <c r="F569" s="996">
        <f>E569/D569</f>
        <v>1.0727640125838831</v>
      </c>
    </row>
    <row r="570" spans="1:6" x14ac:dyDescent="0.25">
      <c r="A570" s="952"/>
      <c r="B570" s="1009" t="s">
        <v>308</v>
      </c>
      <c r="C570" s="618">
        <f t="shared" ref="C570:C574" si="54">SUM(C532+C496)</f>
        <v>2005100</v>
      </c>
      <c r="D570" s="618">
        <f t="shared" ref="D570:E570" si="55">SUM(D532+D496)</f>
        <v>2005100</v>
      </c>
      <c r="E570" s="1266">
        <f t="shared" si="55"/>
        <v>2128003</v>
      </c>
      <c r="F570" s="992">
        <f>E570/D570</f>
        <v>1.0612951972470202</v>
      </c>
    </row>
    <row r="571" spans="1:6" x14ac:dyDescent="0.25">
      <c r="A571" s="952"/>
      <c r="B571" s="1009" t="s">
        <v>307</v>
      </c>
      <c r="C571" s="618">
        <f t="shared" si="54"/>
        <v>310529</v>
      </c>
      <c r="D571" s="618">
        <f t="shared" ref="D571:E571" si="56">SUM(D533+D497)</f>
        <v>310529</v>
      </c>
      <c r="E571" s="1266">
        <f t="shared" si="56"/>
        <v>340821</v>
      </c>
      <c r="F571" s="992">
        <f>E571/D571</f>
        <v>1.0975496652486563</v>
      </c>
    </row>
    <row r="572" spans="1:6" x14ac:dyDescent="0.25">
      <c r="A572" s="952"/>
      <c r="B572" s="1009" t="s">
        <v>306</v>
      </c>
      <c r="C572" s="618">
        <f t="shared" si="54"/>
        <v>486525</v>
      </c>
      <c r="D572" s="618">
        <f t="shared" ref="D572:E572" si="57">SUM(D534+D498)</f>
        <v>486525</v>
      </c>
      <c r="E572" s="1266">
        <f t="shared" si="57"/>
        <v>536930</v>
      </c>
      <c r="F572" s="992">
        <f>E572/D572</f>
        <v>1.1036020759467653</v>
      </c>
    </row>
    <row r="573" spans="1:6" x14ac:dyDescent="0.25">
      <c r="A573" s="952"/>
      <c r="B573" s="1010" t="s">
        <v>305</v>
      </c>
      <c r="C573" s="618">
        <f t="shared" si="54"/>
        <v>345</v>
      </c>
      <c r="D573" s="618">
        <f t="shared" ref="D573:E573" si="58">SUM(D535+D499)</f>
        <v>345</v>
      </c>
      <c r="E573" s="1266">
        <f t="shared" si="58"/>
        <v>345</v>
      </c>
      <c r="F573" s="992">
        <f>E573/D573</f>
        <v>1</v>
      </c>
    </row>
    <row r="574" spans="1:6" ht="13.8" thickBot="1" x14ac:dyDescent="0.3">
      <c r="A574" s="952"/>
      <c r="B574" s="1011" t="s">
        <v>304</v>
      </c>
      <c r="C574" s="618">
        <f t="shared" si="54"/>
        <v>0</v>
      </c>
      <c r="D574" s="618">
        <f t="shared" ref="D574:E574" si="59">SUM(D536+D500)</f>
        <v>0</v>
      </c>
      <c r="E574" s="1266">
        <f t="shared" si="59"/>
        <v>168</v>
      </c>
      <c r="F574" s="1004"/>
    </row>
    <row r="575" spans="1:6" ht="13.8" thickBot="1" x14ac:dyDescent="0.3">
      <c r="A575" s="952"/>
      <c r="B575" s="1012" t="s">
        <v>18</v>
      </c>
      <c r="C575" s="630">
        <f>SUM(C570:C574)</f>
        <v>2802499</v>
      </c>
      <c r="D575" s="630">
        <f>SUM(D570:D574)</f>
        <v>2802499</v>
      </c>
      <c r="E575" s="1280">
        <f>SUM(E570:E574)</f>
        <v>3006267</v>
      </c>
      <c r="F575" s="996">
        <f>E575/D575</f>
        <v>1.0727093925814069</v>
      </c>
    </row>
    <row r="576" spans="1:6" x14ac:dyDescent="0.25">
      <c r="A576" s="952"/>
      <c r="B576" s="1009" t="s">
        <v>96</v>
      </c>
      <c r="C576" s="618">
        <f>SUM(C538+C502)</f>
        <v>25245</v>
      </c>
      <c r="D576" s="618">
        <f>SUM(D538+D502)</f>
        <v>25245</v>
      </c>
      <c r="E576" s="1266">
        <f>SUM(E538+E502)</f>
        <v>27235</v>
      </c>
      <c r="F576" s="992">
        <f>E576/D576</f>
        <v>1.0788274905921964</v>
      </c>
    </row>
    <row r="577" spans="1:6" x14ac:dyDescent="0.25">
      <c r="A577" s="952"/>
      <c r="B577" s="1009" t="s">
        <v>303</v>
      </c>
      <c r="C577" s="618">
        <f>SUM(C539)</f>
        <v>0</v>
      </c>
      <c r="D577" s="618">
        <f>SUM(D539)</f>
        <v>0</v>
      </c>
      <c r="E577" s="1266">
        <f>SUM(E539)</f>
        <v>0</v>
      </c>
      <c r="F577" s="992"/>
    </row>
    <row r="578" spans="1:6" ht="13.8" thickBot="1" x14ac:dyDescent="0.3">
      <c r="A578" s="952"/>
      <c r="B578" s="1011" t="s">
        <v>302</v>
      </c>
      <c r="C578" s="626"/>
      <c r="D578" s="626"/>
      <c r="E578" s="1276"/>
      <c r="F578" s="1004"/>
    </row>
    <row r="579" spans="1:6" ht="13.8" thickBot="1" x14ac:dyDescent="0.3">
      <c r="A579" s="952"/>
      <c r="B579" s="1017" t="s">
        <v>19</v>
      </c>
      <c r="C579" s="624">
        <f>SUM(C576:C578)</f>
        <v>25245</v>
      </c>
      <c r="D579" s="624">
        <f>SUM(D576:D578)</f>
        <v>25245</v>
      </c>
      <c r="E579" s="1273">
        <f>SUM(E576:E578)</f>
        <v>27235</v>
      </c>
      <c r="F579" s="996">
        <f>E579/D579</f>
        <v>1.0788274905921964</v>
      </c>
    </row>
    <row r="580" spans="1:6" ht="14.4" thickBot="1" x14ac:dyDescent="0.3">
      <c r="A580" s="953"/>
      <c r="B580" s="1018" t="s">
        <v>42</v>
      </c>
      <c r="C580" s="624">
        <f>SUM(C575+C579)</f>
        <v>2827744</v>
      </c>
      <c r="D580" s="624">
        <f>SUM(D575+D579)</f>
        <v>2827744</v>
      </c>
      <c r="E580" s="1273">
        <f>SUM(E575+E579)</f>
        <v>3033502</v>
      </c>
      <c r="F580" s="996">
        <f>E580/D580</f>
        <v>1.0727640125838831</v>
      </c>
    </row>
    <row r="581" spans="1:6" ht="13.8" x14ac:dyDescent="0.25">
      <c r="A581" s="955">
        <v>2985</v>
      </c>
      <c r="B581" s="1019" t="s">
        <v>347</v>
      </c>
      <c r="C581" s="1020"/>
      <c r="D581" s="1020"/>
      <c r="E581" s="1287"/>
      <c r="F581" s="990"/>
    </row>
    <row r="582" spans="1:6" ht="12.6" customHeight="1" x14ac:dyDescent="0.25">
      <c r="A582" s="952"/>
      <c r="B582" s="989" t="s">
        <v>337</v>
      </c>
      <c r="C582" s="639"/>
      <c r="D582" s="639"/>
      <c r="E582" s="1294"/>
      <c r="F582" s="992"/>
    </row>
    <row r="583" spans="1:6" ht="13.8" thickBot="1" x14ac:dyDescent="0.3">
      <c r="A583" s="952"/>
      <c r="B583" s="994" t="s">
        <v>336</v>
      </c>
      <c r="C583" s="632"/>
      <c r="D583" s="632"/>
      <c r="E583" s="1288"/>
      <c r="F583" s="1004"/>
    </row>
    <row r="584" spans="1:6" ht="13.8" thickBot="1" x14ac:dyDescent="0.3">
      <c r="A584" s="952"/>
      <c r="B584" s="995" t="s">
        <v>335</v>
      </c>
      <c r="C584" s="640"/>
      <c r="D584" s="640"/>
      <c r="E584" s="1295"/>
      <c r="F584" s="1004"/>
    </row>
    <row r="585" spans="1:6" x14ac:dyDescent="0.25">
      <c r="A585" s="952"/>
      <c r="B585" s="989" t="s">
        <v>346</v>
      </c>
      <c r="C585" s="618">
        <v>200</v>
      </c>
      <c r="D585" s="618">
        <v>200</v>
      </c>
      <c r="E585" s="1266">
        <v>200</v>
      </c>
      <c r="F585" s="990"/>
    </row>
    <row r="586" spans="1:6" x14ac:dyDescent="0.25">
      <c r="A586" s="952"/>
      <c r="B586" s="989" t="s">
        <v>332</v>
      </c>
      <c r="C586" s="618">
        <f>C587</f>
        <v>19518</v>
      </c>
      <c r="D586" s="618">
        <f>D587</f>
        <v>19518</v>
      </c>
      <c r="E586" s="1266">
        <f>E587</f>
        <v>19518</v>
      </c>
      <c r="F586" s="992">
        <f>E586/D586</f>
        <v>1</v>
      </c>
    </row>
    <row r="587" spans="1:6" x14ac:dyDescent="0.25">
      <c r="A587" s="952"/>
      <c r="B587" s="991" t="s">
        <v>331</v>
      </c>
      <c r="C587" s="608">
        <v>19518</v>
      </c>
      <c r="D587" s="608">
        <v>19518</v>
      </c>
      <c r="E587" s="1275">
        <v>19518</v>
      </c>
      <c r="F587" s="992">
        <f>E587/D587</f>
        <v>1</v>
      </c>
    </row>
    <row r="588" spans="1:6" x14ac:dyDescent="0.25">
      <c r="A588" s="952"/>
      <c r="B588" s="991" t="s">
        <v>330</v>
      </c>
      <c r="C588" s="608"/>
      <c r="D588" s="608"/>
      <c r="E588" s="1275"/>
      <c r="F588" s="992"/>
    </row>
    <row r="589" spans="1:6" x14ac:dyDescent="0.25">
      <c r="A589" s="952"/>
      <c r="B589" s="989" t="s">
        <v>329</v>
      </c>
      <c r="C589" s="618"/>
      <c r="D589" s="618"/>
      <c r="E589" s="1266"/>
      <c r="F589" s="992"/>
    </row>
    <row r="590" spans="1:6" x14ac:dyDescent="0.25">
      <c r="A590" s="952"/>
      <c r="B590" s="989" t="s">
        <v>328</v>
      </c>
      <c r="C590" s="618"/>
      <c r="D590" s="618"/>
      <c r="E590" s="1266"/>
      <c r="F590" s="992"/>
    </row>
    <row r="591" spans="1:6" x14ac:dyDescent="0.25">
      <c r="A591" s="952"/>
      <c r="B591" s="989" t="s">
        <v>327</v>
      </c>
      <c r="C591" s="618">
        <v>5270</v>
      </c>
      <c r="D591" s="618">
        <v>5270</v>
      </c>
      <c r="E591" s="1266">
        <v>5270</v>
      </c>
      <c r="F591" s="992">
        <f>E591/D591</f>
        <v>1</v>
      </c>
    </row>
    <row r="592" spans="1:6" x14ac:dyDescent="0.25">
      <c r="A592" s="952"/>
      <c r="B592" s="989" t="s">
        <v>326</v>
      </c>
      <c r="C592" s="618"/>
      <c r="D592" s="618"/>
      <c r="E592" s="1266"/>
      <c r="F592" s="992"/>
    </row>
    <row r="593" spans="1:6" x14ac:dyDescent="0.25">
      <c r="A593" s="952"/>
      <c r="B593" s="993" t="s">
        <v>325</v>
      </c>
      <c r="C593" s="618"/>
      <c r="D593" s="618"/>
      <c r="E593" s="1266"/>
      <c r="F593" s="992"/>
    </row>
    <row r="594" spans="1:6" x14ac:dyDescent="0.25">
      <c r="A594" s="952"/>
      <c r="B594" s="993" t="s">
        <v>324</v>
      </c>
      <c r="C594" s="618"/>
      <c r="D594" s="618"/>
      <c r="E594" s="1266"/>
      <c r="F594" s="992"/>
    </row>
    <row r="595" spans="1:6" ht="13.8" thickBot="1" x14ac:dyDescent="0.3">
      <c r="A595" s="952"/>
      <c r="B595" s="994" t="s">
        <v>323</v>
      </c>
      <c r="C595" s="618"/>
      <c r="D595" s="618"/>
      <c r="E595" s="1266"/>
      <c r="F595" s="1004"/>
    </row>
    <row r="596" spans="1:6" ht="13.8" thickBot="1" x14ac:dyDescent="0.3">
      <c r="A596" s="952"/>
      <c r="B596" s="995" t="s">
        <v>322</v>
      </c>
      <c r="C596" s="630">
        <f>SUM(C586+C589+C590+C591+C594+C595+C585+C592+C593)</f>
        <v>24988</v>
      </c>
      <c r="D596" s="630">
        <f>SUM(D586+D589+D590+D591+D594+D595+D585+D592+D593)</f>
        <v>24988</v>
      </c>
      <c r="E596" s="1280">
        <f>SUM(E586+E589+E590+E591+E594+E595+E585+E592+E593)</f>
        <v>24988</v>
      </c>
      <c r="F596" s="996">
        <f>E596/D596</f>
        <v>1</v>
      </c>
    </row>
    <row r="597" spans="1:6" ht="13.8" thickBot="1" x14ac:dyDescent="0.3">
      <c r="A597" s="952"/>
      <c r="B597" s="1026" t="s">
        <v>321</v>
      </c>
      <c r="C597" s="624"/>
      <c r="D597" s="624"/>
      <c r="E597" s="1273"/>
      <c r="F597" s="1004"/>
    </row>
    <row r="598" spans="1:6" ht="13.8" thickBot="1" x14ac:dyDescent="0.3">
      <c r="A598" s="959"/>
      <c r="B598" s="1092" t="s">
        <v>320</v>
      </c>
      <c r="C598" s="630">
        <f>SUM(C596+C584+C597)</f>
        <v>24988</v>
      </c>
      <c r="D598" s="630">
        <f>SUM(D596+D584+D597)</f>
        <v>24988</v>
      </c>
      <c r="E598" s="1280">
        <f>SUM(E596+E584+E597)</f>
        <v>24988</v>
      </c>
      <c r="F598" s="996">
        <f>E598/D598</f>
        <v>1</v>
      </c>
    </row>
    <row r="599" spans="1:6" x14ac:dyDescent="0.25">
      <c r="A599" s="952"/>
      <c r="B599" s="1089" t="s">
        <v>317</v>
      </c>
      <c r="C599" s="1090"/>
      <c r="D599" s="1090"/>
      <c r="E599" s="1296"/>
      <c r="F599" s="1091"/>
    </row>
    <row r="600" spans="1:6" ht="13.8" thickBot="1" x14ac:dyDescent="0.3">
      <c r="A600" s="952"/>
      <c r="B600" s="1093" t="s">
        <v>340</v>
      </c>
      <c r="C600" s="1094"/>
      <c r="D600" s="1094"/>
      <c r="E600" s="1297">
        <v>300</v>
      </c>
      <c r="F600" s="1095"/>
    </row>
    <row r="601" spans="1:6" ht="13.8" thickBot="1" x14ac:dyDescent="0.3">
      <c r="A601" s="959"/>
      <c r="B601" s="1096" t="s">
        <v>316</v>
      </c>
      <c r="C601" s="630"/>
      <c r="D601" s="630"/>
      <c r="E601" s="1280">
        <v>300</v>
      </c>
      <c r="F601" s="997"/>
    </row>
    <row r="602" spans="1:6" x14ac:dyDescent="0.25">
      <c r="A602" s="952"/>
      <c r="B602" s="1001" t="s">
        <v>311</v>
      </c>
      <c r="C602" s="618"/>
      <c r="D602" s="618"/>
      <c r="E602" s="1266">
        <v>49967</v>
      </c>
      <c r="F602" s="990"/>
    </row>
    <row r="603" spans="1:6" ht="13.8" thickBot="1" x14ac:dyDescent="0.3">
      <c r="A603" s="952"/>
      <c r="B603" s="1003" t="s">
        <v>314</v>
      </c>
      <c r="C603" s="641">
        <v>603209</v>
      </c>
      <c r="D603" s="641">
        <v>603209</v>
      </c>
      <c r="E603" s="1298">
        <f>603209+13703+6400</f>
        <v>623312</v>
      </c>
      <c r="F603" s="1004">
        <f>E603/D603</f>
        <v>1.0333267573925455</v>
      </c>
    </row>
    <row r="604" spans="1:6" ht="13.8" thickBot="1" x14ac:dyDescent="0.3">
      <c r="A604" s="952"/>
      <c r="B604" s="1007" t="s">
        <v>312</v>
      </c>
      <c r="C604" s="624">
        <f>SUM(C602:C603)</f>
        <v>603209</v>
      </c>
      <c r="D604" s="624">
        <f>SUM(D602:D603)</f>
        <v>603209</v>
      </c>
      <c r="E604" s="1273">
        <f>SUM(E602:E603)</f>
        <v>673279</v>
      </c>
      <c r="F604" s="996">
        <f>E604/D604</f>
        <v>1.1161620599162148</v>
      </c>
    </row>
    <row r="605" spans="1:6" ht="13.8" thickBot="1" x14ac:dyDescent="0.3">
      <c r="A605" s="952"/>
      <c r="B605" s="1006" t="s">
        <v>311</v>
      </c>
      <c r="C605" s="626"/>
      <c r="D605" s="626"/>
      <c r="E605" s="1276">
        <v>2091</v>
      </c>
      <c r="F605" s="1004"/>
    </row>
    <row r="606" spans="1:6" ht="13.8" thickBot="1" x14ac:dyDescent="0.3">
      <c r="A606" s="952"/>
      <c r="B606" s="1007" t="s">
        <v>310</v>
      </c>
      <c r="C606" s="624"/>
      <c r="D606" s="624"/>
      <c r="E606" s="1273">
        <f>SUM(E605)</f>
        <v>2091</v>
      </c>
      <c r="F606" s="1004"/>
    </row>
    <row r="607" spans="1:6" ht="14.4" thickBot="1" x14ac:dyDescent="0.3">
      <c r="A607" s="952"/>
      <c r="B607" s="1008" t="s">
        <v>309</v>
      </c>
      <c r="C607" s="624">
        <f>SUM(C598+C601+C604)+C606</f>
        <v>628197</v>
      </c>
      <c r="D607" s="624">
        <f>SUM(D598+D601+D604)+D606</f>
        <v>628197</v>
      </c>
      <c r="E607" s="1273">
        <f>SUM(E598+E601+E604)+E606</f>
        <v>700658</v>
      </c>
      <c r="F607" s="996">
        <f>E607/D607</f>
        <v>1.1153475740890197</v>
      </c>
    </row>
    <row r="608" spans="1:6" x14ac:dyDescent="0.25">
      <c r="A608" s="952"/>
      <c r="B608" s="1009" t="s">
        <v>308</v>
      </c>
      <c r="C608" s="618">
        <v>230455</v>
      </c>
      <c r="D608" s="618">
        <v>230455</v>
      </c>
      <c r="E608" s="1266">
        <f>230455+349+969+5000</f>
        <v>236773</v>
      </c>
      <c r="F608" s="992">
        <f>E608/D608</f>
        <v>1.0274153305417544</v>
      </c>
    </row>
    <row r="609" spans="1:6" x14ac:dyDescent="0.25">
      <c r="A609" s="952"/>
      <c r="B609" s="1009" t="s">
        <v>307</v>
      </c>
      <c r="C609" s="618">
        <v>35271</v>
      </c>
      <c r="D609" s="618">
        <v>35271</v>
      </c>
      <c r="E609" s="1266">
        <f>35271+2433+1400</f>
        <v>39104</v>
      </c>
      <c r="F609" s="992">
        <f>E609/D609</f>
        <v>1.1086728473817016</v>
      </c>
    </row>
    <row r="610" spans="1:6" x14ac:dyDescent="0.25">
      <c r="A610" s="952"/>
      <c r="B610" s="1009" t="s">
        <v>306</v>
      </c>
      <c r="C610" s="618">
        <v>347651</v>
      </c>
      <c r="D610" s="618">
        <v>347651</v>
      </c>
      <c r="E610" s="1266">
        <f>347651+11564+46565-3</f>
        <v>405777</v>
      </c>
      <c r="F610" s="992">
        <f>E610/D610</f>
        <v>1.1671964124941392</v>
      </c>
    </row>
    <row r="611" spans="1:6" x14ac:dyDescent="0.25">
      <c r="A611" s="952"/>
      <c r="B611" s="1009" t="s">
        <v>305</v>
      </c>
      <c r="C611" s="618"/>
      <c r="D611" s="618"/>
      <c r="E611" s="1266"/>
      <c r="F611" s="992"/>
    </row>
    <row r="612" spans="1:6" ht="13.8" thickBot="1" x14ac:dyDescent="0.3">
      <c r="A612" s="952"/>
      <c r="B612" s="1028" t="s">
        <v>304</v>
      </c>
      <c r="C612" s="626"/>
      <c r="D612" s="626"/>
      <c r="E612" s="1276">
        <v>3</v>
      </c>
      <c r="F612" s="992"/>
    </row>
    <row r="613" spans="1:6" ht="13.8" thickBot="1" x14ac:dyDescent="0.3">
      <c r="A613" s="959"/>
      <c r="B613" s="1017" t="s">
        <v>18</v>
      </c>
      <c r="C613" s="642">
        <f>SUM(C608:C612)</f>
        <v>613377</v>
      </c>
      <c r="D613" s="642">
        <f>SUM(D608:D612)</f>
        <v>613377</v>
      </c>
      <c r="E613" s="1299">
        <f>SUM(E608:E612)</f>
        <v>681657</v>
      </c>
      <c r="F613" s="996">
        <f>E613/D613</f>
        <v>1.1113181615874088</v>
      </c>
    </row>
    <row r="614" spans="1:6" x14ac:dyDescent="0.25">
      <c r="A614" s="952"/>
      <c r="B614" s="1029" t="s">
        <v>345</v>
      </c>
      <c r="C614" s="643"/>
      <c r="D614" s="643"/>
      <c r="E614" s="1300"/>
      <c r="F614" s="1030"/>
    </row>
    <row r="615" spans="1:6" x14ac:dyDescent="0.25">
      <c r="A615" s="952"/>
      <c r="B615" s="1009" t="s">
        <v>339</v>
      </c>
      <c r="C615" s="618">
        <v>14820</v>
      </c>
      <c r="D615" s="618">
        <v>14820</v>
      </c>
      <c r="E615" s="1266">
        <f>14820+1790+2091+300</f>
        <v>19001</v>
      </c>
      <c r="F615" s="992">
        <f>E615/D615</f>
        <v>1.2821187584345479</v>
      </c>
    </row>
    <row r="616" spans="1:6" x14ac:dyDescent="0.25">
      <c r="A616" s="952"/>
      <c r="B616" s="1009" t="s">
        <v>303</v>
      </c>
      <c r="C616" s="618"/>
      <c r="D616" s="618"/>
      <c r="E616" s="1266"/>
      <c r="F616" s="992"/>
    </row>
    <row r="617" spans="1:6" ht="13.8" thickBot="1" x14ac:dyDescent="0.3">
      <c r="A617" s="952"/>
      <c r="B617" s="1011" t="s">
        <v>302</v>
      </c>
      <c r="C617" s="626"/>
      <c r="D617" s="626"/>
      <c r="E617" s="1276"/>
      <c r="F617" s="1004"/>
    </row>
    <row r="618" spans="1:6" ht="13.8" thickBot="1" x14ac:dyDescent="0.3">
      <c r="A618" s="952"/>
      <c r="B618" s="1017" t="s">
        <v>19</v>
      </c>
      <c r="C618" s="624">
        <f>SUM(C615:C617)</f>
        <v>14820</v>
      </c>
      <c r="D618" s="624">
        <f>SUM(D615:D617)</f>
        <v>14820</v>
      </c>
      <c r="E618" s="1273">
        <f>SUM(E615:E617)</f>
        <v>19001</v>
      </c>
      <c r="F618" s="996">
        <f>E618/D618</f>
        <v>1.2821187584345479</v>
      </c>
    </row>
    <row r="619" spans="1:6" ht="14.4" thickBot="1" x14ac:dyDescent="0.3">
      <c r="A619" s="953"/>
      <c r="B619" s="1018" t="s">
        <v>42</v>
      </c>
      <c r="C619" s="624">
        <f>SUM(C613+C618)</f>
        <v>628197</v>
      </c>
      <c r="D619" s="624">
        <f>SUM(D613+D618)</f>
        <v>628197</v>
      </c>
      <c r="E619" s="1273">
        <f>SUM(E613+E618)</f>
        <v>700658</v>
      </c>
      <c r="F619" s="996">
        <f>E619/D619</f>
        <v>1.1153475740890197</v>
      </c>
    </row>
    <row r="620" spans="1:6" ht="13.8" x14ac:dyDescent="0.25">
      <c r="A620" s="955">
        <v>2986</v>
      </c>
      <c r="B620" s="1019" t="s">
        <v>344</v>
      </c>
      <c r="C620" s="618"/>
      <c r="D620" s="618"/>
      <c r="E620" s="1266"/>
      <c r="F620" s="990"/>
    </row>
    <row r="621" spans="1:6" x14ac:dyDescent="0.25">
      <c r="A621" s="952"/>
      <c r="B621" s="989" t="s">
        <v>337</v>
      </c>
      <c r="C621" s="1020"/>
      <c r="D621" s="1020"/>
      <c r="E621" s="1287"/>
      <c r="F621" s="992"/>
    </row>
    <row r="622" spans="1:6" ht="13.8" thickBot="1" x14ac:dyDescent="0.3">
      <c r="A622" s="952"/>
      <c r="B622" s="994" t="s">
        <v>336</v>
      </c>
      <c r="C622" s="632"/>
      <c r="D622" s="632"/>
      <c r="E622" s="1288"/>
      <c r="F622" s="1004"/>
    </row>
    <row r="623" spans="1:6" ht="13.8" thickBot="1" x14ac:dyDescent="0.3">
      <c r="A623" s="952"/>
      <c r="B623" s="995" t="s">
        <v>335</v>
      </c>
      <c r="C623" s="1021"/>
      <c r="D623" s="1021"/>
      <c r="E623" s="1289"/>
      <c r="F623" s="1004"/>
    </row>
    <row r="624" spans="1:6" x14ac:dyDescent="0.25">
      <c r="A624" s="952"/>
      <c r="B624" s="989" t="s">
        <v>332</v>
      </c>
      <c r="C624" s="618">
        <f>C625+C626</f>
        <v>28000</v>
      </c>
      <c r="D624" s="618">
        <f>D625+D626</f>
        <v>28000</v>
      </c>
      <c r="E624" s="1266">
        <f>E625+E626</f>
        <v>28000</v>
      </c>
      <c r="F624" s="992">
        <f>E624/D624</f>
        <v>1</v>
      </c>
    </row>
    <row r="625" spans="1:6" x14ac:dyDescent="0.25">
      <c r="A625" s="952"/>
      <c r="B625" s="991" t="s">
        <v>331</v>
      </c>
      <c r="C625" s="608">
        <v>28000</v>
      </c>
      <c r="D625" s="608">
        <v>28000</v>
      </c>
      <c r="E625" s="1275">
        <v>28000</v>
      </c>
      <c r="F625" s="992">
        <f>E625/D625</f>
        <v>1</v>
      </c>
    </row>
    <row r="626" spans="1:6" x14ac:dyDescent="0.25">
      <c r="A626" s="952"/>
      <c r="B626" s="991" t="s">
        <v>330</v>
      </c>
      <c r="C626" s="608"/>
      <c r="D626" s="608"/>
      <c r="E626" s="1275"/>
      <c r="F626" s="992"/>
    </row>
    <row r="627" spans="1:6" x14ac:dyDescent="0.25">
      <c r="A627" s="952"/>
      <c r="B627" s="989" t="s">
        <v>329</v>
      </c>
      <c r="C627" s="618"/>
      <c r="D627" s="618"/>
      <c r="E627" s="1266"/>
      <c r="F627" s="992"/>
    </row>
    <row r="628" spans="1:6" x14ac:dyDescent="0.25">
      <c r="A628" s="952"/>
      <c r="B628" s="989" t="s">
        <v>328</v>
      </c>
      <c r="C628" s="618"/>
      <c r="D628" s="618"/>
      <c r="E628" s="1266"/>
      <c r="F628" s="992"/>
    </row>
    <row r="629" spans="1:6" x14ac:dyDescent="0.25">
      <c r="A629" s="952"/>
      <c r="B629" s="989" t="s">
        <v>327</v>
      </c>
      <c r="C629" s="618">
        <v>7560</v>
      </c>
      <c r="D629" s="618">
        <v>7560</v>
      </c>
      <c r="E629" s="1266">
        <v>7560</v>
      </c>
      <c r="F629" s="992">
        <f>E629/D629</f>
        <v>1</v>
      </c>
    </row>
    <row r="630" spans="1:6" x14ac:dyDescent="0.25">
      <c r="A630" s="952"/>
      <c r="B630" s="989" t="s">
        <v>341</v>
      </c>
      <c r="C630" s="618">
        <v>5000</v>
      </c>
      <c r="D630" s="618">
        <v>5000</v>
      </c>
      <c r="E630" s="1266">
        <v>5000</v>
      </c>
      <c r="F630" s="992">
        <f>E630/D630</f>
        <v>1</v>
      </c>
    </row>
    <row r="631" spans="1:6" x14ac:dyDescent="0.25">
      <c r="A631" s="952"/>
      <c r="B631" s="993" t="s">
        <v>325</v>
      </c>
      <c r="C631" s="618"/>
      <c r="D631" s="618"/>
      <c r="E631" s="1266"/>
      <c r="F631" s="992"/>
    </row>
    <row r="632" spans="1:6" x14ac:dyDescent="0.25">
      <c r="A632" s="952"/>
      <c r="B632" s="993" t="s">
        <v>324</v>
      </c>
      <c r="C632" s="618"/>
      <c r="D632" s="618"/>
      <c r="E632" s="1266"/>
      <c r="F632" s="992"/>
    </row>
    <row r="633" spans="1:6" ht="13.8" thickBot="1" x14ac:dyDescent="0.3">
      <c r="A633" s="952"/>
      <c r="B633" s="994" t="s">
        <v>323</v>
      </c>
      <c r="C633" s="618"/>
      <c r="D633" s="618"/>
      <c r="E633" s="1266"/>
      <c r="F633" s="1004"/>
    </row>
    <row r="634" spans="1:6" ht="13.8" thickBot="1" x14ac:dyDescent="0.3">
      <c r="A634" s="952"/>
      <c r="B634" s="995" t="s">
        <v>322</v>
      </c>
      <c r="C634" s="630">
        <f>SUM(C624+C627+C628+C629+C632+C633+C630+C631)</f>
        <v>40560</v>
      </c>
      <c r="D634" s="630">
        <f>SUM(D624+D627+D628+D629+D632+D633+D630+D631)</f>
        <v>40560</v>
      </c>
      <c r="E634" s="1280">
        <f>SUM(E624+E627+E628+E629+E632+E633+E630+E631)</f>
        <v>40560</v>
      </c>
      <c r="F634" s="996">
        <f>E634/D634</f>
        <v>1</v>
      </c>
    </row>
    <row r="635" spans="1:6" ht="13.8" thickBot="1" x14ac:dyDescent="0.3">
      <c r="A635" s="952"/>
      <c r="B635" s="1026" t="s">
        <v>321</v>
      </c>
      <c r="C635" s="624"/>
      <c r="D635" s="624"/>
      <c r="E635" s="1273"/>
      <c r="F635" s="1004"/>
    </row>
    <row r="636" spans="1:6" ht="13.8" thickBot="1" x14ac:dyDescent="0.3">
      <c r="A636" s="952"/>
      <c r="B636" s="998" t="s">
        <v>320</v>
      </c>
      <c r="C636" s="624">
        <f>SUM(C634+C623+C635)</f>
        <v>40560</v>
      </c>
      <c r="D636" s="624">
        <f>SUM(D634+D623+D635)</f>
        <v>40560</v>
      </c>
      <c r="E636" s="1273">
        <f>SUM(E634+E623+E635)</f>
        <v>40560</v>
      </c>
      <c r="F636" s="996">
        <f>E636/D636</f>
        <v>1</v>
      </c>
    </row>
    <row r="637" spans="1:6" ht="13.8" thickBot="1" x14ac:dyDescent="0.3">
      <c r="A637" s="952"/>
      <c r="B637" s="1027" t="s">
        <v>317</v>
      </c>
      <c r="C637" s="626"/>
      <c r="D637" s="626"/>
      <c r="E637" s="1276"/>
      <c r="F637" s="1004"/>
    </row>
    <row r="638" spans="1:6" ht="13.8" thickBot="1" x14ac:dyDescent="0.3">
      <c r="A638" s="952"/>
      <c r="B638" s="1031" t="s">
        <v>340</v>
      </c>
      <c r="C638" s="626"/>
      <c r="D638" s="626"/>
      <c r="E638" s="1276"/>
      <c r="F638" s="1004"/>
    </row>
    <row r="639" spans="1:6" ht="13.8" thickBot="1" x14ac:dyDescent="0.3">
      <c r="A639" s="952"/>
      <c r="B639" s="1000" t="s">
        <v>316</v>
      </c>
      <c r="C639" s="624"/>
      <c r="D639" s="624"/>
      <c r="E639" s="1273"/>
      <c r="F639" s="1004"/>
    </row>
    <row r="640" spans="1:6" x14ac:dyDescent="0.25">
      <c r="A640" s="952"/>
      <c r="B640" s="1001" t="s">
        <v>311</v>
      </c>
      <c r="C640" s="618"/>
      <c r="D640" s="618"/>
      <c r="E640" s="1266">
        <v>2870</v>
      </c>
      <c r="F640" s="990"/>
    </row>
    <row r="641" spans="1:6" ht="13.8" thickBot="1" x14ac:dyDescent="0.3">
      <c r="A641" s="952"/>
      <c r="B641" s="1003" t="s">
        <v>314</v>
      </c>
      <c r="C641" s="626">
        <v>241279</v>
      </c>
      <c r="D641" s="626">
        <v>241279</v>
      </c>
      <c r="E641" s="1276">
        <f>241279+11006</f>
        <v>252285</v>
      </c>
      <c r="F641" s="1004">
        <f>E641/D641</f>
        <v>1.0456152421056122</v>
      </c>
    </row>
    <row r="642" spans="1:6" ht="13.8" thickBot="1" x14ac:dyDescent="0.3">
      <c r="A642" s="952"/>
      <c r="B642" s="1007" t="s">
        <v>312</v>
      </c>
      <c r="C642" s="624">
        <f>SUM(C640:C641)</f>
        <v>241279</v>
      </c>
      <c r="D642" s="624">
        <f>SUM(D640:D641)</f>
        <v>241279</v>
      </c>
      <c r="E642" s="1273">
        <f>SUM(E640:E641)</f>
        <v>255155</v>
      </c>
      <c r="F642" s="996">
        <f>E642/D642</f>
        <v>1.05751018530415</v>
      </c>
    </row>
    <row r="643" spans="1:6" ht="13.8" thickBot="1" x14ac:dyDescent="0.3">
      <c r="A643" s="952"/>
      <c r="B643" s="1006" t="s">
        <v>311</v>
      </c>
      <c r="C643" s="626"/>
      <c r="D643" s="626"/>
      <c r="E643" s="1276"/>
      <c r="F643" s="1004"/>
    </row>
    <row r="644" spans="1:6" ht="13.8" thickBot="1" x14ac:dyDescent="0.3">
      <c r="A644" s="952"/>
      <c r="B644" s="1007" t="s">
        <v>310</v>
      </c>
      <c r="C644" s="624"/>
      <c r="D644" s="624"/>
      <c r="E644" s="1273"/>
      <c r="F644" s="1004"/>
    </row>
    <row r="645" spans="1:6" ht="14.4" thickBot="1" x14ac:dyDescent="0.3">
      <c r="A645" s="952"/>
      <c r="B645" s="1008" t="s">
        <v>309</v>
      </c>
      <c r="C645" s="624">
        <f>SUM(C636+C639+C642)+C644</f>
        <v>281839</v>
      </c>
      <c r="D645" s="624">
        <f>SUM(D636+D639+D642)+D644</f>
        <v>281839</v>
      </c>
      <c r="E645" s="1273">
        <f>SUM(E636+E639+E642)+E644</f>
        <v>295715</v>
      </c>
      <c r="F645" s="996">
        <f>E645/D645</f>
        <v>1.0492337824076867</v>
      </c>
    </row>
    <row r="646" spans="1:6" x14ac:dyDescent="0.25">
      <c r="A646" s="952"/>
      <c r="B646" s="1009" t="s">
        <v>308</v>
      </c>
      <c r="C646" s="618">
        <v>129702</v>
      </c>
      <c r="D646" s="618">
        <v>129702</v>
      </c>
      <c r="E646" s="1266">
        <f>129702+117</f>
        <v>129819</v>
      </c>
      <c r="F646" s="992">
        <f>E646/D646</f>
        <v>1.000902067816996</v>
      </c>
    </row>
    <row r="647" spans="1:6" x14ac:dyDescent="0.25">
      <c r="A647" s="952"/>
      <c r="B647" s="1009" t="s">
        <v>307</v>
      </c>
      <c r="C647" s="618">
        <v>18203</v>
      </c>
      <c r="D647" s="618">
        <v>18203</v>
      </c>
      <c r="E647" s="1266">
        <f>18203+49</f>
        <v>18252</v>
      </c>
      <c r="F647" s="992">
        <f>E647/D647</f>
        <v>1.002691863978465</v>
      </c>
    </row>
    <row r="648" spans="1:6" x14ac:dyDescent="0.25">
      <c r="A648" s="952"/>
      <c r="B648" s="1009" t="s">
        <v>306</v>
      </c>
      <c r="C648" s="618">
        <v>128434</v>
      </c>
      <c r="D648" s="618">
        <v>128434</v>
      </c>
      <c r="E648" s="1266">
        <f>128434+11006+2704</f>
        <v>142144</v>
      </c>
      <c r="F648" s="992">
        <f>E648/D648</f>
        <v>1.1067474344799664</v>
      </c>
    </row>
    <row r="649" spans="1:6" x14ac:dyDescent="0.25">
      <c r="A649" s="952"/>
      <c r="B649" s="1009" t="s">
        <v>305</v>
      </c>
      <c r="C649" s="618"/>
      <c r="D649" s="618"/>
      <c r="E649" s="1266"/>
      <c r="F649" s="992"/>
    </row>
    <row r="650" spans="1:6" ht="13.8" thickBot="1" x14ac:dyDescent="0.3">
      <c r="A650" s="952"/>
      <c r="B650" s="1028" t="s">
        <v>304</v>
      </c>
      <c r="C650" s="626"/>
      <c r="D650" s="626"/>
      <c r="E650" s="1276"/>
      <c r="F650" s="1004"/>
    </row>
    <row r="651" spans="1:6" ht="13.8" thickBot="1" x14ac:dyDescent="0.3">
      <c r="A651" s="952"/>
      <c r="B651" s="1012" t="s">
        <v>18</v>
      </c>
      <c r="C651" s="624">
        <f>SUM(C646:C650)</f>
        <v>276339</v>
      </c>
      <c r="D651" s="624">
        <f>SUM(D646:D650)</f>
        <v>276339</v>
      </c>
      <c r="E651" s="1273">
        <f>SUM(E646:E650)</f>
        <v>290215</v>
      </c>
      <c r="F651" s="996">
        <f>E651/D651</f>
        <v>1.0502136868122125</v>
      </c>
    </row>
    <row r="652" spans="1:6" x14ac:dyDescent="0.25">
      <c r="A652" s="952"/>
      <c r="B652" s="1009" t="s">
        <v>339</v>
      </c>
      <c r="C652" s="618">
        <v>5500</v>
      </c>
      <c r="D652" s="618">
        <v>5500</v>
      </c>
      <c r="E652" s="1266">
        <v>5500</v>
      </c>
      <c r="F652" s="992">
        <f>E652/D652</f>
        <v>1</v>
      </c>
    </row>
    <row r="653" spans="1:6" x14ac:dyDescent="0.25">
      <c r="A653" s="952"/>
      <c r="B653" s="1009" t="s">
        <v>303</v>
      </c>
      <c r="C653" s="618"/>
      <c r="D653" s="618"/>
      <c r="E653" s="1266"/>
      <c r="F653" s="992"/>
    </row>
    <row r="654" spans="1:6" ht="13.8" thickBot="1" x14ac:dyDescent="0.3">
      <c r="A654" s="952"/>
      <c r="B654" s="1011" t="s">
        <v>302</v>
      </c>
      <c r="C654" s="626"/>
      <c r="D654" s="626"/>
      <c r="E654" s="1276"/>
      <c r="F654" s="1004"/>
    </row>
    <row r="655" spans="1:6" ht="13.8" thickBot="1" x14ac:dyDescent="0.3">
      <c r="A655" s="952"/>
      <c r="B655" s="1017" t="s">
        <v>19</v>
      </c>
      <c r="C655" s="624">
        <f>SUM(C652:C654)</f>
        <v>5500</v>
      </c>
      <c r="D655" s="624">
        <f>SUM(D652:D654)</f>
        <v>5500</v>
      </c>
      <c r="E655" s="1273">
        <f>SUM(E652:E654)</f>
        <v>5500</v>
      </c>
      <c r="F655" s="996">
        <f>E655/D655</f>
        <v>1</v>
      </c>
    </row>
    <row r="656" spans="1:6" ht="14.4" thickBot="1" x14ac:dyDescent="0.3">
      <c r="A656" s="953"/>
      <c r="B656" s="1018" t="s">
        <v>42</v>
      </c>
      <c r="C656" s="624">
        <f>SUM(C655,C651)</f>
        <v>281839</v>
      </c>
      <c r="D656" s="624">
        <f>SUM(D655,D651)</f>
        <v>281839</v>
      </c>
      <c r="E656" s="1273">
        <f>SUM(E655,E651)</f>
        <v>295715</v>
      </c>
      <c r="F656" s="996">
        <f>E656/D656</f>
        <v>1.0492337824076867</v>
      </c>
    </row>
    <row r="657" spans="1:6" ht="13.8" x14ac:dyDescent="0.25">
      <c r="A657" s="955">
        <v>2988</v>
      </c>
      <c r="B657" s="1019" t="s">
        <v>1433</v>
      </c>
      <c r="C657" s="618"/>
      <c r="D657" s="618"/>
      <c r="E657" s="1266"/>
      <c r="F657" s="990"/>
    </row>
    <row r="658" spans="1:6" x14ac:dyDescent="0.25">
      <c r="A658" s="952"/>
      <c r="B658" s="989" t="s">
        <v>337</v>
      </c>
      <c r="C658" s="1020"/>
      <c r="D658" s="1020"/>
      <c r="E658" s="1287"/>
      <c r="F658" s="992"/>
    </row>
    <row r="659" spans="1:6" ht="13.8" thickBot="1" x14ac:dyDescent="0.3">
      <c r="A659" s="952"/>
      <c r="B659" s="994" t="s">
        <v>336</v>
      </c>
      <c r="C659" s="632"/>
      <c r="D659" s="632"/>
      <c r="E659" s="1288"/>
      <c r="F659" s="1004"/>
    </row>
    <row r="660" spans="1:6" ht="13.8" thickBot="1" x14ac:dyDescent="0.3">
      <c r="A660" s="952"/>
      <c r="B660" s="995" t="s">
        <v>335</v>
      </c>
      <c r="C660" s="1021"/>
      <c r="D660" s="1021"/>
      <c r="E660" s="1289"/>
      <c r="F660" s="1004"/>
    </row>
    <row r="661" spans="1:6" x14ac:dyDescent="0.25">
      <c r="A661" s="952"/>
      <c r="B661" s="989" t="s">
        <v>332</v>
      </c>
      <c r="C661" s="618">
        <f>C662+C663</f>
        <v>0</v>
      </c>
      <c r="D661" s="618">
        <f>D662+D663</f>
        <v>3071</v>
      </c>
      <c r="E661" s="1266">
        <f>E662+E663</f>
        <v>3071</v>
      </c>
      <c r="F661" s="992"/>
    </row>
    <row r="662" spans="1:6" x14ac:dyDescent="0.25">
      <c r="A662" s="952"/>
      <c r="B662" s="991" t="s">
        <v>331</v>
      </c>
      <c r="C662" s="608">
        <v>0</v>
      </c>
      <c r="D662" s="608">
        <v>3071</v>
      </c>
      <c r="E662" s="1275">
        <v>3071</v>
      </c>
      <c r="F662" s="992"/>
    </row>
    <row r="663" spans="1:6" x14ac:dyDescent="0.25">
      <c r="A663" s="952"/>
      <c r="B663" s="991" t="s">
        <v>330</v>
      </c>
      <c r="C663" s="608"/>
      <c r="D663" s="608"/>
      <c r="E663" s="1275"/>
      <c r="F663" s="992"/>
    </row>
    <row r="664" spans="1:6" x14ac:dyDescent="0.25">
      <c r="A664" s="952"/>
      <c r="B664" s="989" t="s">
        <v>329</v>
      </c>
      <c r="C664" s="618"/>
      <c r="D664" s="618"/>
      <c r="E664" s="1266"/>
      <c r="F664" s="992"/>
    </row>
    <row r="665" spans="1:6" x14ac:dyDescent="0.25">
      <c r="A665" s="952"/>
      <c r="B665" s="989" t="s">
        <v>328</v>
      </c>
      <c r="C665" s="618"/>
      <c r="D665" s="618"/>
      <c r="E665" s="1266"/>
      <c r="F665" s="992"/>
    </row>
    <row r="666" spans="1:6" x14ac:dyDescent="0.25">
      <c r="A666" s="952"/>
      <c r="B666" s="989" t="s">
        <v>327</v>
      </c>
      <c r="C666" s="618">
        <v>0</v>
      </c>
      <c r="D666" s="618">
        <v>829</v>
      </c>
      <c r="E666" s="1266">
        <v>829</v>
      </c>
      <c r="F666" s="992"/>
    </row>
    <row r="667" spans="1:6" x14ac:dyDescent="0.25">
      <c r="A667" s="952"/>
      <c r="B667" s="989" t="s">
        <v>341</v>
      </c>
      <c r="C667" s="618">
        <v>0</v>
      </c>
      <c r="D667" s="618">
        <v>0</v>
      </c>
      <c r="E667" s="1266">
        <v>0</v>
      </c>
      <c r="F667" s="992"/>
    </row>
    <row r="668" spans="1:6" x14ac:dyDescent="0.25">
      <c r="A668" s="952"/>
      <c r="B668" s="993" t="s">
        <v>325</v>
      </c>
      <c r="C668" s="618"/>
      <c r="D668" s="618"/>
      <c r="E668" s="1266"/>
      <c r="F668" s="992"/>
    </row>
    <row r="669" spans="1:6" x14ac:dyDescent="0.25">
      <c r="A669" s="952"/>
      <c r="B669" s="993" t="s">
        <v>324</v>
      </c>
      <c r="C669" s="618"/>
      <c r="D669" s="618"/>
      <c r="E669" s="1266"/>
      <c r="F669" s="992"/>
    </row>
    <row r="670" spans="1:6" ht="13.8" thickBot="1" x14ac:dyDescent="0.3">
      <c r="A670" s="952"/>
      <c r="B670" s="994" t="s">
        <v>323</v>
      </c>
      <c r="C670" s="618"/>
      <c r="D670" s="618"/>
      <c r="E670" s="1266"/>
      <c r="F670" s="1004"/>
    </row>
    <row r="671" spans="1:6" ht="13.8" thickBot="1" x14ac:dyDescent="0.3">
      <c r="A671" s="952"/>
      <c r="B671" s="995" t="s">
        <v>322</v>
      </c>
      <c r="C671" s="630">
        <f>SUM(C661+C664+C665+C666+C669+C670+C667+C668)</f>
        <v>0</v>
      </c>
      <c r="D671" s="630">
        <f>SUM(D661+D664+D665+D666+D669+D670+D667+D668)</f>
        <v>3900</v>
      </c>
      <c r="E671" s="1280">
        <f>SUM(E661+E664+E665+E666+E669+E670+E667+E668)</f>
        <v>3900</v>
      </c>
      <c r="F671" s="996"/>
    </row>
    <row r="672" spans="1:6" ht="13.8" thickBot="1" x14ac:dyDescent="0.3">
      <c r="A672" s="952"/>
      <c r="B672" s="1026" t="s">
        <v>321</v>
      </c>
      <c r="C672" s="624"/>
      <c r="D672" s="624"/>
      <c r="E672" s="1273"/>
      <c r="F672" s="1004"/>
    </row>
    <row r="673" spans="1:6" ht="13.8" thickBot="1" x14ac:dyDescent="0.3">
      <c r="A673" s="952"/>
      <c r="B673" s="998" t="s">
        <v>320</v>
      </c>
      <c r="C673" s="630">
        <f>SUM(C671+C660+C672)</f>
        <v>0</v>
      </c>
      <c r="D673" s="630">
        <f>SUM(D671+D660+D672)</f>
        <v>3900</v>
      </c>
      <c r="E673" s="1280">
        <f>SUM(E671+E660+E672)</f>
        <v>3900</v>
      </c>
      <c r="F673" s="996"/>
    </row>
    <row r="674" spans="1:6" ht="13.8" thickBot="1" x14ac:dyDescent="0.3">
      <c r="A674" s="952"/>
      <c r="B674" s="1027" t="s">
        <v>317</v>
      </c>
      <c r="C674" s="626"/>
      <c r="D674" s="626"/>
      <c r="E674" s="1276"/>
      <c r="F674" s="1004"/>
    </row>
    <row r="675" spans="1:6" ht="13.8" thickBot="1" x14ac:dyDescent="0.3">
      <c r="A675" s="952"/>
      <c r="B675" s="1031" t="s">
        <v>340</v>
      </c>
      <c r="C675" s="626"/>
      <c r="D675" s="626"/>
      <c r="E675" s="1276"/>
      <c r="F675" s="1004"/>
    </row>
    <row r="676" spans="1:6" ht="13.8" thickBot="1" x14ac:dyDescent="0.3">
      <c r="A676" s="952"/>
      <c r="B676" s="1000" t="s">
        <v>316</v>
      </c>
      <c r="C676" s="624"/>
      <c r="D676" s="624"/>
      <c r="E676" s="1273"/>
      <c r="F676" s="1004"/>
    </row>
    <row r="677" spans="1:6" x14ac:dyDescent="0.25">
      <c r="A677" s="952"/>
      <c r="B677" s="1001" t="s">
        <v>311</v>
      </c>
      <c r="C677" s="618"/>
      <c r="D677" s="618"/>
      <c r="E677" s="1266"/>
      <c r="F677" s="990"/>
    </row>
    <row r="678" spans="1:6" ht="13.8" thickBot="1" x14ac:dyDescent="0.3">
      <c r="A678" s="952"/>
      <c r="B678" s="1003" t="s">
        <v>314</v>
      </c>
      <c r="C678" s="626">
        <v>0</v>
      </c>
      <c r="D678" s="626">
        <v>165231</v>
      </c>
      <c r="E678" s="1276">
        <v>165231</v>
      </c>
      <c r="F678" s="1004"/>
    </row>
    <row r="679" spans="1:6" ht="13.8" thickBot="1" x14ac:dyDescent="0.3">
      <c r="A679" s="952"/>
      <c r="B679" s="1007" t="s">
        <v>312</v>
      </c>
      <c r="C679" s="624">
        <f>SUM(C677:C678)</f>
        <v>0</v>
      </c>
      <c r="D679" s="624">
        <f>SUM(D677:D678)</f>
        <v>165231</v>
      </c>
      <c r="E679" s="1273">
        <f>SUM(E677:E678)</f>
        <v>165231</v>
      </c>
      <c r="F679" s="996"/>
    </row>
    <row r="680" spans="1:6" ht="13.8" thickBot="1" x14ac:dyDescent="0.3">
      <c r="A680" s="952"/>
      <c r="B680" s="1006" t="s">
        <v>311</v>
      </c>
      <c r="C680" s="626"/>
      <c r="D680" s="626"/>
      <c r="E680" s="1276"/>
      <c r="F680" s="1004"/>
    </row>
    <row r="681" spans="1:6" ht="13.8" thickBot="1" x14ac:dyDescent="0.3">
      <c r="A681" s="952"/>
      <c r="B681" s="1007" t="s">
        <v>310</v>
      </c>
      <c r="C681" s="624"/>
      <c r="D681" s="624"/>
      <c r="E681" s="1273"/>
      <c r="F681" s="1004"/>
    </row>
    <row r="682" spans="1:6" ht="14.4" thickBot="1" x14ac:dyDescent="0.3">
      <c r="A682" s="952"/>
      <c r="B682" s="1008" t="s">
        <v>309</v>
      </c>
      <c r="C682" s="630">
        <f>SUM(C673+C676+C679)+C681</f>
        <v>0</v>
      </c>
      <c r="D682" s="630">
        <f>SUM(D673+D676+D679)+D681</f>
        <v>169131</v>
      </c>
      <c r="E682" s="1280">
        <f>SUM(E673+E676+E679)+E681</f>
        <v>169131</v>
      </c>
      <c r="F682" s="996"/>
    </row>
    <row r="683" spans="1:6" x14ac:dyDescent="0.25">
      <c r="A683" s="952"/>
      <c r="B683" s="1009" t="s">
        <v>308</v>
      </c>
      <c r="C683" s="618">
        <v>0</v>
      </c>
      <c r="D683" s="618">
        <v>78605</v>
      </c>
      <c r="E683" s="1266">
        <v>78605</v>
      </c>
      <c r="F683" s="992"/>
    </row>
    <row r="684" spans="1:6" x14ac:dyDescent="0.25">
      <c r="A684" s="952"/>
      <c r="B684" s="1009" t="s">
        <v>307</v>
      </c>
      <c r="C684" s="618">
        <v>0</v>
      </c>
      <c r="D684" s="618">
        <v>5700</v>
      </c>
      <c r="E684" s="1266">
        <v>5700</v>
      </c>
      <c r="F684" s="992"/>
    </row>
    <row r="685" spans="1:6" x14ac:dyDescent="0.25">
      <c r="A685" s="952"/>
      <c r="B685" s="1009" t="s">
        <v>306</v>
      </c>
      <c r="C685" s="618">
        <v>0</v>
      </c>
      <c r="D685" s="618">
        <v>84191</v>
      </c>
      <c r="E685" s="1266">
        <v>84191</v>
      </c>
      <c r="F685" s="992"/>
    </row>
    <row r="686" spans="1:6" x14ac:dyDescent="0.25">
      <c r="A686" s="952"/>
      <c r="B686" s="1009" t="s">
        <v>305</v>
      </c>
      <c r="C686" s="618">
        <v>0</v>
      </c>
      <c r="D686" s="618">
        <v>0</v>
      </c>
      <c r="E686" s="1266">
        <v>0</v>
      </c>
      <c r="F686" s="992"/>
    </row>
    <row r="687" spans="1:6" ht="13.8" thickBot="1" x14ac:dyDescent="0.3">
      <c r="A687" s="952"/>
      <c r="B687" s="1028" t="s">
        <v>304</v>
      </c>
      <c r="C687" s="626">
        <v>0</v>
      </c>
      <c r="D687" s="626">
        <v>0</v>
      </c>
      <c r="E687" s="1276">
        <v>0</v>
      </c>
      <c r="F687" s="1004"/>
    </row>
    <row r="688" spans="1:6" ht="13.8" thickBot="1" x14ac:dyDescent="0.3">
      <c r="A688" s="952"/>
      <c r="B688" s="1012" t="s">
        <v>18</v>
      </c>
      <c r="C688" s="630">
        <f>SUM(C683:C687)</f>
        <v>0</v>
      </c>
      <c r="D688" s="630">
        <f>SUM(D683:D687)</f>
        <v>168496</v>
      </c>
      <c r="E688" s="1280">
        <f>SUM(E683:E687)</f>
        <v>168496</v>
      </c>
      <c r="F688" s="996"/>
    </row>
    <row r="689" spans="1:6" x14ac:dyDescent="0.25">
      <c r="A689" s="952"/>
      <c r="B689" s="1009" t="s">
        <v>339</v>
      </c>
      <c r="C689" s="618">
        <v>0</v>
      </c>
      <c r="D689" s="618">
        <v>635</v>
      </c>
      <c r="E689" s="1266">
        <v>635</v>
      </c>
      <c r="F689" s="992"/>
    </row>
    <row r="690" spans="1:6" x14ac:dyDescent="0.25">
      <c r="A690" s="952"/>
      <c r="B690" s="1009" t="s">
        <v>303</v>
      </c>
      <c r="C690" s="618"/>
      <c r="D690" s="618"/>
      <c r="E690" s="1266"/>
      <c r="F690" s="992"/>
    </row>
    <row r="691" spans="1:6" ht="13.8" thickBot="1" x14ac:dyDescent="0.3">
      <c r="A691" s="952"/>
      <c r="B691" s="1011" t="s">
        <v>302</v>
      </c>
      <c r="C691" s="626"/>
      <c r="D691" s="626"/>
      <c r="E691" s="1276"/>
      <c r="F691" s="1004"/>
    </row>
    <row r="692" spans="1:6" ht="13.8" thickBot="1" x14ac:dyDescent="0.3">
      <c r="A692" s="952"/>
      <c r="B692" s="1017" t="s">
        <v>19</v>
      </c>
      <c r="C692" s="630">
        <f>SUM(C689:C691)</f>
        <v>0</v>
      </c>
      <c r="D692" s="630">
        <f>SUM(D689:D691)</f>
        <v>635</v>
      </c>
      <c r="E692" s="1280">
        <f>SUM(E689:E691)</f>
        <v>635</v>
      </c>
      <c r="F692" s="996"/>
    </row>
    <row r="693" spans="1:6" ht="14.4" thickBot="1" x14ac:dyDescent="0.3">
      <c r="A693" s="953"/>
      <c r="B693" s="1018" t="s">
        <v>42</v>
      </c>
      <c r="C693" s="624">
        <f>SUM(C692,C688)</f>
        <v>0</v>
      </c>
      <c r="D693" s="624">
        <f>SUM(D692,D688)</f>
        <v>169131</v>
      </c>
      <c r="E693" s="1273">
        <f>SUM(E692,E688)</f>
        <v>169131</v>
      </c>
      <c r="F693" s="996"/>
    </row>
    <row r="694" spans="1:6" ht="13.8" x14ac:dyDescent="0.25">
      <c r="A694" s="955">
        <v>2987</v>
      </c>
      <c r="B694" s="1019" t="s">
        <v>343</v>
      </c>
      <c r="C694" s="618"/>
      <c r="D694" s="618"/>
      <c r="E694" s="1266"/>
      <c r="F694" s="990"/>
    </row>
    <row r="695" spans="1:6" x14ac:dyDescent="0.25">
      <c r="A695" s="952"/>
      <c r="B695" s="989" t="s">
        <v>337</v>
      </c>
      <c r="C695" s="1020"/>
      <c r="D695" s="1020"/>
      <c r="E695" s="1287"/>
      <c r="F695" s="992"/>
    </row>
    <row r="696" spans="1:6" ht="13.8" thickBot="1" x14ac:dyDescent="0.3">
      <c r="A696" s="952"/>
      <c r="B696" s="994" t="s">
        <v>336</v>
      </c>
      <c r="C696" s="632">
        <v>2535412</v>
      </c>
      <c r="D696" s="632">
        <v>2535412</v>
      </c>
      <c r="E696" s="1288">
        <v>2535412</v>
      </c>
      <c r="F696" s="1004"/>
    </row>
    <row r="697" spans="1:6" ht="13.8" thickBot="1" x14ac:dyDescent="0.3">
      <c r="A697" s="952"/>
      <c r="B697" s="995" t="s">
        <v>335</v>
      </c>
      <c r="C697" s="1021">
        <f>SUM(C696)</f>
        <v>2535412</v>
      </c>
      <c r="D697" s="1021">
        <f>SUM(D696)</f>
        <v>2535412</v>
      </c>
      <c r="E697" s="1289">
        <f>SUM(E696)</f>
        <v>2535412</v>
      </c>
      <c r="F697" s="1024"/>
    </row>
    <row r="698" spans="1:6" x14ac:dyDescent="0.25">
      <c r="A698" s="952"/>
      <c r="B698" s="989" t="s">
        <v>342</v>
      </c>
      <c r="C698" s="644"/>
      <c r="D698" s="644"/>
      <c r="E698" s="1301"/>
      <c r="F698" s="1032"/>
    </row>
    <row r="699" spans="1:6" x14ac:dyDescent="0.25">
      <c r="A699" s="952"/>
      <c r="B699" s="989" t="s">
        <v>332</v>
      </c>
      <c r="C699" s="618">
        <f>SUM(C700:C701)</f>
        <v>43832</v>
      </c>
      <c r="D699" s="618">
        <f>SUM(D700:D701)</f>
        <v>43832</v>
      </c>
      <c r="E699" s="1266">
        <f>SUM(E700:E701)</f>
        <v>43832</v>
      </c>
      <c r="F699" s="992"/>
    </row>
    <row r="700" spans="1:6" x14ac:dyDescent="0.25">
      <c r="A700" s="952"/>
      <c r="B700" s="991" t="s">
        <v>331</v>
      </c>
      <c r="C700" s="608">
        <v>13264</v>
      </c>
      <c r="D700" s="608">
        <v>13264</v>
      </c>
      <c r="E700" s="1275">
        <v>13264</v>
      </c>
      <c r="F700" s="992"/>
    </row>
    <row r="701" spans="1:6" x14ac:dyDescent="0.25">
      <c r="A701" s="952"/>
      <c r="B701" s="991" t="s">
        <v>330</v>
      </c>
      <c r="C701" s="608">
        <v>30568</v>
      </c>
      <c r="D701" s="608">
        <v>30568</v>
      </c>
      <c r="E701" s="1275">
        <v>30568</v>
      </c>
      <c r="F701" s="992"/>
    </row>
    <row r="702" spans="1:6" x14ac:dyDescent="0.25">
      <c r="A702" s="952"/>
      <c r="B702" s="989" t="s">
        <v>329</v>
      </c>
      <c r="C702" s="618">
        <v>18700</v>
      </c>
      <c r="D702" s="618">
        <v>18700</v>
      </c>
      <c r="E702" s="1266">
        <v>18700</v>
      </c>
      <c r="F702" s="992"/>
    </row>
    <row r="703" spans="1:6" x14ac:dyDescent="0.25">
      <c r="A703" s="952"/>
      <c r="B703" s="989" t="s">
        <v>328</v>
      </c>
      <c r="C703" s="618"/>
      <c r="D703" s="618"/>
      <c r="E703" s="1266"/>
      <c r="F703" s="992"/>
    </row>
    <row r="704" spans="1:6" x14ac:dyDescent="0.25">
      <c r="A704" s="952"/>
      <c r="B704" s="989" t="s">
        <v>327</v>
      </c>
      <c r="C704" s="618"/>
      <c r="D704" s="618"/>
      <c r="E704" s="1266"/>
      <c r="F704" s="992"/>
    </row>
    <row r="705" spans="1:6" x14ac:dyDescent="0.25">
      <c r="A705" s="952"/>
      <c r="B705" s="989" t="s">
        <v>341</v>
      </c>
      <c r="C705" s="618"/>
      <c r="D705" s="618"/>
      <c r="E705" s="1266"/>
      <c r="F705" s="992"/>
    </row>
    <row r="706" spans="1:6" x14ac:dyDescent="0.25">
      <c r="A706" s="952"/>
      <c r="B706" s="993" t="s">
        <v>325</v>
      </c>
      <c r="C706" s="618"/>
      <c r="D706" s="618"/>
      <c r="E706" s="1266"/>
      <c r="F706" s="992"/>
    </row>
    <row r="707" spans="1:6" x14ac:dyDescent="0.25">
      <c r="A707" s="952"/>
      <c r="B707" s="993" t="s">
        <v>324</v>
      </c>
      <c r="C707" s="618"/>
      <c r="D707" s="618"/>
      <c r="E707" s="1266"/>
      <c r="F707" s="992"/>
    </row>
    <row r="708" spans="1:6" ht="13.8" thickBot="1" x14ac:dyDescent="0.3">
      <c r="A708" s="952"/>
      <c r="B708" s="994" t="s">
        <v>323</v>
      </c>
      <c r="C708" s="618">
        <v>29925</v>
      </c>
      <c r="D708" s="618">
        <v>29925</v>
      </c>
      <c r="E708" s="1266">
        <v>29925</v>
      </c>
      <c r="F708" s="1004"/>
    </row>
    <row r="709" spans="1:6" ht="13.8" thickBot="1" x14ac:dyDescent="0.3">
      <c r="A709" s="952"/>
      <c r="B709" s="995" t="s">
        <v>322</v>
      </c>
      <c r="C709" s="630">
        <f>SUM(C699+C702+C703+C704+C707+C708+C705+C706+C698)</f>
        <v>92457</v>
      </c>
      <c r="D709" s="630">
        <f>SUM(D699+D702+D703+D704+D707+D708+D705+D706+D698)</f>
        <v>92457</v>
      </c>
      <c r="E709" s="1280">
        <f>SUM(E699+E702+E703+E704+E707+E708+E705+E706+E698)</f>
        <v>92457</v>
      </c>
      <c r="F709" s="1024"/>
    </row>
    <row r="710" spans="1:6" ht="13.8" thickBot="1" x14ac:dyDescent="0.3">
      <c r="A710" s="952"/>
      <c r="B710" s="1026" t="s">
        <v>321</v>
      </c>
      <c r="C710" s="624"/>
      <c r="D710" s="624"/>
      <c r="E710" s="1273"/>
      <c r="F710" s="1004"/>
    </row>
    <row r="711" spans="1:6" ht="13.8" thickBot="1" x14ac:dyDescent="0.3">
      <c r="A711" s="952"/>
      <c r="B711" s="998" t="s">
        <v>320</v>
      </c>
      <c r="C711" s="624">
        <f>SUM(C709+C697+C710)</f>
        <v>2627869</v>
      </c>
      <c r="D711" s="624">
        <f>SUM(D709+D697+D710)</f>
        <v>2627869</v>
      </c>
      <c r="E711" s="1273">
        <f>SUM(E709+E697+E710)</f>
        <v>2627869</v>
      </c>
      <c r="F711" s="1024"/>
    </row>
    <row r="712" spans="1:6" ht="13.8" thickBot="1" x14ac:dyDescent="0.3">
      <c r="A712" s="952"/>
      <c r="B712" s="1027" t="s">
        <v>317</v>
      </c>
      <c r="C712" s="626"/>
      <c r="D712" s="626"/>
      <c r="E712" s="1276"/>
      <c r="F712" s="1004"/>
    </row>
    <row r="713" spans="1:6" ht="13.8" thickBot="1" x14ac:dyDescent="0.3">
      <c r="A713" s="952"/>
      <c r="B713" s="1031" t="s">
        <v>340</v>
      </c>
      <c r="C713" s="626"/>
      <c r="D713" s="626"/>
      <c r="E713" s="1276"/>
      <c r="F713" s="1004"/>
    </row>
    <row r="714" spans="1:6" ht="13.8" thickBot="1" x14ac:dyDescent="0.3">
      <c r="A714" s="952"/>
      <c r="B714" s="1000" t="s">
        <v>316</v>
      </c>
      <c r="C714" s="624"/>
      <c r="D714" s="624"/>
      <c r="E714" s="1273"/>
      <c r="F714" s="1004"/>
    </row>
    <row r="715" spans="1:6" x14ac:dyDescent="0.25">
      <c r="A715" s="952"/>
      <c r="B715" s="1001" t="s">
        <v>311</v>
      </c>
      <c r="C715" s="618"/>
      <c r="D715" s="618"/>
      <c r="E715" s="1266">
        <v>2164</v>
      </c>
      <c r="F715" s="990"/>
    </row>
    <row r="716" spans="1:6" ht="13.8" thickBot="1" x14ac:dyDescent="0.3">
      <c r="A716" s="952"/>
      <c r="B716" s="1003" t="s">
        <v>314</v>
      </c>
      <c r="C716" s="626">
        <v>880540</v>
      </c>
      <c r="D716" s="626">
        <v>880540</v>
      </c>
      <c r="E716" s="1276">
        <f>880540+37419</f>
        <v>917959</v>
      </c>
      <c r="F716" s="1004"/>
    </row>
    <row r="717" spans="1:6" ht="13.8" thickBot="1" x14ac:dyDescent="0.3">
      <c r="A717" s="952"/>
      <c r="B717" s="1007" t="s">
        <v>312</v>
      </c>
      <c r="C717" s="624">
        <f>SUM(C715:C716)</f>
        <v>880540</v>
      </c>
      <c r="D717" s="624">
        <f>SUM(D715:D716)</f>
        <v>880540</v>
      </c>
      <c r="E717" s="1273">
        <f>SUM(E715:E716)</f>
        <v>920123</v>
      </c>
      <c r="F717" s="1024"/>
    </row>
    <row r="718" spans="1:6" ht="13.8" thickBot="1" x14ac:dyDescent="0.3">
      <c r="A718" s="952"/>
      <c r="B718" s="1006" t="s">
        <v>311</v>
      </c>
      <c r="C718" s="626"/>
      <c r="D718" s="626"/>
      <c r="E718" s="1276"/>
      <c r="F718" s="1004"/>
    </row>
    <row r="719" spans="1:6" ht="13.8" thickBot="1" x14ac:dyDescent="0.3">
      <c r="A719" s="952"/>
      <c r="B719" s="1007" t="s">
        <v>310</v>
      </c>
      <c r="C719" s="624"/>
      <c r="D719" s="624"/>
      <c r="E719" s="1273"/>
      <c r="F719" s="1004"/>
    </row>
    <row r="720" spans="1:6" ht="14.4" thickBot="1" x14ac:dyDescent="0.3">
      <c r="A720" s="952"/>
      <c r="B720" s="1008" t="s">
        <v>309</v>
      </c>
      <c r="C720" s="624">
        <f>SUM(C711+C714+C717)+C719</f>
        <v>3508409</v>
      </c>
      <c r="D720" s="624">
        <f>SUM(D711+D714+D717)+D719</f>
        <v>3508409</v>
      </c>
      <c r="E720" s="1273">
        <f>SUM(E711+E714+E717)+E719</f>
        <v>3547992</v>
      </c>
      <c r="F720" s="1024"/>
    </row>
    <row r="721" spans="1:6" x14ac:dyDescent="0.25">
      <c r="A721" s="952"/>
      <c r="B721" s="1009" t="s">
        <v>308</v>
      </c>
      <c r="C721" s="618">
        <v>2467269</v>
      </c>
      <c r="D721" s="618">
        <v>2467269</v>
      </c>
      <c r="E721" s="1266">
        <f>2467269+29233</f>
        <v>2496502</v>
      </c>
      <c r="F721" s="990"/>
    </row>
    <row r="722" spans="1:6" x14ac:dyDescent="0.25">
      <c r="A722" s="952"/>
      <c r="B722" s="1009" t="s">
        <v>307</v>
      </c>
      <c r="C722" s="618">
        <v>243337</v>
      </c>
      <c r="D722" s="618">
        <v>243337</v>
      </c>
      <c r="E722" s="1266">
        <f>243337+8186</f>
        <v>251523</v>
      </c>
      <c r="F722" s="992"/>
    </row>
    <row r="723" spans="1:6" x14ac:dyDescent="0.25">
      <c r="A723" s="952"/>
      <c r="B723" s="1009" t="s">
        <v>306</v>
      </c>
      <c r="C723" s="618">
        <v>737789</v>
      </c>
      <c r="D723" s="618">
        <v>737789</v>
      </c>
      <c r="E723" s="1266">
        <f>737789+2164</f>
        <v>739953</v>
      </c>
      <c r="F723" s="992"/>
    </row>
    <row r="724" spans="1:6" x14ac:dyDescent="0.25">
      <c r="A724" s="952"/>
      <c r="B724" s="1009" t="s">
        <v>305</v>
      </c>
      <c r="C724" s="618"/>
      <c r="D724" s="618"/>
      <c r="E724" s="1266"/>
      <c r="F724" s="992"/>
    </row>
    <row r="725" spans="1:6" ht="13.8" thickBot="1" x14ac:dyDescent="0.3">
      <c r="A725" s="952"/>
      <c r="B725" s="1028" t="s">
        <v>304</v>
      </c>
      <c r="C725" s="626"/>
      <c r="D725" s="626"/>
      <c r="E725" s="1276"/>
      <c r="F725" s="1004"/>
    </row>
    <row r="726" spans="1:6" ht="13.8" thickBot="1" x14ac:dyDescent="0.3">
      <c r="A726" s="952"/>
      <c r="B726" s="1012" t="s">
        <v>18</v>
      </c>
      <c r="C726" s="624">
        <f>SUM(C721:C725)</f>
        <v>3448395</v>
      </c>
      <c r="D726" s="624">
        <f>SUM(D721:D725)</f>
        <v>3448395</v>
      </c>
      <c r="E726" s="1273">
        <f>SUM(E721:E725)</f>
        <v>3487978</v>
      </c>
      <c r="F726" s="1024"/>
    </row>
    <row r="727" spans="1:6" x14ac:dyDescent="0.25">
      <c r="A727" s="952"/>
      <c r="B727" s="1009" t="s">
        <v>339</v>
      </c>
      <c r="C727" s="618">
        <v>39059</v>
      </c>
      <c r="D727" s="618">
        <v>39059</v>
      </c>
      <c r="E727" s="1266">
        <v>39059</v>
      </c>
      <c r="F727" s="990"/>
    </row>
    <row r="728" spans="1:6" x14ac:dyDescent="0.25">
      <c r="A728" s="952"/>
      <c r="B728" s="1009" t="s">
        <v>303</v>
      </c>
      <c r="C728" s="618">
        <v>20955</v>
      </c>
      <c r="D728" s="618">
        <v>20955</v>
      </c>
      <c r="E728" s="1266">
        <v>20955</v>
      </c>
      <c r="F728" s="992"/>
    </row>
    <row r="729" spans="1:6" ht="13.8" thickBot="1" x14ac:dyDescent="0.3">
      <c r="A729" s="952"/>
      <c r="B729" s="1011" t="s">
        <v>302</v>
      </c>
      <c r="C729" s="626"/>
      <c r="D729" s="626"/>
      <c r="E729" s="1276"/>
      <c r="F729" s="1004"/>
    </row>
    <row r="730" spans="1:6" ht="13.8" thickBot="1" x14ac:dyDescent="0.3">
      <c r="A730" s="952"/>
      <c r="B730" s="1017" t="s">
        <v>19</v>
      </c>
      <c r="C730" s="624">
        <f>SUM(C727:C729)</f>
        <v>60014</v>
      </c>
      <c r="D730" s="624">
        <f>SUM(D727:D729)</f>
        <v>60014</v>
      </c>
      <c r="E730" s="1273">
        <f>SUM(E727:E729)</f>
        <v>60014</v>
      </c>
      <c r="F730" s="1024"/>
    </row>
    <row r="731" spans="1:6" ht="14.4" thickBot="1" x14ac:dyDescent="0.3">
      <c r="A731" s="953"/>
      <c r="B731" s="1018" t="s">
        <v>42</v>
      </c>
      <c r="C731" s="624">
        <f>SUM(C730,C726)</f>
        <v>3508409</v>
      </c>
      <c r="D731" s="624">
        <f>SUM(D730,D726)</f>
        <v>3508409</v>
      </c>
      <c r="E731" s="1273">
        <f>SUM(E730,E726)</f>
        <v>3547992</v>
      </c>
      <c r="F731" s="1024"/>
    </row>
    <row r="732" spans="1:6" ht="31.5" customHeight="1" x14ac:dyDescent="0.25">
      <c r="A732" s="955">
        <v>2991</v>
      </c>
      <c r="B732" s="1019" t="s">
        <v>338</v>
      </c>
      <c r="C732" s="631"/>
      <c r="D732" s="631"/>
      <c r="E732" s="1293"/>
      <c r="F732" s="990"/>
    </row>
    <row r="733" spans="1:6" x14ac:dyDescent="0.25">
      <c r="A733" s="952"/>
      <c r="B733" s="989" t="s">
        <v>337</v>
      </c>
      <c r="C733" s="618">
        <f t="shared" ref="C733:E734" si="60">SUM(C695+C658+C621+C582+C544+C432+C325)</f>
        <v>0</v>
      </c>
      <c r="D733" s="618">
        <f t="shared" si="60"/>
        <v>0</v>
      </c>
      <c r="E733" s="1266">
        <f t="shared" si="60"/>
        <v>0</v>
      </c>
      <c r="F733" s="992"/>
    </row>
    <row r="734" spans="1:6" ht="13.8" thickBot="1" x14ac:dyDescent="0.3">
      <c r="A734" s="952"/>
      <c r="B734" s="994" t="s">
        <v>336</v>
      </c>
      <c r="C734" s="618">
        <f t="shared" si="60"/>
        <v>2535412</v>
      </c>
      <c r="D734" s="618">
        <f t="shared" si="60"/>
        <v>2535412</v>
      </c>
      <c r="E734" s="1266">
        <f t="shared" si="60"/>
        <v>2535412</v>
      </c>
      <c r="F734" s="1004">
        <f>E734/D734</f>
        <v>1</v>
      </c>
    </row>
    <row r="735" spans="1:6" ht="13.8" thickBot="1" x14ac:dyDescent="0.3">
      <c r="A735" s="952"/>
      <c r="B735" s="995" t="s">
        <v>335</v>
      </c>
      <c r="C735" s="630">
        <f>SUM(C734)</f>
        <v>2535412</v>
      </c>
      <c r="D735" s="630">
        <f>SUM(D734)</f>
        <v>2535412</v>
      </c>
      <c r="E735" s="1280">
        <f>SUM(E734)</f>
        <v>2535412</v>
      </c>
      <c r="F735" s="996">
        <f>E735/D735</f>
        <v>1</v>
      </c>
    </row>
    <row r="736" spans="1:6" x14ac:dyDescent="0.25">
      <c r="A736" s="952"/>
      <c r="B736" s="989"/>
      <c r="C736" s="644"/>
      <c r="D736" s="644"/>
      <c r="E736" s="1301"/>
      <c r="F736" s="990"/>
    </row>
    <row r="737" spans="1:6" ht="13.8" thickBot="1" x14ac:dyDescent="0.3">
      <c r="A737" s="952"/>
      <c r="B737" s="989"/>
      <c r="C737" s="644"/>
      <c r="D737" s="644"/>
      <c r="E737" s="1301"/>
      <c r="F737" s="992"/>
    </row>
    <row r="738" spans="1:6" ht="13.8" thickBot="1" x14ac:dyDescent="0.3">
      <c r="A738" s="952"/>
      <c r="B738" s="995" t="s">
        <v>334</v>
      </c>
      <c r="C738" s="630">
        <f>SUM(C736:C737)</f>
        <v>0</v>
      </c>
      <c r="D738" s="630">
        <f>SUM(D736:D737)</f>
        <v>0</v>
      </c>
      <c r="E738" s="1280">
        <f>SUM(E736:E737)</f>
        <v>0</v>
      </c>
      <c r="F738" s="996"/>
    </row>
    <row r="739" spans="1:6" x14ac:dyDescent="0.25">
      <c r="A739" s="952"/>
      <c r="B739" s="989" t="s">
        <v>333</v>
      </c>
      <c r="C739" s="618">
        <f>SUM(C585+C698)</f>
        <v>200</v>
      </c>
      <c r="D739" s="618">
        <f>SUM(D585+D698)</f>
        <v>200</v>
      </c>
      <c r="E739" s="1266">
        <f>SUM(E585+E698)</f>
        <v>200</v>
      </c>
      <c r="F739" s="992">
        <f t="shared" ref="F739:F746" si="61">E739/D739</f>
        <v>1</v>
      </c>
    </row>
    <row r="740" spans="1:6" x14ac:dyDescent="0.25">
      <c r="A740" s="952"/>
      <c r="B740" s="989" t="s">
        <v>332</v>
      </c>
      <c r="C740" s="618">
        <f>SUM(C741:C742)</f>
        <v>217350</v>
      </c>
      <c r="D740" s="618">
        <f>SUM(D741:D742)</f>
        <v>220421</v>
      </c>
      <c r="E740" s="1266">
        <f>SUM(E741:E742)</f>
        <v>216821</v>
      </c>
      <c r="F740" s="992">
        <f t="shared" si="61"/>
        <v>0.98366761787669954</v>
      </c>
    </row>
    <row r="741" spans="1:6" x14ac:dyDescent="0.25">
      <c r="A741" s="952"/>
      <c r="B741" s="991" t="s">
        <v>331</v>
      </c>
      <c r="C741" s="608">
        <f t="shared" ref="C741:E749" si="62">C700+C625+C587+C548+C436+C329+C662</f>
        <v>111777</v>
      </c>
      <c r="D741" s="608">
        <f t="shared" si="62"/>
        <v>114848</v>
      </c>
      <c r="E741" s="1275">
        <f t="shared" si="62"/>
        <v>111248</v>
      </c>
      <c r="F741" s="992">
        <f t="shared" si="61"/>
        <v>0.96865422123154077</v>
      </c>
    </row>
    <row r="742" spans="1:6" x14ac:dyDescent="0.25">
      <c r="A742" s="952"/>
      <c r="B742" s="991" t="s">
        <v>330</v>
      </c>
      <c r="C742" s="608">
        <f t="shared" si="62"/>
        <v>105573</v>
      </c>
      <c r="D742" s="608">
        <f t="shared" si="62"/>
        <v>105573</v>
      </c>
      <c r="E742" s="1275">
        <f t="shared" si="62"/>
        <v>105573</v>
      </c>
      <c r="F742" s="992">
        <f t="shared" si="61"/>
        <v>1</v>
      </c>
    </row>
    <row r="743" spans="1:6" x14ac:dyDescent="0.25">
      <c r="A743" s="952"/>
      <c r="B743" s="989" t="s">
        <v>329</v>
      </c>
      <c r="C743" s="608">
        <f t="shared" si="62"/>
        <v>25200</v>
      </c>
      <c r="D743" s="608">
        <f t="shared" si="62"/>
        <v>23728</v>
      </c>
      <c r="E743" s="1275">
        <f t="shared" si="62"/>
        <v>23728</v>
      </c>
      <c r="F743" s="992">
        <f t="shared" si="61"/>
        <v>1</v>
      </c>
    </row>
    <row r="744" spans="1:6" x14ac:dyDescent="0.25">
      <c r="A744" s="952"/>
      <c r="B744" s="989" t="s">
        <v>328</v>
      </c>
      <c r="C744" s="608">
        <f t="shared" si="62"/>
        <v>288465</v>
      </c>
      <c r="D744" s="608">
        <f t="shared" si="62"/>
        <v>288465</v>
      </c>
      <c r="E744" s="1275">
        <f t="shared" si="62"/>
        <v>292065</v>
      </c>
      <c r="F744" s="992">
        <f t="shared" si="61"/>
        <v>1.0124798502417971</v>
      </c>
    </row>
    <row r="745" spans="1:6" x14ac:dyDescent="0.25">
      <c r="A745" s="952"/>
      <c r="B745" s="989" t="s">
        <v>327</v>
      </c>
      <c r="C745" s="608">
        <f t="shared" si="62"/>
        <v>121272</v>
      </c>
      <c r="D745" s="608">
        <f t="shared" si="62"/>
        <v>121704</v>
      </c>
      <c r="E745" s="1275">
        <f t="shared" si="62"/>
        <v>121704</v>
      </c>
      <c r="F745" s="992">
        <f t="shared" si="61"/>
        <v>1</v>
      </c>
    </row>
    <row r="746" spans="1:6" x14ac:dyDescent="0.25">
      <c r="A746" s="952"/>
      <c r="B746" s="989" t="s">
        <v>326</v>
      </c>
      <c r="C746" s="608">
        <f t="shared" si="62"/>
        <v>73000</v>
      </c>
      <c r="D746" s="608">
        <f t="shared" si="62"/>
        <v>73000</v>
      </c>
      <c r="E746" s="1275">
        <f t="shared" si="62"/>
        <v>73000</v>
      </c>
      <c r="F746" s="992">
        <f t="shared" si="61"/>
        <v>1</v>
      </c>
    </row>
    <row r="747" spans="1:6" x14ac:dyDescent="0.25">
      <c r="A747" s="952"/>
      <c r="B747" s="993" t="s">
        <v>325</v>
      </c>
      <c r="C747" s="608">
        <f t="shared" si="62"/>
        <v>0</v>
      </c>
      <c r="D747" s="608">
        <f t="shared" si="62"/>
        <v>0</v>
      </c>
      <c r="E747" s="1275">
        <f t="shared" si="62"/>
        <v>0</v>
      </c>
      <c r="F747" s="992"/>
    </row>
    <row r="748" spans="1:6" x14ac:dyDescent="0.25">
      <c r="A748" s="952"/>
      <c r="B748" s="993" t="s">
        <v>324</v>
      </c>
      <c r="C748" s="608">
        <f t="shared" si="62"/>
        <v>0</v>
      </c>
      <c r="D748" s="608">
        <f t="shared" si="62"/>
        <v>0</v>
      </c>
      <c r="E748" s="1275">
        <f t="shared" si="62"/>
        <v>0</v>
      </c>
      <c r="F748" s="992"/>
    </row>
    <row r="749" spans="1:6" ht="13.8" thickBot="1" x14ac:dyDescent="0.3">
      <c r="A749" s="952"/>
      <c r="B749" s="994" t="s">
        <v>323</v>
      </c>
      <c r="C749" s="608">
        <f t="shared" si="62"/>
        <v>29925</v>
      </c>
      <c r="D749" s="608">
        <f t="shared" si="62"/>
        <v>29925</v>
      </c>
      <c r="E749" s="1275">
        <f t="shared" si="62"/>
        <v>29925</v>
      </c>
      <c r="F749" s="992">
        <f>E749/D749</f>
        <v>1</v>
      </c>
    </row>
    <row r="750" spans="1:6" ht="13.8" thickBot="1" x14ac:dyDescent="0.3">
      <c r="A750" s="952"/>
      <c r="B750" s="995" t="s">
        <v>322</v>
      </c>
      <c r="C750" s="630">
        <f>SUM(C740+C743+C744+C745+C748+C749+C746+C747+C739)</f>
        <v>755412</v>
      </c>
      <c r="D750" s="630">
        <f>SUM(D740+D743+D744+D745+D748+D749+D746+D747+D739)</f>
        <v>757443</v>
      </c>
      <c r="E750" s="1280">
        <f>SUM(E740+E743+E744+E745+E748+E749+E746+E747+E739)</f>
        <v>757443</v>
      </c>
      <c r="F750" s="996">
        <f>E750/D750</f>
        <v>1</v>
      </c>
    </row>
    <row r="751" spans="1:6" ht="13.8" thickBot="1" x14ac:dyDescent="0.3">
      <c r="A751" s="952"/>
      <c r="B751" s="1026" t="s">
        <v>321</v>
      </c>
      <c r="C751" s="630">
        <f>C446+C558+C597+C635+C672</f>
        <v>0</v>
      </c>
      <c r="D751" s="630">
        <f>D446+D558+D597+D635+D672</f>
        <v>0</v>
      </c>
      <c r="E751" s="1280">
        <f>E446+E558+E597+E635+E672</f>
        <v>0</v>
      </c>
      <c r="F751" s="997"/>
    </row>
    <row r="752" spans="1:6" ht="13.8" thickBot="1" x14ac:dyDescent="0.3">
      <c r="A752" s="952"/>
      <c r="B752" s="998" t="s">
        <v>320</v>
      </c>
      <c r="C752" s="624">
        <f>SUM(C750+C735+C738+C751)</f>
        <v>3290824</v>
      </c>
      <c r="D752" s="624">
        <f>SUM(D750+D735+D738+D751)</f>
        <v>3292855</v>
      </c>
      <c r="E752" s="1273">
        <f>SUM(E750+E735+E738+E751)</f>
        <v>3292855</v>
      </c>
      <c r="F752" s="996">
        <f>E752/D752</f>
        <v>1</v>
      </c>
    </row>
    <row r="753" spans="1:6" x14ac:dyDescent="0.25">
      <c r="A753" s="952"/>
      <c r="B753" s="1022" t="s">
        <v>319</v>
      </c>
      <c r="C753" s="618">
        <f>SUM(C448)</f>
        <v>0</v>
      </c>
      <c r="D753" s="618">
        <f>SUM(D448)</f>
        <v>0</v>
      </c>
      <c r="E753" s="1266">
        <f>SUM(E448)+E601</f>
        <v>300</v>
      </c>
      <c r="F753" s="992"/>
    </row>
    <row r="754" spans="1:6" x14ac:dyDescent="0.25">
      <c r="A754" s="952"/>
      <c r="B754" s="989" t="s">
        <v>318</v>
      </c>
      <c r="C754" s="618">
        <f>C524</f>
        <v>0</v>
      </c>
      <c r="D754" s="618">
        <f>D524</f>
        <v>0</v>
      </c>
      <c r="E754" s="1266">
        <f>E524</f>
        <v>0</v>
      </c>
      <c r="F754" s="992"/>
    </row>
    <row r="755" spans="1:6" ht="13.8" thickBot="1" x14ac:dyDescent="0.3">
      <c r="A755" s="952"/>
      <c r="B755" s="1003" t="s">
        <v>317</v>
      </c>
      <c r="C755" s="626">
        <f>C449+C599+C637+C712+C674</f>
        <v>0</v>
      </c>
      <c r="D755" s="626">
        <f>D449+D599+D637+D712+D674</f>
        <v>0</v>
      </c>
      <c r="E755" s="1276">
        <f>E449+E599+E637+E712+E674</f>
        <v>0</v>
      </c>
      <c r="F755" s="1004"/>
    </row>
    <row r="756" spans="1:6" ht="13.8" thickBot="1" x14ac:dyDescent="0.3">
      <c r="A756" s="952"/>
      <c r="B756" s="1000" t="s">
        <v>316</v>
      </c>
      <c r="C756" s="630">
        <f>SUM(C753+C754+C755)</f>
        <v>0</v>
      </c>
      <c r="D756" s="630">
        <f>SUM(D753+D754+D755)</f>
        <v>0</v>
      </c>
      <c r="E756" s="1280">
        <f>SUM(E753+E754+E755)</f>
        <v>300</v>
      </c>
      <c r="F756" s="996"/>
    </row>
    <row r="757" spans="1:6" x14ac:dyDescent="0.25">
      <c r="A757" s="952"/>
      <c r="B757" s="1001" t="s">
        <v>311</v>
      </c>
      <c r="C757" s="618">
        <f>C451+C562+C602+C640+C677</f>
        <v>0</v>
      </c>
      <c r="D757" s="618">
        <f>D451+D562+D602+D640+D677</f>
        <v>0</v>
      </c>
      <c r="E757" s="1266">
        <f>E451+E562+E602+E640+E677+E715</f>
        <v>447970</v>
      </c>
      <c r="F757" s="992"/>
    </row>
    <row r="758" spans="1:6" ht="12" customHeight="1" x14ac:dyDescent="0.25">
      <c r="A758" s="952"/>
      <c r="B758" s="1002" t="s">
        <v>315</v>
      </c>
      <c r="C758" s="618">
        <f>C452+C563</f>
        <v>0</v>
      </c>
      <c r="D758" s="618">
        <f>D452+D563</f>
        <v>0</v>
      </c>
      <c r="E758" s="1266">
        <f>E452+E563</f>
        <v>1862</v>
      </c>
      <c r="F758" s="992"/>
    </row>
    <row r="759" spans="1:6" x14ac:dyDescent="0.25">
      <c r="A759" s="952"/>
      <c r="B759" s="1002" t="s">
        <v>314</v>
      </c>
      <c r="C759" s="618">
        <f>SUM(C603+C564+C453+C641+C716)+C678</f>
        <v>9900247</v>
      </c>
      <c r="D759" s="618">
        <f>SUM(D603+D564+D453+D641+D716)+D678</f>
        <v>10067347</v>
      </c>
      <c r="E759" s="1266">
        <f>SUM(E603+E564+E453+E641+E716)+E678</f>
        <v>10909499</v>
      </c>
      <c r="F759" s="992">
        <f>E759/D759</f>
        <v>1.0836518300203619</v>
      </c>
    </row>
    <row r="760" spans="1:6" ht="13.8" thickBot="1" x14ac:dyDescent="0.3">
      <c r="A760" s="952"/>
      <c r="B760" s="1003" t="s">
        <v>313</v>
      </c>
      <c r="C760" s="626">
        <f>SUM(C565+C454)</f>
        <v>808307</v>
      </c>
      <c r="D760" s="626">
        <f>SUM(D565+D454)</f>
        <v>808307</v>
      </c>
      <c r="E760" s="1276">
        <f>SUM(E565+E454)</f>
        <v>808307</v>
      </c>
      <c r="F760" s="1004">
        <f>E760/D760</f>
        <v>1</v>
      </c>
    </row>
    <row r="761" spans="1:6" ht="13.8" thickBot="1" x14ac:dyDescent="0.3">
      <c r="A761" s="952"/>
      <c r="B761" s="1007" t="s">
        <v>312</v>
      </c>
      <c r="C761" s="624">
        <f>SUM(C757:C760)</f>
        <v>10708554</v>
      </c>
      <c r="D761" s="624">
        <f>SUM(D757:D760)</f>
        <v>10875654</v>
      </c>
      <c r="E761" s="1273">
        <f>SUM(E757:E760)</f>
        <v>12167638</v>
      </c>
      <c r="F761" s="996">
        <f>E761/D761</f>
        <v>1.1187959822921913</v>
      </c>
    </row>
    <row r="762" spans="1:6" ht="13.8" thickBot="1" x14ac:dyDescent="0.3">
      <c r="A762" s="952"/>
      <c r="B762" s="1006" t="s">
        <v>311</v>
      </c>
      <c r="C762" s="626">
        <f>C456+C567+C605+C643+C680</f>
        <v>0</v>
      </c>
      <c r="D762" s="626">
        <f>D456+D567+D605+D643+D680</f>
        <v>0</v>
      </c>
      <c r="E762" s="1276">
        <f>E456+E567+E605+E643+E680</f>
        <v>3294</v>
      </c>
      <c r="F762" s="997"/>
    </row>
    <row r="763" spans="1:6" ht="13.8" thickBot="1" x14ac:dyDescent="0.3">
      <c r="A763" s="952"/>
      <c r="B763" s="1007" t="s">
        <v>310</v>
      </c>
      <c r="C763" s="624">
        <f>SUM(C762)</f>
        <v>0</v>
      </c>
      <c r="D763" s="624">
        <f>SUM(D762)</f>
        <v>0</v>
      </c>
      <c r="E763" s="1273">
        <f>SUM(E762)</f>
        <v>3294</v>
      </c>
      <c r="F763" s="997"/>
    </row>
    <row r="764" spans="1:6" ht="14.4" thickBot="1" x14ac:dyDescent="0.3">
      <c r="A764" s="952"/>
      <c r="B764" s="1008" t="s">
        <v>309</v>
      </c>
      <c r="C764" s="630">
        <f>SUM(C752+C756+C761+C763)</f>
        <v>13999378</v>
      </c>
      <c r="D764" s="630">
        <f>SUM(D752+D756+D761+D763)</f>
        <v>14168509</v>
      </c>
      <c r="E764" s="1280">
        <f>SUM(E752+E756+E761+E763)</f>
        <v>15464087</v>
      </c>
      <c r="F764" s="996">
        <f>E764/D764</f>
        <v>1.0914406731152868</v>
      </c>
    </row>
    <row r="765" spans="1:6" x14ac:dyDescent="0.25">
      <c r="A765" s="952"/>
      <c r="B765" s="1009" t="s">
        <v>308</v>
      </c>
      <c r="C765" s="618">
        <f>SUM(C608+C570+C459+C646+C721)+C683</f>
        <v>8352523</v>
      </c>
      <c r="D765" s="618">
        <f>SUM(D608+D570+D459+D646+D721)+D683</f>
        <v>8431128</v>
      </c>
      <c r="E765" s="1266">
        <f>SUM(E608+E570+E459+E646+E721)+E683</f>
        <v>8665106</v>
      </c>
      <c r="F765" s="992">
        <f>E765/D765</f>
        <v>1.027751683997681</v>
      </c>
    </row>
    <row r="766" spans="1:6" x14ac:dyDescent="0.25">
      <c r="A766" s="952"/>
      <c r="B766" s="1009" t="s">
        <v>307</v>
      </c>
      <c r="C766" s="618">
        <f>SUM(C609+C571+C460+C647+C722)+C684</f>
        <v>1124924</v>
      </c>
      <c r="D766" s="618">
        <f t="shared" ref="D766:E766" si="63">SUM(D609+D571+D460+D647+D722)+D684</f>
        <v>1130624</v>
      </c>
      <c r="E766" s="1266">
        <f t="shared" si="63"/>
        <v>1203546</v>
      </c>
      <c r="F766" s="992">
        <f>E766/D766</f>
        <v>1.0644971272500849</v>
      </c>
    </row>
    <row r="767" spans="1:6" x14ac:dyDescent="0.25">
      <c r="A767" s="952"/>
      <c r="B767" s="1009" t="s">
        <v>306</v>
      </c>
      <c r="C767" s="618">
        <f>SUM(C610+C572+C461+C648+C723)+C685</f>
        <v>3753246</v>
      </c>
      <c r="D767" s="618">
        <f t="shared" ref="D767:E767" si="64">SUM(D610+D572+D461+D648+D723)+D685</f>
        <v>3837437</v>
      </c>
      <c r="E767" s="1266">
        <f t="shared" si="64"/>
        <v>4336236</v>
      </c>
      <c r="F767" s="992">
        <f>E767/D767</f>
        <v>1.1299823293515958</v>
      </c>
    </row>
    <row r="768" spans="1:6" x14ac:dyDescent="0.25">
      <c r="A768" s="952"/>
      <c r="B768" s="1010" t="s">
        <v>305</v>
      </c>
      <c r="C768" s="618">
        <f>SUM(C611+C573+C462+C649+C724)+C686</f>
        <v>345</v>
      </c>
      <c r="D768" s="618">
        <f t="shared" ref="D768:E768" si="65">SUM(D611+D573+D462+D649+D724)+D686</f>
        <v>345</v>
      </c>
      <c r="E768" s="1266">
        <f t="shared" si="65"/>
        <v>345</v>
      </c>
      <c r="F768" s="992">
        <f>E768/D768</f>
        <v>1</v>
      </c>
    </row>
    <row r="769" spans="1:7" ht="13.8" thickBot="1" x14ac:dyDescent="0.3">
      <c r="A769" s="952"/>
      <c r="B769" s="1011" t="s">
        <v>304</v>
      </c>
      <c r="C769" s="618">
        <f>SUM(C612+C574+C463+C650+C725)+C687</f>
        <v>0</v>
      </c>
      <c r="D769" s="618">
        <f t="shared" ref="D769:E769" si="66">SUM(D612+D574+D463+D650+D725)+D687</f>
        <v>0</v>
      </c>
      <c r="E769" s="1266">
        <f t="shared" si="66"/>
        <v>3284</v>
      </c>
      <c r="F769" s="1004"/>
    </row>
    <row r="770" spans="1:7" ht="13.8" thickBot="1" x14ac:dyDescent="0.3">
      <c r="A770" s="952"/>
      <c r="B770" s="1012" t="s">
        <v>18</v>
      </c>
      <c r="C770" s="630">
        <f>SUM(C765:C769)</f>
        <v>13231038</v>
      </c>
      <c r="D770" s="630">
        <f>SUM(D765:D769)</f>
        <v>13399534</v>
      </c>
      <c r="E770" s="1280">
        <f>SUM(E765:E769)</f>
        <v>14208517</v>
      </c>
      <c r="F770" s="996">
        <f>E770/D770</f>
        <v>1.060373965243866</v>
      </c>
    </row>
    <row r="771" spans="1:7" x14ac:dyDescent="0.25">
      <c r="A771" s="952"/>
      <c r="B771" s="1009" t="s">
        <v>96</v>
      </c>
      <c r="C771" s="618">
        <f>SUM(C465+C576+C615+C652+C727)+C689</f>
        <v>377434</v>
      </c>
      <c r="D771" s="618">
        <f>SUM(D465+D576+D615+D652+D727)+D689</f>
        <v>378069</v>
      </c>
      <c r="E771" s="1266">
        <f>SUM(E465+E576+E615+E652+E727)+E689</f>
        <v>613540.86400000006</v>
      </c>
      <c r="F771" s="992">
        <f>E771/D771</f>
        <v>1.6228277483739741</v>
      </c>
    </row>
    <row r="772" spans="1:7" x14ac:dyDescent="0.25">
      <c r="A772" s="952"/>
      <c r="B772" s="1009" t="s">
        <v>303</v>
      </c>
      <c r="C772" s="618">
        <f>SUM(C466+C577+C616+C653+C728)+C690</f>
        <v>390906</v>
      </c>
      <c r="D772" s="618">
        <f t="shared" ref="D772:E772" si="67">SUM(D466+D577+D616+D653+D728)+D690</f>
        <v>390906</v>
      </c>
      <c r="E772" s="1266">
        <f t="shared" si="67"/>
        <v>642029.05536999996</v>
      </c>
      <c r="F772" s="992">
        <f>E772/D772</f>
        <v>1.6424128956066164</v>
      </c>
    </row>
    <row r="773" spans="1:7" ht="13.8" thickBot="1" x14ac:dyDescent="0.3">
      <c r="A773" s="952"/>
      <c r="B773" s="1011" t="s">
        <v>302</v>
      </c>
      <c r="C773" s="618">
        <f>SUM(C467+C578+C617+C654+C729)+C691</f>
        <v>0</v>
      </c>
      <c r="D773" s="618">
        <f t="shared" ref="D773:E773" si="68">SUM(D467+D578+D617+D654+D729)+D691</f>
        <v>0</v>
      </c>
      <c r="E773" s="1266">
        <f t="shared" si="68"/>
        <v>0</v>
      </c>
      <c r="F773" s="1004"/>
    </row>
    <row r="774" spans="1:7" ht="13.8" thickBot="1" x14ac:dyDescent="0.3">
      <c r="A774" s="952"/>
      <c r="B774" s="1017" t="s">
        <v>19</v>
      </c>
      <c r="C774" s="630">
        <f>SUM(C771:C773)</f>
        <v>768340</v>
      </c>
      <c r="D774" s="630">
        <f>SUM(D771:D773)</f>
        <v>768975</v>
      </c>
      <c r="E774" s="1280">
        <f>SUM(E771:E773)</f>
        <v>1255569.91937</v>
      </c>
      <c r="F774" s="996">
        <f>E774/D774</f>
        <v>1.6327837957931013</v>
      </c>
    </row>
    <row r="775" spans="1:7" ht="14.4" thickBot="1" x14ac:dyDescent="0.3">
      <c r="A775" s="953"/>
      <c r="B775" s="1018" t="s">
        <v>42</v>
      </c>
      <c r="C775" s="630">
        <f>SUM(C770+C774)</f>
        <v>13999378</v>
      </c>
      <c r="D775" s="630">
        <f>SUM(D770+D774)</f>
        <v>14168509</v>
      </c>
      <c r="E775" s="1280">
        <f>SUM(E770+E774)</f>
        <v>15464086.919369999</v>
      </c>
      <c r="F775" s="996">
        <f>E775/D775</f>
        <v>1.0914406674244974</v>
      </c>
    </row>
    <row r="776" spans="1:7" x14ac:dyDescent="0.25">
      <c r="G776" s="962"/>
    </row>
    <row r="777" spans="1:7" x14ac:dyDescent="0.25">
      <c r="C777" s="645"/>
      <c r="D777" s="645"/>
      <c r="E777" s="645"/>
      <c r="F777" s="558"/>
      <c r="G777" s="962"/>
    </row>
    <row r="778" spans="1:7" x14ac:dyDescent="0.25">
      <c r="G778" s="962"/>
    </row>
  </sheetData>
  <mergeCells count="8">
    <mergeCell ref="A1:F1"/>
    <mergeCell ref="A2:F2"/>
    <mergeCell ref="A5:A7"/>
    <mergeCell ref="B5:B7"/>
    <mergeCell ref="C5:C7"/>
    <mergeCell ref="F5:F7"/>
    <mergeCell ref="D5:D7"/>
    <mergeCell ref="E5:E7"/>
  </mergeCells>
  <printOptions horizontalCentered="1"/>
  <pageMargins left="0" right="0" top="0.98425196850393704" bottom="0.70866141732283472" header="0.31496062992125984" footer="0.51181102362204722"/>
  <pageSetup paperSize="9" scale="82" firstPageNumber="11" fitToHeight="0" orientation="portrait" useFirstPageNumber="1" r:id="rId1"/>
  <headerFooter alignWithMargins="0">
    <oddFooter>&amp;P. oldal</oddFooter>
  </headerFooter>
  <rowBreaks count="15" manualBreakCount="15">
    <brk id="59" max="4" man="1"/>
    <brk id="113" max="4" man="1"/>
    <brk id="164" max="4" man="1"/>
    <brk id="218" max="4" man="1"/>
    <brk id="272" max="4" man="1"/>
    <brk id="323" max="4" man="1"/>
    <brk id="377" max="4" man="1"/>
    <brk id="445" max="4" man="1"/>
    <brk id="499" max="4" man="1"/>
    <brk id="553" max="4" man="1"/>
    <brk id="607" max="4" man="1"/>
    <brk id="656" max="4" man="1"/>
    <brk id="710" max="4" man="1"/>
    <brk id="763" max="4" man="1"/>
    <brk id="775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Button 1">
              <controlPr defaultSize="0" print="0" autoFill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Button 2">
              <controlPr defaultSize="0" print="0" autoFill="0" autoLine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Button 3">
              <controlPr defaultSize="0" print="0" autoFill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7" name="Button 4">
              <controlPr defaultSize="0" print="0" autoFill="0" autoLine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8" name="Button 5">
              <controlPr defaultSize="0" print="0" autoFill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9" name="Button 6">
              <controlPr defaultSize="0" print="0" autoFill="0" autoLine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10" name="Button 7">
              <controlPr defaultSize="0" print="0" autoFill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0" r:id="rId11" name="Button 8">
              <controlPr defaultSize="0" print="0" autoFill="0" autoLine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1" r:id="rId12" name="Button 9">
              <controlPr defaultSize="0" print="0" autoFill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2" r:id="rId13" name="Button 10">
              <controlPr defaultSize="0" print="0" autoFill="0" autoLine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3" r:id="rId14" name="Button 11">
              <controlPr defaultSize="0" print="0" autoFill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4" r:id="rId15" name="Button 12">
              <controlPr defaultSize="0" print="0" autoFill="0" autoLine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5" r:id="rId16" name="Button 13">
              <controlPr defaultSize="0" print="0" autoFill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6" r:id="rId17" name="Button 14">
              <controlPr defaultSize="0" print="0" autoFill="0" autoLine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7" r:id="rId18" name="Button 15">
              <controlPr defaultSize="0" print="0" autoFill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8" r:id="rId19" name="Button 16">
              <controlPr defaultSize="0" print="0" autoFill="0" autoLine="0" autoPict="0">
                <anchor moveWithCells="1">
                  <from>
                    <xdr:col>0</xdr:col>
                    <xdr:colOff>99060</xdr:colOff>
                    <xdr:row>0</xdr:row>
                    <xdr:rowOff>38100</xdr:rowOff>
                  </from>
                  <to>
                    <xdr:col>0</xdr:col>
                    <xdr:colOff>251460</xdr:colOff>
                    <xdr:row>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7"/>
  <sheetViews>
    <sheetView zoomScaleNormal="100" zoomScaleSheetLayoutView="100" workbookViewId="0">
      <selection activeCell="H14" sqref="H14"/>
    </sheetView>
  </sheetViews>
  <sheetFormatPr defaultColWidth="9.33203125" defaultRowHeight="11.4" x14ac:dyDescent="0.2"/>
  <cols>
    <col min="1" max="1" width="6.6640625" style="20" customWidth="1"/>
    <col min="2" max="2" width="50.33203125" style="16" customWidth="1"/>
    <col min="3" max="5" width="11.33203125" style="16" customWidth="1"/>
    <col min="6" max="6" width="9.6640625" style="16" customWidth="1"/>
    <col min="7" max="7" width="12.33203125" style="16" customWidth="1"/>
    <col min="8" max="8" width="11" style="16" customWidth="1"/>
    <col min="9" max="16384" width="9.33203125" style="16"/>
  </cols>
  <sheetData>
    <row r="1" spans="1:7" ht="13.2" x14ac:dyDescent="0.2">
      <c r="A1" s="1492" t="s">
        <v>1424</v>
      </c>
      <c r="B1" s="1493"/>
      <c r="C1" s="1494"/>
      <c r="D1" s="1494"/>
      <c r="E1" s="1494"/>
      <c r="F1" s="1494"/>
    </row>
    <row r="2" spans="1:7" ht="13.2" x14ac:dyDescent="0.2">
      <c r="A2" s="1492" t="s">
        <v>565</v>
      </c>
      <c r="B2" s="1493"/>
      <c r="C2" s="1494"/>
      <c r="D2" s="1494"/>
      <c r="E2" s="1494"/>
      <c r="F2" s="1494"/>
    </row>
    <row r="3" spans="1:7" ht="11.7" customHeight="1" thickBot="1" x14ac:dyDescent="0.3">
      <c r="C3" s="34"/>
      <c r="D3" s="34"/>
      <c r="E3" s="34"/>
      <c r="F3" s="34" t="s">
        <v>87</v>
      </c>
    </row>
    <row r="4" spans="1:7" s="11" customFormat="1" ht="11.7" customHeight="1" x14ac:dyDescent="0.25">
      <c r="A4" s="836"/>
      <c r="B4" s="837"/>
      <c r="C4" s="1472" t="s">
        <v>1431</v>
      </c>
      <c r="D4" s="1472" t="s">
        <v>1437</v>
      </c>
      <c r="E4" s="1478" t="s">
        <v>281</v>
      </c>
      <c r="F4" s="1489" t="s">
        <v>1438</v>
      </c>
    </row>
    <row r="5" spans="1:7" s="11" customFormat="1" ht="12" customHeight="1" x14ac:dyDescent="0.25">
      <c r="A5" s="740" t="s">
        <v>114</v>
      </c>
      <c r="B5" s="52" t="s">
        <v>120</v>
      </c>
      <c r="C5" s="1473"/>
      <c r="D5" s="1473"/>
      <c r="E5" s="1479"/>
      <c r="F5" s="1490"/>
    </row>
    <row r="6" spans="1:7" s="11" customFormat="1" ht="12.75" customHeight="1" thickBot="1" x14ac:dyDescent="0.3">
      <c r="A6" s="800"/>
      <c r="B6" s="53"/>
      <c r="C6" s="1474"/>
      <c r="D6" s="1474"/>
      <c r="E6" s="1480"/>
      <c r="F6" s="1491"/>
    </row>
    <row r="7" spans="1:7" s="11" customFormat="1" ht="12" customHeight="1" thickBot="1" x14ac:dyDescent="0.3">
      <c r="A7" s="209" t="s">
        <v>77</v>
      </c>
      <c r="B7" s="935" t="s">
        <v>78</v>
      </c>
      <c r="C7" s="28" t="s">
        <v>79</v>
      </c>
      <c r="D7" s="28" t="s">
        <v>191</v>
      </c>
      <c r="E7" s="1302" t="s">
        <v>192</v>
      </c>
      <c r="F7" s="155" t="s">
        <v>197</v>
      </c>
    </row>
    <row r="8" spans="1:7" ht="12" customHeight="1" x14ac:dyDescent="0.25">
      <c r="A8" s="740">
        <v>3010</v>
      </c>
      <c r="B8" s="61" t="s">
        <v>10</v>
      </c>
      <c r="C8" s="54">
        <f>SUM(C18)</f>
        <v>47250</v>
      </c>
      <c r="D8" s="54">
        <f>SUM(D18)</f>
        <v>47250</v>
      </c>
      <c r="E8" s="1303">
        <f>SUM(E18)</f>
        <v>51390</v>
      </c>
      <c r="F8" s="517">
        <f>SUM(E8/D8)</f>
        <v>1.0876190476190477</v>
      </c>
      <c r="G8" s="1085"/>
    </row>
    <row r="9" spans="1:7" ht="12" customHeight="1" x14ac:dyDescent="0.25">
      <c r="A9" s="755">
        <v>3011</v>
      </c>
      <c r="B9" s="55" t="s">
        <v>44</v>
      </c>
      <c r="C9" s="54"/>
      <c r="D9" s="54"/>
      <c r="E9" s="1303"/>
      <c r="F9" s="503"/>
      <c r="G9" s="1085"/>
    </row>
    <row r="10" spans="1:7" ht="12" customHeight="1" x14ac:dyDescent="0.2">
      <c r="A10" s="799"/>
      <c r="B10" s="21" t="s">
        <v>45</v>
      </c>
      <c r="C10" s="51">
        <v>3000</v>
      </c>
      <c r="D10" s="51">
        <v>3000</v>
      </c>
      <c r="E10" s="1304">
        <v>3000</v>
      </c>
      <c r="F10" s="936">
        <f>SUM(E10/D10)</f>
        <v>1</v>
      </c>
      <c r="G10" s="1085"/>
    </row>
    <row r="11" spans="1:7" ht="12" customHeight="1" x14ac:dyDescent="0.2">
      <c r="A11" s="799"/>
      <c r="B11" s="3" t="s">
        <v>125</v>
      </c>
      <c r="C11" s="51">
        <v>450</v>
      </c>
      <c r="D11" s="51">
        <v>450</v>
      </c>
      <c r="E11" s="1304">
        <v>450</v>
      </c>
      <c r="F11" s="936">
        <f>SUM(E11/D11)</f>
        <v>1</v>
      </c>
      <c r="G11" s="1085"/>
    </row>
    <row r="12" spans="1:7" ht="12" customHeight="1" x14ac:dyDescent="0.2">
      <c r="A12" s="762"/>
      <c r="B12" s="3" t="s">
        <v>117</v>
      </c>
      <c r="C12" s="3">
        <v>16800</v>
      </c>
      <c r="D12" s="3">
        <v>16800</v>
      </c>
      <c r="E12" s="1229">
        <f>16800+1717</f>
        <v>18517</v>
      </c>
      <c r="F12" s="936">
        <f>SUM(E12/D12)</f>
        <v>1.1022023809523809</v>
      </c>
      <c r="G12" s="1085"/>
    </row>
    <row r="13" spans="1:7" ht="12" customHeight="1" x14ac:dyDescent="0.2">
      <c r="A13" s="799"/>
      <c r="B13" s="3" t="s">
        <v>49</v>
      </c>
      <c r="C13" s="3"/>
      <c r="D13" s="3"/>
      <c r="E13" s="1229"/>
      <c r="F13" s="936"/>
      <c r="G13" s="1085"/>
    </row>
    <row r="14" spans="1:7" ht="12" customHeight="1" x14ac:dyDescent="0.2">
      <c r="A14" s="799"/>
      <c r="B14" s="3" t="s">
        <v>122</v>
      </c>
      <c r="C14" s="3"/>
      <c r="D14" s="3"/>
      <c r="E14" s="1229"/>
      <c r="F14" s="936"/>
      <c r="G14" s="1085"/>
    </row>
    <row r="15" spans="1:7" ht="12" customHeight="1" x14ac:dyDescent="0.2">
      <c r="A15" s="762"/>
      <c r="B15" s="3" t="s">
        <v>97</v>
      </c>
      <c r="C15" s="3">
        <v>13000</v>
      </c>
      <c r="D15" s="3">
        <v>13000</v>
      </c>
      <c r="E15" s="1229">
        <f>13000+2423</f>
        <v>15423</v>
      </c>
      <c r="F15" s="936">
        <f>SUM(E15/D15)</f>
        <v>1.1863846153846154</v>
      </c>
      <c r="G15" s="1085"/>
    </row>
    <row r="16" spans="1:7" ht="12" customHeight="1" x14ac:dyDescent="0.2">
      <c r="A16" s="762"/>
      <c r="B16" s="3" t="s">
        <v>98</v>
      </c>
      <c r="C16" s="3">
        <v>14000</v>
      </c>
      <c r="D16" s="3">
        <v>14000</v>
      </c>
      <c r="E16" s="1229">
        <v>14000</v>
      </c>
      <c r="F16" s="936">
        <f>SUM(E16/D16)</f>
        <v>1</v>
      </c>
      <c r="G16" s="1085"/>
    </row>
    <row r="17" spans="1:9" ht="12" customHeight="1" thickBot="1" x14ac:dyDescent="0.25">
      <c r="A17" s="799"/>
      <c r="B17" s="17" t="s">
        <v>112</v>
      </c>
      <c r="C17" s="90"/>
      <c r="D17" s="90"/>
      <c r="E17" s="1305"/>
      <c r="F17" s="513"/>
      <c r="G17" s="1085"/>
    </row>
    <row r="18" spans="1:9" ht="12" customHeight="1" thickBot="1" x14ac:dyDescent="0.3">
      <c r="A18" s="800"/>
      <c r="B18" s="57" t="s">
        <v>57</v>
      </c>
      <c r="C18" s="92">
        <f t="shared" ref="C18:D18" si="0">SUM(C10:C17)</f>
        <v>47250</v>
      </c>
      <c r="D18" s="92">
        <f t="shared" si="0"/>
        <v>47250</v>
      </c>
      <c r="E18" s="1306">
        <f t="shared" ref="E18" si="1">SUM(E10:E17)</f>
        <v>51390</v>
      </c>
      <c r="F18" s="515">
        <f>SUM(E18/D18)</f>
        <v>1.0876190476190477</v>
      </c>
      <c r="G18" s="1085"/>
    </row>
    <row r="19" spans="1:9" s="11" customFormat="1" ht="12" customHeight="1" x14ac:dyDescent="0.25">
      <c r="A19" s="836">
        <v>3020</v>
      </c>
      <c r="B19" s="48" t="s">
        <v>29</v>
      </c>
      <c r="C19" s="93">
        <f>SUM(C29+C69)</f>
        <v>4891647</v>
      </c>
      <c r="D19" s="93">
        <f>SUM(D29+D69)</f>
        <v>4891647</v>
      </c>
      <c r="E19" s="1303">
        <f>SUM(E29+E69)</f>
        <v>5228203</v>
      </c>
      <c r="F19" s="517">
        <f>SUM(E19/D19)</f>
        <v>1.068802184622071</v>
      </c>
      <c r="G19" s="1085"/>
      <c r="H19" s="16"/>
      <c r="I19" s="16"/>
    </row>
    <row r="20" spans="1:9" s="11" customFormat="1" ht="12" customHeight="1" x14ac:dyDescent="0.25">
      <c r="A20" s="740">
        <v>3021</v>
      </c>
      <c r="B20" s="58" t="s">
        <v>137</v>
      </c>
      <c r="C20" s="93"/>
      <c r="D20" s="93"/>
      <c r="E20" s="1303"/>
      <c r="F20" s="503"/>
      <c r="G20" s="1085"/>
      <c r="H20" s="16"/>
      <c r="I20" s="16"/>
    </row>
    <row r="21" spans="1:9" ht="12" customHeight="1" x14ac:dyDescent="0.2">
      <c r="A21" s="799"/>
      <c r="B21" s="21" t="s">
        <v>45</v>
      </c>
      <c r="C21" s="51">
        <v>3279083</v>
      </c>
      <c r="D21" s="51">
        <v>3279083</v>
      </c>
      <c r="E21" s="1304">
        <f>3279083+58111+42984</f>
        <v>3380178</v>
      </c>
      <c r="F21" s="936">
        <f>SUM(E21/D21)</f>
        <v>1.0308302656565875</v>
      </c>
      <c r="G21" s="1085"/>
    </row>
    <row r="22" spans="1:9" ht="12" customHeight="1" x14ac:dyDescent="0.2">
      <c r="A22" s="799"/>
      <c r="B22" s="3" t="s">
        <v>125</v>
      </c>
      <c r="C22" s="51">
        <v>447773</v>
      </c>
      <c r="D22" s="51">
        <v>447773</v>
      </c>
      <c r="E22" s="1304">
        <f>447773+23738+12035</f>
        <v>483546</v>
      </c>
      <c r="F22" s="936">
        <f>SUM(E22/D22)</f>
        <v>1.0798909268758947</v>
      </c>
      <c r="G22" s="1085"/>
    </row>
    <row r="23" spans="1:9" ht="12" customHeight="1" x14ac:dyDescent="0.2">
      <c r="A23" s="762"/>
      <c r="B23" s="3" t="s">
        <v>117</v>
      </c>
      <c r="C23" s="51">
        <v>508800</v>
      </c>
      <c r="D23" s="51">
        <v>508800</v>
      </c>
      <c r="E23" s="1304">
        <f>508800+41512+71641+16500</f>
        <v>638453</v>
      </c>
      <c r="F23" s="936">
        <f>SUM(E23/D23)</f>
        <v>1.2548211477987421</v>
      </c>
      <c r="G23" s="1085"/>
    </row>
    <row r="24" spans="1:9" ht="12" customHeight="1" x14ac:dyDescent="0.2">
      <c r="A24" s="799"/>
      <c r="B24" s="3" t="s">
        <v>49</v>
      </c>
      <c r="C24" s="51"/>
      <c r="D24" s="51"/>
      <c r="E24" s="1304"/>
      <c r="F24" s="936"/>
      <c r="G24" s="1085"/>
    </row>
    <row r="25" spans="1:9" ht="12" customHeight="1" x14ac:dyDescent="0.2">
      <c r="A25" s="799"/>
      <c r="B25" s="3" t="s">
        <v>122</v>
      </c>
      <c r="C25" s="51"/>
      <c r="D25" s="51"/>
      <c r="E25" s="1304"/>
      <c r="F25" s="936"/>
      <c r="G25" s="1085"/>
    </row>
    <row r="26" spans="1:9" ht="12" customHeight="1" x14ac:dyDescent="0.2">
      <c r="A26" s="762"/>
      <c r="B26" s="3" t="s">
        <v>97</v>
      </c>
      <c r="C26" s="51">
        <v>90000</v>
      </c>
      <c r="D26" s="51">
        <v>90000</v>
      </c>
      <c r="E26" s="1304">
        <f>90000+1067</f>
        <v>91067</v>
      </c>
      <c r="F26" s="936">
        <f>SUM(E26/D26)</f>
        <v>1.0118555555555555</v>
      </c>
      <c r="G26" s="1085"/>
    </row>
    <row r="27" spans="1:9" ht="12" customHeight="1" x14ac:dyDescent="0.2">
      <c r="A27" s="762"/>
      <c r="B27" s="3" t="s">
        <v>98</v>
      </c>
      <c r="C27" s="51">
        <v>142100</v>
      </c>
      <c r="D27" s="51">
        <v>142100</v>
      </c>
      <c r="E27" s="1304">
        <f>142100+13140</f>
        <v>155240</v>
      </c>
      <c r="F27" s="936">
        <f>SUM(E27/D27)</f>
        <v>1.0924700914848697</v>
      </c>
      <c r="G27" s="1085"/>
    </row>
    <row r="28" spans="1:9" ht="12" customHeight="1" thickBot="1" x14ac:dyDescent="0.25">
      <c r="A28" s="799"/>
      <c r="B28" s="3" t="s">
        <v>158</v>
      </c>
      <c r="C28" s="51">
        <v>3000</v>
      </c>
      <c r="D28" s="51">
        <v>3000</v>
      </c>
      <c r="E28" s="1304">
        <v>3000</v>
      </c>
      <c r="F28" s="513">
        <f>SUM(E28/D28)</f>
        <v>1</v>
      </c>
      <c r="G28" s="1085"/>
    </row>
    <row r="29" spans="1:9" ht="12.6" thickBot="1" x14ac:dyDescent="0.3">
      <c r="A29" s="1313"/>
      <c r="B29" s="1314" t="s">
        <v>57</v>
      </c>
      <c r="C29" s="1306">
        <f t="shared" ref="C29:D29" si="2">SUM(C21:C28)</f>
        <v>4470756</v>
      </c>
      <c r="D29" s="1306">
        <f t="shared" si="2"/>
        <v>4470756</v>
      </c>
      <c r="E29" s="1306">
        <f t="shared" ref="E29" si="3">SUM(E21:E28)</f>
        <v>4751484</v>
      </c>
      <c r="F29" s="1315">
        <f>SUM(E29/D29)</f>
        <v>1.0627920646977826</v>
      </c>
      <c r="G29" s="1085"/>
    </row>
    <row r="30" spans="1:9" ht="12" x14ac:dyDescent="0.25">
      <c r="A30" s="1316">
        <v>3023</v>
      </c>
      <c r="B30" s="1317" t="s">
        <v>1445</v>
      </c>
      <c r="C30" s="1303"/>
      <c r="D30" s="1303"/>
      <c r="E30" s="1303"/>
      <c r="F30" s="1318"/>
      <c r="G30" s="1085"/>
    </row>
    <row r="31" spans="1:9" x14ac:dyDescent="0.2">
      <c r="A31" s="1319"/>
      <c r="B31" s="1320" t="s">
        <v>45</v>
      </c>
      <c r="C31" s="1304"/>
      <c r="D31" s="1304"/>
      <c r="E31" s="1304">
        <v>20500</v>
      </c>
      <c r="F31" s="1321"/>
      <c r="G31" s="1085"/>
    </row>
    <row r="32" spans="1:9" x14ac:dyDescent="0.2">
      <c r="A32" s="1319"/>
      <c r="B32" s="1229" t="s">
        <v>125</v>
      </c>
      <c r="C32" s="1304"/>
      <c r="D32" s="1304"/>
      <c r="E32" s="1304">
        <v>3560</v>
      </c>
      <c r="F32" s="1321"/>
      <c r="G32" s="1085"/>
    </row>
    <row r="33" spans="1:10" x14ac:dyDescent="0.2">
      <c r="A33" s="1322"/>
      <c r="B33" s="1323" t="s">
        <v>117</v>
      </c>
      <c r="C33" s="1304"/>
      <c r="D33" s="1304"/>
      <c r="E33" s="1304">
        <v>10290</v>
      </c>
      <c r="F33" s="1321"/>
      <c r="G33" s="1085"/>
    </row>
    <row r="34" spans="1:10" x14ac:dyDescent="0.2">
      <c r="A34" s="1319"/>
      <c r="B34" s="1227" t="s">
        <v>49</v>
      </c>
      <c r="C34" s="1304"/>
      <c r="D34" s="1304"/>
      <c r="E34" s="1304"/>
      <c r="F34" s="1321"/>
      <c r="G34" s="1085"/>
    </row>
    <row r="35" spans="1:10" x14ac:dyDescent="0.2">
      <c r="A35" s="1319"/>
      <c r="B35" s="1229" t="s">
        <v>122</v>
      </c>
      <c r="C35" s="1304"/>
      <c r="D35" s="1304"/>
      <c r="E35" s="1304"/>
      <c r="F35" s="1321"/>
      <c r="G35" s="1085"/>
    </row>
    <row r="36" spans="1:10" x14ac:dyDescent="0.2">
      <c r="A36" s="1322"/>
      <c r="B36" s="1320" t="s">
        <v>97</v>
      </c>
      <c r="C36" s="1307"/>
      <c r="D36" s="1304"/>
      <c r="E36" s="1304"/>
      <c r="F36" s="1321"/>
      <c r="G36" s="1085"/>
    </row>
    <row r="37" spans="1:10" x14ac:dyDescent="0.2">
      <c r="A37" s="1322"/>
      <c r="B37" s="1324" t="s">
        <v>98</v>
      </c>
      <c r="C37" s="1307"/>
      <c r="D37" s="1304"/>
      <c r="E37" s="1304"/>
      <c r="F37" s="1321"/>
      <c r="G37" s="1085"/>
    </row>
    <row r="38" spans="1:10" ht="12" thickBot="1" x14ac:dyDescent="0.25">
      <c r="A38" s="1319"/>
      <c r="B38" s="1325" t="s">
        <v>158</v>
      </c>
      <c r="C38" s="1305"/>
      <c r="D38" s="1305"/>
      <c r="E38" s="1305"/>
      <c r="F38" s="1326"/>
      <c r="G38" s="1085"/>
    </row>
    <row r="39" spans="1:10" ht="12.6" thickBot="1" x14ac:dyDescent="0.3">
      <c r="A39" s="1313"/>
      <c r="B39" s="1314" t="s">
        <v>57</v>
      </c>
      <c r="C39" s="1306">
        <f t="shared" ref="C39" si="4">SUM(C31:C38)</f>
        <v>0</v>
      </c>
      <c r="D39" s="1306">
        <f t="shared" ref="D39:E39" si="5">SUM(D31:D38)</f>
        <v>0</v>
      </c>
      <c r="E39" s="1306">
        <f t="shared" si="5"/>
        <v>34350</v>
      </c>
      <c r="F39" s="1315"/>
      <c r="G39" s="1085"/>
    </row>
    <row r="40" spans="1:10" ht="12" customHeight="1" x14ac:dyDescent="0.25">
      <c r="A40" s="1316">
        <v>3024</v>
      </c>
      <c r="B40" s="1317" t="s">
        <v>1446</v>
      </c>
      <c r="C40" s="1303"/>
      <c r="D40" s="1303"/>
      <c r="E40" s="1303"/>
      <c r="F40" s="1318"/>
      <c r="G40" s="1085"/>
    </row>
    <row r="41" spans="1:10" ht="12" customHeight="1" x14ac:dyDescent="0.2">
      <c r="A41" s="1319"/>
      <c r="B41" s="1320" t="s">
        <v>45</v>
      </c>
      <c r="C41" s="1304">
        <v>50000</v>
      </c>
      <c r="D41" s="1304">
        <v>50000</v>
      </c>
      <c r="E41" s="1304">
        <f>50000+4101</f>
        <v>54101</v>
      </c>
      <c r="F41" s="1321">
        <f>SUM(E41/D41)</f>
        <v>1.08202</v>
      </c>
      <c r="G41" s="1085"/>
      <c r="I41" s="12"/>
      <c r="J41" s="12"/>
    </row>
    <row r="42" spans="1:10" ht="12" customHeight="1" x14ac:dyDescent="0.2">
      <c r="A42" s="799"/>
      <c r="B42" s="3" t="s">
        <v>125</v>
      </c>
      <c r="C42" s="94">
        <v>6500</v>
      </c>
      <c r="D42" s="94">
        <v>6500</v>
      </c>
      <c r="E42" s="1304">
        <f>6500+754</f>
        <v>7254</v>
      </c>
      <c r="F42" s="936">
        <f>SUM(E42/D42)</f>
        <v>1.1160000000000001</v>
      </c>
      <c r="G42" s="1085"/>
      <c r="I42" s="12"/>
      <c r="J42" s="12"/>
    </row>
    <row r="43" spans="1:10" ht="12" customHeight="1" x14ac:dyDescent="0.2">
      <c r="A43" s="762"/>
      <c r="B43" s="56" t="s">
        <v>117</v>
      </c>
      <c r="C43" s="94"/>
      <c r="D43" s="94"/>
      <c r="E43" s="1304">
        <v>1005</v>
      </c>
      <c r="F43" s="936"/>
      <c r="G43" s="1085"/>
      <c r="I43" s="12"/>
      <c r="J43" s="12"/>
    </row>
    <row r="44" spans="1:10" ht="12" customHeight="1" x14ac:dyDescent="0.2">
      <c r="A44" s="799"/>
      <c r="B44" s="4" t="s">
        <v>49</v>
      </c>
      <c r="C44" s="94"/>
      <c r="D44" s="94"/>
      <c r="E44" s="1304"/>
      <c r="F44" s="936"/>
      <c r="G44" s="1085"/>
      <c r="J44" s="12"/>
    </row>
    <row r="45" spans="1:10" ht="12" customHeight="1" x14ac:dyDescent="0.2">
      <c r="A45" s="799"/>
      <c r="B45" s="3" t="s">
        <v>122</v>
      </c>
      <c r="C45" s="94"/>
      <c r="D45" s="94"/>
      <c r="E45" s="1304"/>
      <c r="F45" s="936"/>
      <c r="G45" s="1085"/>
      <c r="J45" s="12"/>
    </row>
    <row r="46" spans="1:10" ht="12" customHeight="1" x14ac:dyDescent="0.2">
      <c r="A46" s="762"/>
      <c r="B46" s="21" t="s">
        <v>97</v>
      </c>
      <c r="C46" s="95"/>
      <c r="D46" s="95"/>
      <c r="E46" s="1307"/>
      <c r="F46" s="936"/>
      <c r="G46" s="1085"/>
      <c r="J46" s="12"/>
    </row>
    <row r="47" spans="1:10" ht="12" customHeight="1" x14ac:dyDescent="0.2">
      <c r="A47" s="762"/>
      <c r="B47" s="22" t="s">
        <v>98</v>
      </c>
      <c r="C47" s="95"/>
      <c r="D47" s="95"/>
      <c r="E47" s="1307"/>
      <c r="F47" s="936"/>
      <c r="G47" s="1085"/>
    </row>
    <row r="48" spans="1:10" ht="12" customHeight="1" thickBot="1" x14ac:dyDescent="0.25">
      <c r="A48" s="1319"/>
      <c r="B48" s="1325" t="s">
        <v>158</v>
      </c>
      <c r="C48" s="1305"/>
      <c r="D48" s="1305"/>
      <c r="E48" s="1305"/>
      <c r="F48" s="1326"/>
      <c r="G48" s="1085"/>
    </row>
    <row r="49" spans="1:10" ht="12" customHeight="1" thickBot="1" x14ac:dyDescent="0.3">
      <c r="A49" s="1313"/>
      <c r="B49" s="1314" t="s">
        <v>57</v>
      </c>
      <c r="C49" s="1306">
        <f t="shared" ref="C49" si="6">SUM(C41:C48)</f>
        <v>56500</v>
      </c>
      <c r="D49" s="1306">
        <f t="shared" ref="D49:E49" si="7">SUM(D41:D48)</f>
        <v>56500</v>
      </c>
      <c r="E49" s="1306">
        <f t="shared" si="7"/>
        <v>62360</v>
      </c>
      <c r="F49" s="1315">
        <f>SUM(E49/D49)</f>
        <v>1.1037168141592921</v>
      </c>
      <c r="G49" s="1085"/>
      <c r="I49" s="12"/>
      <c r="J49" s="12"/>
    </row>
    <row r="50" spans="1:10" ht="12" customHeight="1" x14ac:dyDescent="0.25">
      <c r="A50" s="1316">
        <v>3025</v>
      </c>
      <c r="B50" s="1317" t="s">
        <v>1436</v>
      </c>
      <c r="C50" s="1303"/>
      <c r="D50" s="1303"/>
      <c r="E50" s="1303"/>
      <c r="F50" s="1318"/>
      <c r="G50" s="1085"/>
    </row>
    <row r="51" spans="1:10" ht="12" customHeight="1" x14ac:dyDescent="0.2">
      <c r="A51" s="1319"/>
      <c r="B51" s="1320" t="s">
        <v>45</v>
      </c>
      <c r="C51" s="1304"/>
      <c r="D51" s="1304"/>
      <c r="E51" s="1304"/>
      <c r="F51" s="1321"/>
      <c r="G51" s="1085"/>
    </row>
    <row r="52" spans="1:10" ht="12" customHeight="1" x14ac:dyDescent="0.2">
      <c r="A52" s="1319"/>
      <c r="B52" s="1229" t="s">
        <v>125</v>
      </c>
      <c r="C52" s="1304"/>
      <c r="D52" s="1304"/>
      <c r="E52" s="1304"/>
      <c r="F52" s="1321"/>
      <c r="G52" s="1085"/>
    </row>
    <row r="53" spans="1:10" ht="12" customHeight="1" x14ac:dyDescent="0.2">
      <c r="A53" s="1322"/>
      <c r="B53" s="1323" t="s">
        <v>117</v>
      </c>
      <c r="C53" s="1304"/>
      <c r="D53" s="1304"/>
      <c r="E53" s="1304"/>
      <c r="F53" s="1321"/>
      <c r="G53" s="1085"/>
    </row>
    <row r="54" spans="1:10" ht="12" customHeight="1" x14ac:dyDescent="0.2">
      <c r="A54" s="1319"/>
      <c r="B54" s="1227" t="s">
        <v>49</v>
      </c>
      <c r="C54" s="1304"/>
      <c r="D54" s="1304"/>
      <c r="E54" s="1304"/>
      <c r="F54" s="1321"/>
      <c r="G54" s="1085"/>
    </row>
    <row r="55" spans="1:10" ht="12" customHeight="1" x14ac:dyDescent="0.2">
      <c r="A55" s="1319"/>
      <c r="B55" s="1229" t="s">
        <v>122</v>
      </c>
      <c r="C55" s="1304"/>
      <c r="D55" s="1304"/>
      <c r="E55" s="1304"/>
      <c r="F55" s="1321"/>
      <c r="G55" s="1085"/>
    </row>
    <row r="56" spans="1:10" ht="12" customHeight="1" x14ac:dyDescent="0.2">
      <c r="A56" s="1322"/>
      <c r="B56" s="1320" t="s">
        <v>97</v>
      </c>
      <c r="C56" s="1307"/>
      <c r="D56" s="1304"/>
      <c r="E56" s="1304"/>
      <c r="F56" s="1321"/>
      <c r="G56" s="1085"/>
    </row>
    <row r="57" spans="1:10" ht="12" customHeight="1" x14ac:dyDescent="0.2">
      <c r="A57" s="1322"/>
      <c r="B57" s="1324" t="s">
        <v>98</v>
      </c>
      <c r="C57" s="1307"/>
      <c r="D57" s="1304"/>
      <c r="E57" s="1304"/>
      <c r="F57" s="1321"/>
      <c r="G57" s="1085"/>
    </row>
    <row r="58" spans="1:10" ht="12" customHeight="1" thickBot="1" x14ac:dyDescent="0.25">
      <c r="A58" s="1319"/>
      <c r="B58" s="1325" t="s">
        <v>158</v>
      </c>
      <c r="C58" s="1305"/>
      <c r="D58" s="1305"/>
      <c r="E58" s="1305"/>
      <c r="F58" s="1326"/>
      <c r="G58" s="1085"/>
    </row>
    <row r="59" spans="1:10" ht="12" customHeight="1" thickBot="1" x14ac:dyDescent="0.3">
      <c r="A59" s="1313"/>
      <c r="B59" s="1314" t="s">
        <v>57</v>
      </c>
      <c r="C59" s="1306">
        <f t="shared" ref="C59" si="8">SUM(C51:C58)</f>
        <v>0</v>
      </c>
      <c r="D59" s="1306">
        <f t="shared" ref="D59:E59" si="9">SUM(D51:D58)</f>
        <v>0</v>
      </c>
      <c r="E59" s="1306">
        <f t="shared" si="9"/>
        <v>0</v>
      </c>
      <c r="F59" s="1315"/>
      <c r="G59" s="1085"/>
    </row>
    <row r="60" spans="1:10" ht="12" customHeight="1" x14ac:dyDescent="0.25">
      <c r="A60" s="1327">
        <v>3026</v>
      </c>
      <c r="B60" s="1328" t="s">
        <v>123</v>
      </c>
      <c r="C60" s="1303"/>
      <c r="D60" s="1303"/>
      <c r="E60" s="1303"/>
      <c r="F60" s="1318"/>
      <c r="G60" s="1085"/>
    </row>
    <row r="61" spans="1:10" ht="12" customHeight="1" x14ac:dyDescent="0.25">
      <c r="A61" s="755"/>
      <c r="B61" s="21" t="s">
        <v>45</v>
      </c>
      <c r="C61" s="94"/>
      <c r="D61" s="94"/>
      <c r="E61" s="1304"/>
      <c r="F61" s="503"/>
      <c r="G61" s="1085"/>
    </row>
    <row r="62" spans="1:10" ht="12" customHeight="1" x14ac:dyDescent="0.25">
      <c r="A62" s="755"/>
      <c r="B62" s="3" t="s">
        <v>125</v>
      </c>
      <c r="C62" s="94"/>
      <c r="D62" s="94"/>
      <c r="E62" s="1304"/>
      <c r="F62" s="503"/>
      <c r="G62" s="1085"/>
    </row>
    <row r="63" spans="1:10" ht="12" customHeight="1" x14ac:dyDescent="0.25">
      <c r="A63" s="755"/>
      <c r="B63" s="56" t="s">
        <v>117</v>
      </c>
      <c r="C63" s="51">
        <v>108136</v>
      </c>
      <c r="D63" s="51">
        <v>108136</v>
      </c>
      <c r="E63" s="1304">
        <f>108136+55828</f>
        <v>163964</v>
      </c>
      <c r="F63" s="936">
        <f>SUM(E63/D63)</f>
        <v>1.5162758008433823</v>
      </c>
      <c r="G63" s="1085"/>
    </row>
    <row r="64" spans="1:10" ht="12" customHeight="1" x14ac:dyDescent="0.25">
      <c r="A64" s="755"/>
      <c r="B64" s="4" t="s">
        <v>49</v>
      </c>
      <c r="C64" s="98"/>
      <c r="D64" s="98"/>
      <c r="E64" s="1308"/>
      <c r="F64" s="936"/>
      <c r="G64" s="1085"/>
    </row>
    <row r="65" spans="1:11" ht="12" customHeight="1" x14ac:dyDescent="0.25">
      <c r="A65" s="755"/>
      <c r="B65" s="3" t="s">
        <v>122</v>
      </c>
      <c r="C65" s="98"/>
      <c r="D65" s="98"/>
      <c r="E65" s="1308"/>
      <c r="F65" s="936"/>
      <c r="G65" s="1085"/>
    </row>
    <row r="66" spans="1:11" ht="12" customHeight="1" x14ac:dyDescent="0.25">
      <c r="A66" s="755"/>
      <c r="B66" s="21" t="s">
        <v>97</v>
      </c>
      <c r="C66" s="51">
        <v>312755</v>
      </c>
      <c r="D66" s="51">
        <v>312755</v>
      </c>
      <c r="E66" s="1304">
        <f>312755</f>
        <v>312755</v>
      </c>
      <c r="F66" s="936">
        <f>SUM(E66/D66)</f>
        <v>1</v>
      </c>
      <c r="G66" s="1085"/>
    </row>
    <row r="67" spans="1:11" ht="12" customHeight="1" x14ac:dyDescent="0.25">
      <c r="A67" s="755"/>
      <c r="B67" s="22" t="s">
        <v>98</v>
      </c>
      <c r="C67" s="96"/>
      <c r="D67" s="96"/>
      <c r="E67" s="1309"/>
      <c r="F67" s="936"/>
      <c r="G67" s="1085"/>
    </row>
    <row r="68" spans="1:11" ht="12" customHeight="1" thickBot="1" x14ac:dyDescent="0.3">
      <c r="A68" s="755"/>
      <c r="B68" s="17" t="s">
        <v>112</v>
      </c>
      <c r="C68" s="99"/>
      <c r="D68" s="99"/>
      <c r="E68" s="1310"/>
      <c r="F68" s="513"/>
      <c r="G68" s="1085"/>
    </row>
    <row r="69" spans="1:11" ht="12" customHeight="1" thickBot="1" x14ac:dyDescent="0.3">
      <c r="A69" s="868"/>
      <c r="B69" s="57" t="s">
        <v>57</v>
      </c>
      <c r="C69" s="92">
        <f t="shared" ref="C69:D69" si="10">SUM(C60:C66)</f>
        <v>420891</v>
      </c>
      <c r="D69" s="92">
        <f t="shared" si="10"/>
        <v>420891</v>
      </c>
      <c r="E69" s="1306">
        <f t="shared" ref="E69" si="11">SUM(E60:E66)</f>
        <v>476719</v>
      </c>
      <c r="F69" s="515">
        <f>SUM(E69/D69)</f>
        <v>1.1326424181082513</v>
      </c>
      <c r="G69" s="1085"/>
    </row>
    <row r="70" spans="1:11" ht="12" customHeight="1" x14ac:dyDescent="0.25">
      <c r="A70" s="740">
        <v>3000</v>
      </c>
      <c r="B70" s="61" t="s">
        <v>46</v>
      </c>
      <c r="C70" s="94"/>
      <c r="D70" s="94"/>
      <c r="E70" s="1304"/>
      <c r="F70" s="517"/>
      <c r="G70" s="1085"/>
    </row>
    <row r="71" spans="1:11" ht="12" customHeight="1" x14ac:dyDescent="0.25">
      <c r="A71" s="740"/>
      <c r="B71" s="36" t="s">
        <v>20</v>
      </c>
      <c r="C71" s="94"/>
      <c r="D71" s="94"/>
      <c r="E71" s="1304"/>
      <c r="F71" s="503"/>
      <c r="G71" s="1085"/>
    </row>
    <row r="72" spans="1:11" ht="12" customHeight="1" x14ac:dyDescent="0.2">
      <c r="A72" s="799"/>
      <c r="B72" s="21" t="s">
        <v>45</v>
      </c>
      <c r="C72" s="94">
        <f>SUM(C21+C10+C41)+C31+C61+C51</f>
        <v>3332083</v>
      </c>
      <c r="D72" s="94">
        <f>SUM(D21+D10+D41)+D31+D61+D51</f>
        <v>3332083</v>
      </c>
      <c r="E72" s="1304">
        <f>SUM(E21+E10+E41)+E31+E61+E51</f>
        <v>3457779</v>
      </c>
      <c r="F72" s="936">
        <f>SUM(E72/D72)</f>
        <v>1.0377229498784994</v>
      </c>
      <c r="G72" s="1085"/>
      <c r="I72" s="12"/>
      <c r="K72" s="12"/>
    </row>
    <row r="73" spans="1:11" ht="12" customHeight="1" x14ac:dyDescent="0.2">
      <c r="A73" s="799"/>
      <c r="B73" s="3" t="s">
        <v>125</v>
      </c>
      <c r="C73" s="94">
        <f t="shared" ref="C73:D76" si="12">SUM(C22+C11+C42)+C32+C62+C52</f>
        <v>454723</v>
      </c>
      <c r="D73" s="94">
        <f t="shared" si="12"/>
        <v>454723</v>
      </c>
      <c r="E73" s="1304">
        <f t="shared" ref="E73" si="13">SUM(E22+E11+E42)+E32+E62+E52</f>
        <v>494810</v>
      </c>
      <c r="F73" s="936">
        <f>SUM(E73/D73)</f>
        <v>1.0881569658891237</v>
      </c>
      <c r="G73" s="1085"/>
      <c r="I73" s="12"/>
      <c r="K73" s="12"/>
    </row>
    <row r="74" spans="1:11" ht="12" customHeight="1" x14ac:dyDescent="0.2">
      <c r="A74" s="762"/>
      <c r="B74" s="4" t="s">
        <v>124</v>
      </c>
      <c r="C74" s="94">
        <f t="shared" si="12"/>
        <v>633736</v>
      </c>
      <c r="D74" s="94">
        <f t="shared" si="12"/>
        <v>633736</v>
      </c>
      <c r="E74" s="1304">
        <f t="shared" ref="E74" si="14">SUM(E23+E12+E43)+E33+E63+E53</f>
        <v>832229</v>
      </c>
      <c r="F74" s="936">
        <f>SUM(E74/D74)</f>
        <v>1.3132108638297335</v>
      </c>
      <c r="G74" s="1085"/>
      <c r="I74" s="12"/>
      <c r="K74" s="12"/>
    </row>
    <row r="75" spans="1:11" ht="12" customHeight="1" x14ac:dyDescent="0.25">
      <c r="A75" s="799"/>
      <c r="B75" s="4" t="s">
        <v>49</v>
      </c>
      <c r="C75" s="94">
        <f t="shared" si="12"/>
        <v>0</v>
      </c>
      <c r="D75" s="94">
        <f t="shared" si="12"/>
        <v>0</v>
      </c>
      <c r="E75" s="1304">
        <f t="shared" ref="E75" si="15">SUM(E24+E13+E44)+E34+E64+E54</f>
        <v>0</v>
      </c>
      <c r="F75" s="503"/>
      <c r="G75" s="1085"/>
      <c r="I75" s="12"/>
      <c r="K75" s="12"/>
    </row>
    <row r="76" spans="1:11" ht="12" customHeight="1" x14ac:dyDescent="0.25">
      <c r="A76" s="799"/>
      <c r="B76" s="3" t="s">
        <v>122</v>
      </c>
      <c r="C76" s="94">
        <f t="shared" si="12"/>
        <v>0</v>
      </c>
      <c r="D76" s="94">
        <f t="shared" si="12"/>
        <v>0</v>
      </c>
      <c r="E76" s="1304">
        <f t="shared" ref="E76" si="16">SUM(E25+E14+E45)+E35+E65+E55</f>
        <v>0</v>
      </c>
      <c r="F76" s="503"/>
      <c r="G76" s="1085"/>
      <c r="I76" s="12"/>
      <c r="K76" s="12"/>
    </row>
    <row r="77" spans="1:11" ht="12" customHeight="1" x14ac:dyDescent="0.25">
      <c r="A77" s="799"/>
      <c r="B77" s="33" t="s">
        <v>18</v>
      </c>
      <c r="C77" s="97">
        <f t="shared" ref="C77" si="17">SUM(C72:C76)</f>
        <v>4420542</v>
      </c>
      <c r="D77" s="97">
        <f t="shared" ref="D77:E77" si="18">SUM(D72:D76)</f>
        <v>4420542</v>
      </c>
      <c r="E77" s="1311">
        <f t="shared" si="18"/>
        <v>4784818</v>
      </c>
      <c r="F77" s="503">
        <f>SUM(E77/D77)</f>
        <v>1.0824052797145689</v>
      </c>
      <c r="G77" s="1085"/>
      <c r="I77" s="12"/>
      <c r="K77" s="12"/>
    </row>
    <row r="78" spans="1:11" ht="12" customHeight="1" x14ac:dyDescent="0.25">
      <c r="A78" s="799"/>
      <c r="B78" s="44" t="s">
        <v>21</v>
      </c>
      <c r="C78" s="94"/>
      <c r="D78" s="94"/>
      <c r="E78" s="1304"/>
      <c r="F78" s="503"/>
      <c r="G78" s="1085"/>
      <c r="I78" s="12"/>
      <c r="K78" s="12"/>
    </row>
    <row r="79" spans="1:11" ht="12" customHeight="1" x14ac:dyDescent="0.25">
      <c r="A79" s="799"/>
      <c r="B79" s="21" t="s">
        <v>99</v>
      </c>
      <c r="C79" s="94">
        <f>SUM(C27+C16)+C47+C37+C67+C57</f>
        <v>156100</v>
      </c>
      <c r="D79" s="94">
        <f>SUM(D27+D16)+D47+D37+D67+D57</f>
        <v>156100</v>
      </c>
      <c r="E79" s="1304">
        <f>SUM(E27+E16)+E47+E37+E67+E57</f>
        <v>169240</v>
      </c>
      <c r="F79" s="503"/>
      <c r="G79" s="1085"/>
      <c r="I79" s="12"/>
      <c r="K79" s="12"/>
    </row>
    <row r="80" spans="1:11" ht="12" customHeight="1" x14ac:dyDescent="0.2">
      <c r="A80" s="799"/>
      <c r="B80" s="22" t="s">
        <v>142</v>
      </c>
      <c r="C80" s="94">
        <f>SUM(C26+C15+C66)+C46+C36+C56</f>
        <v>415755</v>
      </c>
      <c r="D80" s="94">
        <f>SUM(D26+D15+D66)+D46+D36+D56</f>
        <v>415755</v>
      </c>
      <c r="E80" s="1304">
        <f>SUM(E26+E15+E66)+E46+E36+E56</f>
        <v>419245</v>
      </c>
      <c r="F80" s="936">
        <f>SUM(E80/D80)</f>
        <v>1.0083943668747219</v>
      </c>
      <c r="G80" s="1085"/>
      <c r="I80" s="12"/>
      <c r="K80" s="12"/>
    </row>
    <row r="81" spans="1:11" ht="12" customHeight="1" x14ac:dyDescent="0.2">
      <c r="A81" s="799"/>
      <c r="B81" s="4" t="s">
        <v>159</v>
      </c>
      <c r="C81" s="94">
        <f>SUM(C28)</f>
        <v>3000</v>
      </c>
      <c r="D81" s="94">
        <f>SUM(D28)</f>
        <v>3000</v>
      </c>
      <c r="E81" s="1304">
        <f>SUM(E28)</f>
        <v>3000</v>
      </c>
      <c r="F81" s="936">
        <f>SUM(E81/D81)</f>
        <v>1</v>
      </c>
      <c r="G81" s="1085"/>
      <c r="I81" s="12"/>
      <c r="K81" s="12"/>
    </row>
    <row r="82" spans="1:11" ht="12" customHeight="1" thickBot="1" x14ac:dyDescent="0.3">
      <c r="A82" s="799"/>
      <c r="B82" s="33" t="s">
        <v>22</v>
      </c>
      <c r="C82" s="101">
        <f t="shared" ref="C82" si="19">SUM(C79:C81)</f>
        <v>574855</v>
      </c>
      <c r="D82" s="101">
        <f t="shared" ref="D82:E82" si="20">SUM(D79:D81)</f>
        <v>574855</v>
      </c>
      <c r="E82" s="1312">
        <f t="shared" si="20"/>
        <v>591485</v>
      </c>
      <c r="F82" s="937">
        <f>SUM(E82/D82)</f>
        <v>1.0289290342782094</v>
      </c>
      <c r="G82" s="1085"/>
      <c r="I82" s="12"/>
      <c r="K82" s="12"/>
    </row>
    <row r="83" spans="1:11" ht="12" customHeight="1" thickBot="1" x14ac:dyDescent="0.3">
      <c r="A83" s="800"/>
      <c r="B83" s="57" t="s">
        <v>100</v>
      </c>
      <c r="C83" s="92">
        <f t="shared" ref="C83:D83" si="21">SUM(C77+C82)</f>
        <v>4995397</v>
      </c>
      <c r="D83" s="92">
        <f t="shared" si="21"/>
        <v>4995397</v>
      </c>
      <c r="E83" s="1306">
        <f t="shared" ref="E83" si="22">SUM(E77+E82)</f>
        <v>5376303</v>
      </c>
      <c r="F83" s="515">
        <f>SUM(E83/D83)</f>
        <v>1.0762513970361114</v>
      </c>
      <c r="G83" s="1085"/>
      <c r="I83" s="12"/>
      <c r="K83" s="12"/>
    </row>
    <row r="84" spans="1:11" ht="12.6" thickBot="1" x14ac:dyDescent="0.3">
      <c r="A84" s="938"/>
      <c r="B84" s="62" t="s">
        <v>26</v>
      </c>
      <c r="C84" s="100">
        <f t="shared" ref="C84:D84" si="23">SUM(C83)</f>
        <v>4995397</v>
      </c>
      <c r="D84" s="100">
        <f t="shared" si="23"/>
        <v>4995397</v>
      </c>
      <c r="E84" s="1245">
        <f t="shared" ref="E84" si="24">SUM(E83)</f>
        <v>5376303</v>
      </c>
      <c r="F84" s="515">
        <f>SUM(E84/D84)</f>
        <v>1.0762513970361114</v>
      </c>
      <c r="G84" s="1085"/>
      <c r="I84" s="12"/>
      <c r="K84" s="12"/>
    </row>
    <row r="86" spans="1:11" x14ac:dyDescent="0.2">
      <c r="C86" s="12"/>
      <c r="D86" s="12"/>
      <c r="E86" s="12"/>
    </row>
    <row r="87" spans="1:11" x14ac:dyDescent="0.2">
      <c r="C87" s="12"/>
      <c r="D87" s="12"/>
      <c r="E87" s="12"/>
    </row>
  </sheetData>
  <mergeCells count="6">
    <mergeCell ref="F4:F6"/>
    <mergeCell ref="A2:F2"/>
    <mergeCell ref="A1:F1"/>
    <mergeCell ref="C4:C6"/>
    <mergeCell ref="D4:D6"/>
    <mergeCell ref="E4:E6"/>
  </mergeCells>
  <phoneticPr fontId="0" type="noConversion"/>
  <printOptions horizontalCentered="1" verticalCentered="1"/>
  <pageMargins left="0.39370078740157483" right="0.39370078740157483" top="0.19685039370078741" bottom="0.19685039370078741" header="0.11811023622047245" footer="0"/>
  <pageSetup paperSize="9" scale="58" firstPageNumber="27" fitToHeight="0" orientation="portrait" useFirstPageNumber="1" r:id="rId1"/>
  <headerFooter alignWithMargins="0">
    <oddFooter>&amp;P. oldal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Button 1">
              <controlPr defaultSize="0" print="0" autoFill="0" autoPict="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30480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Button 2">
              <controlPr defaultSize="0" print="0" autoFill="0" autoPict="0">
                <anchor moveWithCells="1">
                  <from>
                    <xdr:col>0</xdr:col>
                    <xdr:colOff>251460</xdr:colOff>
                    <xdr:row>0</xdr:row>
                    <xdr:rowOff>0</xdr:rowOff>
                  </from>
                  <to>
                    <xdr:col>1</xdr:col>
                    <xdr:colOff>289560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62"/>
  <sheetViews>
    <sheetView zoomScaleNormal="100" zoomScaleSheetLayoutView="90" workbookViewId="0">
      <selection activeCell="H10" sqref="H10"/>
    </sheetView>
  </sheetViews>
  <sheetFormatPr defaultColWidth="9.33203125" defaultRowHeight="11.4" x14ac:dyDescent="0.2"/>
  <cols>
    <col min="1" max="1" width="6.33203125" style="20" customWidth="1"/>
    <col min="2" max="2" width="51" style="16" customWidth="1"/>
    <col min="3" max="3" width="10.6640625" style="129" customWidth="1"/>
    <col min="4" max="5" width="10.44140625" style="129" customWidth="1"/>
    <col min="6" max="6" width="9.33203125" style="129" customWidth="1"/>
    <col min="7" max="7" width="37.44140625" style="129" customWidth="1"/>
    <col min="8" max="10" width="9.33203125" style="16"/>
    <col min="11" max="11" width="16" style="16" customWidth="1"/>
    <col min="12" max="12" width="16.44140625" style="16" customWidth="1"/>
    <col min="13" max="13" width="29.5546875" style="16" customWidth="1"/>
    <col min="14" max="14" width="13.88671875" style="16" customWidth="1"/>
    <col min="15" max="16384" width="9.33203125" style="16"/>
  </cols>
  <sheetData>
    <row r="1" spans="1:13" ht="13.2" customHeight="1" x14ac:dyDescent="0.2">
      <c r="A1" s="1492" t="s">
        <v>1425</v>
      </c>
      <c r="B1" s="1492"/>
      <c r="C1" s="1492"/>
      <c r="D1" s="1492"/>
      <c r="E1" s="1492"/>
      <c r="F1" s="1492"/>
      <c r="G1" s="1492"/>
    </row>
    <row r="2" spans="1:13" ht="13.2" x14ac:dyDescent="0.2">
      <c r="A2" s="1495" t="s">
        <v>280</v>
      </c>
      <c r="B2" s="1496"/>
      <c r="C2" s="1496"/>
      <c r="D2" s="1496"/>
      <c r="E2" s="1496"/>
      <c r="F2" s="1496"/>
      <c r="G2" s="1496"/>
    </row>
    <row r="3" spans="1:13" ht="13.2" x14ac:dyDescent="0.2">
      <c r="A3" s="130"/>
      <c r="B3" s="130"/>
      <c r="C3" s="130"/>
      <c r="D3" s="130"/>
      <c r="E3" s="130"/>
      <c r="F3" s="130"/>
      <c r="G3" s="130"/>
    </row>
    <row r="4" spans="1:13" ht="12.6" thickBot="1" x14ac:dyDescent="0.3">
      <c r="C4" s="835"/>
      <c r="D4" s="835"/>
      <c r="E4" s="835"/>
      <c r="F4" s="835"/>
      <c r="G4" s="65" t="s">
        <v>87</v>
      </c>
    </row>
    <row r="5" spans="1:13" s="11" customFormat="1" ht="12" customHeight="1" x14ac:dyDescent="0.25">
      <c r="A5" s="836"/>
      <c r="B5" s="837"/>
      <c r="C5" s="1472" t="s">
        <v>1431</v>
      </c>
      <c r="D5" s="1472" t="s">
        <v>1437</v>
      </c>
      <c r="E5" s="1478" t="s">
        <v>281</v>
      </c>
      <c r="F5" s="1472" t="s">
        <v>1441</v>
      </c>
      <c r="G5" s="781" t="s">
        <v>181</v>
      </c>
    </row>
    <row r="6" spans="1:13" s="11" customFormat="1" ht="12" customHeight="1" x14ac:dyDescent="0.25">
      <c r="A6" s="740" t="s">
        <v>114</v>
      </c>
      <c r="B6" s="52" t="s">
        <v>120</v>
      </c>
      <c r="C6" s="1473"/>
      <c r="D6" s="1473"/>
      <c r="E6" s="1479"/>
      <c r="F6" s="1497"/>
      <c r="G6" s="742" t="s">
        <v>65</v>
      </c>
    </row>
    <row r="7" spans="1:13" s="11" customFormat="1" ht="12.75" customHeight="1" thickBot="1" x14ac:dyDescent="0.3">
      <c r="A7" s="800"/>
      <c r="B7" s="53"/>
      <c r="C7" s="1474"/>
      <c r="D7" s="1474"/>
      <c r="E7" s="1480"/>
      <c r="F7" s="1498"/>
      <c r="G7" s="782"/>
    </row>
    <row r="8" spans="1:13" s="11" customFormat="1" ht="12.6" thickBot="1" x14ac:dyDescent="0.3">
      <c r="A8" s="209" t="s">
        <v>77</v>
      </c>
      <c r="B8" s="127" t="s">
        <v>78</v>
      </c>
      <c r="C8" s="59" t="s">
        <v>79</v>
      </c>
      <c r="D8" s="59" t="s">
        <v>191</v>
      </c>
      <c r="E8" s="1329" t="s">
        <v>192</v>
      </c>
      <c r="F8" s="59" t="s">
        <v>197</v>
      </c>
      <c r="G8" s="782" t="s">
        <v>597</v>
      </c>
    </row>
    <row r="9" spans="1:13" s="11" customFormat="1" ht="12" x14ac:dyDescent="0.25">
      <c r="A9" s="740">
        <v>3050</v>
      </c>
      <c r="B9" s="838" t="s">
        <v>101</v>
      </c>
      <c r="C9" s="54">
        <f>SUM(C19+C29+C39+C49+C59)</f>
        <v>245000</v>
      </c>
      <c r="D9" s="54">
        <f>SUM(D19+D29+D39+D49+D59)</f>
        <v>245000</v>
      </c>
      <c r="E9" s="1303">
        <f>SUM(E19+E29+E39+E49+E59)</f>
        <v>416597</v>
      </c>
      <c r="F9" s="125">
        <f>SUM(E9/D9)</f>
        <v>1.7003959183673469</v>
      </c>
      <c r="G9" s="839"/>
    </row>
    <row r="10" spans="1:13" ht="12" x14ac:dyDescent="0.25">
      <c r="A10" s="840">
        <v>3054</v>
      </c>
      <c r="B10" s="131" t="s">
        <v>92</v>
      </c>
      <c r="C10" s="139"/>
      <c r="D10" s="139"/>
      <c r="E10" s="1330"/>
      <c r="F10" s="125"/>
      <c r="G10" s="841"/>
      <c r="H10" s="11"/>
      <c r="I10" s="11"/>
      <c r="J10" s="11"/>
      <c r="K10" s="11"/>
      <c r="L10" s="11"/>
      <c r="M10" s="11"/>
    </row>
    <row r="11" spans="1:13" ht="12.6" customHeight="1" x14ac:dyDescent="0.25">
      <c r="A11" s="759"/>
      <c r="B11" s="21" t="s">
        <v>45</v>
      </c>
      <c r="C11" s="140"/>
      <c r="D11" s="140"/>
      <c r="E11" s="1331"/>
      <c r="F11" s="125"/>
      <c r="G11" s="842"/>
      <c r="H11" s="11"/>
      <c r="I11" s="11"/>
      <c r="J11" s="11"/>
      <c r="K11" s="11"/>
      <c r="L11" s="11"/>
      <c r="M11" s="11"/>
    </row>
    <row r="12" spans="1:13" ht="12.6" customHeight="1" x14ac:dyDescent="0.25">
      <c r="A12" s="759"/>
      <c r="B12" s="3" t="s">
        <v>125</v>
      </c>
      <c r="C12" s="140"/>
      <c r="D12" s="140"/>
      <c r="E12" s="1331"/>
      <c r="F12" s="125"/>
      <c r="G12" s="843"/>
      <c r="H12" s="11"/>
      <c r="I12" s="11"/>
      <c r="J12" s="11"/>
      <c r="K12" s="11"/>
      <c r="L12" s="11"/>
      <c r="M12" s="11"/>
    </row>
    <row r="13" spans="1:13" ht="12.6" customHeight="1" x14ac:dyDescent="0.25">
      <c r="A13" s="759"/>
      <c r="B13" s="56" t="s">
        <v>117</v>
      </c>
      <c r="C13" s="140">
        <v>20000</v>
      </c>
      <c r="D13" s="140">
        <v>20000</v>
      </c>
      <c r="E13" s="1331">
        <v>20000</v>
      </c>
      <c r="F13" s="149">
        <f>SUM(E13/D13)</f>
        <v>1</v>
      </c>
      <c r="G13" s="843" t="s">
        <v>1051</v>
      </c>
      <c r="H13" s="11"/>
      <c r="I13" s="11"/>
      <c r="J13" s="11"/>
      <c r="K13" s="11"/>
      <c r="L13" s="11"/>
      <c r="M13" s="11"/>
    </row>
    <row r="14" spans="1:13" ht="12.6" customHeight="1" x14ac:dyDescent="0.25">
      <c r="A14" s="759"/>
      <c r="B14" s="135" t="s">
        <v>49</v>
      </c>
      <c r="C14" s="140"/>
      <c r="D14" s="140"/>
      <c r="E14" s="1331"/>
      <c r="F14" s="149"/>
      <c r="G14" s="842" t="s">
        <v>1054</v>
      </c>
      <c r="H14" s="11"/>
      <c r="I14" s="11"/>
      <c r="J14" s="11"/>
      <c r="K14" s="11"/>
      <c r="L14" s="11"/>
      <c r="M14" s="11"/>
    </row>
    <row r="15" spans="1:13" ht="12.6" customHeight="1" x14ac:dyDescent="0.25">
      <c r="A15" s="759"/>
      <c r="B15" s="135" t="s">
        <v>122</v>
      </c>
      <c r="C15" s="140"/>
      <c r="D15" s="140"/>
      <c r="E15" s="1331"/>
      <c r="F15" s="149"/>
      <c r="G15" s="842"/>
      <c r="H15" s="11"/>
      <c r="I15" s="11"/>
      <c r="J15" s="11"/>
      <c r="K15" s="11"/>
      <c r="L15" s="11"/>
      <c r="M15" s="11"/>
    </row>
    <row r="16" spans="1:13" ht="12.6" customHeight="1" x14ac:dyDescent="0.25">
      <c r="A16" s="759"/>
      <c r="B16" s="4" t="s">
        <v>97</v>
      </c>
      <c r="C16" s="140"/>
      <c r="D16" s="140"/>
      <c r="E16" s="1331"/>
      <c r="F16" s="125"/>
      <c r="G16" s="844"/>
      <c r="H16" s="11"/>
      <c r="I16" s="11"/>
      <c r="J16" s="11"/>
      <c r="K16" s="11"/>
      <c r="L16" s="11"/>
      <c r="M16" s="11"/>
    </row>
    <row r="17" spans="1:13" ht="12.6" customHeight="1" x14ac:dyDescent="0.25">
      <c r="A17" s="759"/>
      <c r="B17" s="135" t="s">
        <v>185</v>
      </c>
      <c r="C17" s="140"/>
      <c r="D17" s="140"/>
      <c r="E17" s="1331"/>
      <c r="F17" s="125"/>
      <c r="G17" s="844"/>
      <c r="H17" s="11"/>
      <c r="I17" s="11"/>
      <c r="J17" s="11"/>
      <c r="K17" s="11"/>
      <c r="L17" s="11"/>
      <c r="M17" s="11"/>
    </row>
    <row r="18" spans="1:13" ht="12.6" customHeight="1" thickBot="1" x14ac:dyDescent="0.3">
      <c r="A18" s="759"/>
      <c r="B18" s="159" t="s">
        <v>112</v>
      </c>
      <c r="C18" s="141"/>
      <c r="D18" s="141"/>
      <c r="E18" s="1332"/>
      <c r="F18" s="185"/>
      <c r="G18" s="857"/>
      <c r="H18" s="11"/>
      <c r="I18" s="11"/>
      <c r="J18" s="11"/>
      <c r="K18" s="11"/>
      <c r="L18" s="11"/>
      <c r="M18" s="11"/>
    </row>
    <row r="19" spans="1:13" ht="12.6" customHeight="1" thickBot="1" x14ac:dyDescent="0.3">
      <c r="A19" s="845"/>
      <c r="B19" s="202" t="s">
        <v>57</v>
      </c>
      <c r="C19" s="138">
        <f>SUM(C13:C18)</f>
        <v>20000</v>
      </c>
      <c r="D19" s="138">
        <f>SUM(D13:D18)</f>
        <v>20000</v>
      </c>
      <c r="E19" s="1333">
        <f>SUM(E13:E18)</f>
        <v>20000</v>
      </c>
      <c r="F19" s="174">
        <f>SUM(E19/D19)</f>
        <v>1</v>
      </c>
      <c r="G19" s="647"/>
      <c r="H19" s="11"/>
      <c r="I19" s="11"/>
      <c r="J19" s="11"/>
      <c r="K19" s="11"/>
      <c r="L19" s="11"/>
      <c r="M19" s="11"/>
    </row>
    <row r="20" spans="1:13" ht="12.6" customHeight="1" x14ac:dyDescent="0.25">
      <c r="A20" s="840">
        <v>3056</v>
      </c>
      <c r="B20" s="131" t="s">
        <v>170</v>
      </c>
      <c r="C20" s="139"/>
      <c r="D20" s="139"/>
      <c r="E20" s="1330"/>
      <c r="F20" s="125"/>
      <c r="G20" s="841"/>
      <c r="H20" s="11"/>
      <c r="I20" s="11"/>
      <c r="J20" s="11"/>
      <c r="K20" s="11"/>
      <c r="L20" s="11"/>
      <c r="M20" s="11"/>
    </row>
    <row r="21" spans="1:13" ht="12.6" customHeight="1" x14ac:dyDescent="0.25">
      <c r="A21" s="759"/>
      <c r="B21" s="21" t="s">
        <v>45</v>
      </c>
      <c r="C21" s="140"/>
      <c r="D21" s="140"/>
      <c r="E21" s="1331"/>
      <c r="F21" s="125"/>
      <c r="G21" s="843"/>
      <c r="H21" s="11"/>
      <c r="I21" s="11"/>
      <c r="J21" s="11"/>
      <c r="K21" s="11"/>
      <c r="L21" s="11"/>
      <c r="M21" s="11"/>
    </row>
    <row r="22" spans="1:13" ht="12.6" customHeight="1" x14ac:dyDescent="0.25">
      <c r="A22" s="759"/>
      <c r="B22" s="3" t="s">
        <v>125</v>
      </c>
      <c r="C22" s="140"/>
      <c r="D22" s="140"/>
      <c r="E22" s="1331"/>
      <c r="F22" s="125"/>
      <c r="G22" s="847"/>
      <c r="H22" s="11"/>
      <c r="I22" s="11"/>
      <c r="J22" s="11"/>
      <c r="K22" s="11"/>
      <c r="L22" s="11"/>
      <c r="M22" s="11"/>
    </row>
    <row r="23" spans="1:13" ht="12.6" customHeight="1" x14ac:dyDescent="0.25">
      <c r="A23" s="759"/>
      <c r="B23" s="56" t="s">
        <v>117</v>
      </c>
      <c r="C23" s="140">
        <v>25000</v>
      </c>
      <c r="D23" s="140">
        <v>25000</v>
      </c>
      <c r="E23" s="1331">
        <f>25000+3395</f>
        <v>28395</v>
      </c>
      <c r="F23" s="149">
        <f>SUM(E23/D23)</f>
        <v>1.1357999999999999</v>
      </c>
      <c r="G23" s="843" t="s">
        <v>1051</v>
      </c>
      <c r="H23" s="11"/>
      <c r="I23" s="11"/>
      <c r="J23" s="11"/>
      <c r="K23" s="11"/>
      <c r="L23" s="11"/>
      <c r="M23" s="11"/>
    </row>
    <row r="24" spans="1:13" ht="12.6" customHeight="1" x14ac:dyDescent="0.25">
      <c r="A24" s="759"/>
      <c r="B24" s="135" t="s">
        <v>49</v>
      </c>
      <c r="C24" s="140"/>
      <c r="D24" s="140"/>
      <c r="E24" s="1331"/>
      <c r="F24" s="149"/>
      <c r="G24" s="842" t="s">
        <v>1054</v>
      </c>
      <c r="H24" s="11"/>
      <c r="I24" s="11"/>
      <c r="J24" s="11"/>
      <c r="K24" s="11"/>
      <c r="L24" s="11"/>
      <c r="M24" s="11"/>
    </row>
    <row r="25" spans="1:13" ht="12.6" customHeight="1" x14ac:dyDescent="0.25">
      <c r="A25" s="759"/>
      <c r="B25" s="135" t="s">
        <v>122</v>
      </c>
      <c r="C25" s="140"/>
      <c r="D25" s="140"/>
      <c r="E25" s="1331"/>
      <c r="F25" s="125"/>
      <c r="G25" s="844"/>
      <c r="H25" s="11"/>
      <c r="I25" s="11"/>
      <c r="J25" s="11"/>
      <c r="K25" s="11"/>
      <c r="L25" s="11"/>
      <c r="M25" s="11"/>
    </row>
    <row r="26" spans="1:13" ht="12.6" customHeight="1" x14ac:dyDescent="0.25">
      <c r="A26" s="759"/>
      <c r="B26" s="4" t="s">
        <v>97</v>
      </c>
      <c r="C26" s="139"/>
      <c r="D26" s="139"/>
      <c r="E26" s="1331">
        <v>2768</v>
      </c>
      <c r="F26" s="125"/>
      <c r="G26" s="842"/>
      <c r="H26" s="11"/>
      <c r="I26" s="11"/>
      <c r="J26" s="11"/>
      <c r="K26" s="11"/>
      <c r="L26" s="11"/>
      <c r="M26" s="11"/>
    </row>
    <row r="27" spans="1:13" ht="12.6" customHeight="1" x14ac:dyDescent="0.25">
      <c r="A27" s="759"/>
      <c r="B27" s="135" t="s">
        <v>185</v>
      </c>
      <c r="C27" s="141"/>
      <c r="D27" s="141"/>
      <c r="E27" s="1332"/>
      <c r="F27" s="125"/>
      <c r="G27" s="848"/>
      <c r="H27" s="11"/>
      <c r="I27" s="11"/>
      <c r="J27" s="11"/>
      <c r="K27" s="11"/>
      <c r="L27" s="11"/>
      <c r="M27" s="11"/>
    </row>
    <row r="28" spans="1:13" ht="12.6" customHeight="1" thickBot="1" x14ac:dyDescent="0.3">
      <c r="A28" s="759"/>
      <c r="B28" s="136" t="s">
        <v>112</v>
      </c>
      <c r="C28" s="142"/>
      <c r="D28" s="142"/>
      <c r="E28" s="1334"/>
      <c r="F28" s="186"/>
      <c r="G28" s="849"/>
      <c r="H28" s="11"/>
      <c r="I28" s="11"/>
      <c r="J28" s="11"/>
      <c r="K28" s="11"/>
      <c r="L28" s="11"/>
      <c r="M28" s="11"/>
    </row>
    <row r="29" spans="1:13" ht="12.6" customHeight="1" thickBot="1" x14ac:dyDescent="0.3">
      <c r="A29" s="845"/>
      <c r="B29" s="137" t="s">
        <v>57</v>
      </c>
      <c r="C29" s="171">
        <f t="shared" ref="C29" si="0">SUM(C23:C28)</f>
        <v>25000</v>
      </c>
      <c r="D29" s="171">
        <f t="shared" ref="D29:E29" si="1">SUM(D23:D28)</f>
        <v>25000</v>
      </c>
      <c r="E29" s="1335">
        <f t="shared" si="1"/>
        <v>31163</v>
      </c>
      <c r="F29" s="174">
        <f>SUM(E29/D29)</f>
        <v>1.2465200000000001</v>
      </c>
      <c r="G29" s="846"/>
      <c r="H29" s="11"/>
      <c r="I29" s="11"/>
      <c r="J29" s="11"/>
      <c r="K29" s="11"/>
      <c r="L29" s="11"/>
      <c r="M29" s="11"/>
    </row>
    <row r="30" spans="1:13" ht="12.6" customHeight="1" x14ac:dyDescent="0.25">
      <c r="A30" s="840">
        <v>3057</v>
      </c>
      <c r="B30" s="131" t="s">
        <v>200</v>
      </c>
      <c r="C30" s="139"/>
      <c r="D30" s="139"/>
      <c r="E30" s="1330"/>
      <c r="F30" s="125"/>
      <c r="G30" s="841"/>
      <c r="H30" s="11"/>
      <c r="I30" s="11"/>
      <c r="J30" s="11"/>
      <c r="K30" s="11"/>
      <c r="L30" s="11"/>
      <c r="M30" s="11"/>
    </row>
    <row r="31" spans="1:13" ht="12.6" customHeight="1" x14ac:dyDescent="0.25">
      <c r="A31" s="759"/>
      <c r="B31" s="21" t="s">
        <v>45</v>
      </c>
      <c r="C31" s="140"/>
      <c r="D31" s="140"/>
      <c r="E31" s="1331"/>
      <c r="F31" s="125"/>
      <c r="G31" s="843"/>
      <c r="H31" s="11"/>
      <c r="I31" s="11"/>
      <c r="J31" s="11"/>
      <c r="K31" s="11"/>
      <c r="L31" s="11"/>
      <c r="M31" s="11"/>
    </row>
    <row r="32" spans="1:13" ht="12.6" customHeight="1" x14ac:dyDescent="0.25">
      <c r="A32" s="759"/>
      <c r="B32" s="3" t="s">
        <v>125</v>
      </c>
      <c r="C32" s="140"/>
      <c r="D32" s="140"/>
      <c r="E32" s="1331"/>
      <c r="F32" s="149"/>
      <c r="G32" s="847"/>
      <c r="H32" s="11"/>
      <c r="I32" s="11"/>
      <c r="J32" s="11"/>
      <c r="K32" s="11"/>
      <c r="L32" s="11"/>
      <c r="M32" s="11"/>
    </row>
    <row r="33" spans="1:13" ht="15" customHeight="1" x14ac:dyDescent="0.25">
      <c r="A33" s="759"/>
      <c r="B33" s="56" t="s">
        <v>117</v>
      </c>
      <c r="C33" s="535">
        <v>140000</v>
      </c>
      <c r="D33" s="535">
        <v>140000</v>
      </c>
      <c r="E33" s="1336">
        <f>140000+144510</f>
        <v>284510</v>
      </c>
      <c r="F33" s="536">
        <f>SUM(E33/D33)</f>
        <v>2.0322142857142858</v>
      </c>
      <c r="G33" s="843" t="s">
        <v>1051</v>
      </c>
      <c r="H33" s="11"/>
      <c r="I33" s="11"/>
      <c r="J33" s="11"/>
      <c r="K33" s="11"/>
      <c r="L33" s="11"/>
      <c r="M33" s="11"/>
    </row>
    <row r="34" spans="1:13" ht="12.6" customHeight="1" x14ac:dyDescent="0.25">
      <c r="A34" s="759"/>
      <c r="B34" s="135" t="s">
        <v>49</v>
      </c>
      <c r="C34" s="140"/>
      <c r="D34" s="140"/>
      <c r="E34" s="1331"/>
      <c r="F34" s="125"/>
      <c r="G34" s="842" t="s">
        <v>1054</v>
      </c>
      <c r="H34" s="11"/>
      <c r="I34" s="11"/>
      <c r="J34" s="11"/>
      <c r="K34" s="11"/>
      <c r="L34" s="11"/>
      <c r="M34" s="11"/>
    </row>
    <row r="35" spans="1:13" ht="12.6" customHeight="1" x14ac:dyDescent="0.25">
      <c r="A35" s="759"/>
      <c r="B35" s="135" t="s">
        <v>122</v>
      </c>
      <c r="C35" s="139"/>
      <c r="D35" s="139"/>
      <c r="E35" s="1330"/>
      <c r="F35" s="125"/>
      <c r="G35" s="842"/>
      <c r="H35" s="11"/>
      <c r="I35" s="11"/>
      <c r="J35" s="11"/>
      <c r="K35" s="11"/>
      <c r="L35" s="11"/>
      <c r="M35" s="11"/>
    </row>
    <row r="36" spans="1:13" ht="12.6" customHeight="1" x14ac:dyDescent="0.25">
      <c r="A36" s="759"/>
      <c r="B36" s="3" t="s">
        <v>97</v>
      </c>
      <c r="C36" s="546"/>
      <c r="D36" s="546"/>
      <c r="E36" s="1337"/>
      <c r="F36" s="125"/>
      <c r="G36" s="848"/>
      <c r="H36" s="11"/>
      <c r="I36" s="11"/>
      <c r="J36" s="11"/>
      <c r="K36" s="11"/>
      <c r="L36" s="11"/>
      <c r="M36" s="11"/>
    </row>
    <row r="37" spans="1:13" ht="12.6" customHeight="1" x14ac:dyDescent="0.25">
      <c r="A37" s="759"/>
      <c r="B37" s="133" t="s">
        <v>185</v>
      </c>
      <c r="C37" s="546"/>
      <c r="D37" s="546"/>
      <c r="E37" s="1337"/>
      <c r="F37" s="125"/>
      <c r="G37" s="848"/>
      <c r="H37" s="11"/>
      <c r="I37" s="11"/>
      <c r="J37" s="11"/>
      <c r="K37" s="11"/>
      <c r="L37" s="11"/>
      <c r="M37" s="11"/>
    </row>
    <row r="38" spans="1:13" ht="12.6" customHeight="1" thickBot="1" x14ac:dyDescent="0.3">
      <c r="A38" s="759"/>
      <c r="B38" s="136" t="s">
        <v>112</v>
      </c>
      <c r="C38" s="142"/>
      <c r="D38" s="142"/>
      <c r="E38" s="1334"/>
      <c r="F38" s="186"/>
      <c r="G38" s="849"/>
      <c r="H38" s="11"/>
      <c r="I38" s="11"/>
      <c r="J38" s="11"/>
      <c r="K38" s="11"/>
      <c r="L38" s="11"/>
      <c r="M38" s="11"/>
    </row>
    <row r="39" spans="1:13" ht="12.6" customHeight="1" thickBot="1" x14ac:dyDescent="0.3">
      <c r="A39" s="845"/>
      <c r="B39" s="137" t="s">
        <v>57</v>
      </c>
      <c r="C39" s="138">
        <f>SUM(C33:C38)</f>
        <v>140000</v>
      </c>
      <c r="D39" s="138">
        <f>SUM(D33:D38)</f>
        <v>140000</v>
      </c>
      <c r="E39" s="1333">
        <f>SUM(E33:E38)</f>
        <v>284510</v>
      </c>
      <c r="F39" s="174">
        <f>SUM(E39/D39)</f>
        <v>2.0322142857142858</v>
      </c>
      <c r="G39" s="846"/>
      <c r="H39" s="11"/>
      <c r="I39" s="11"/>
      <c r="J39" s="11"/>
      <c r="K39" s="11"/>
      <c r="L39" s="11"/>
      <c r="M39" s="11"/>
    </row>
    <row r="40" spans="1:13" ht="12.6" customHeight="1" x14ac:dyDescent="0.25">
      <c r="A40" s="840">
        <v>3058</v>
      </c>
      <c r="B40" s="131" t="s">
        <v>201</v>
      </c>
      <c r="C40" s="139"/>
      <c r="D40" s="139"/>
      <c r="E40" s="1330"/>
      <c r="F40" s="125"/>
      <c r="G40" s="841"/>
      <c r="H40" s="11"/>
      <c r="I40" s="11"/>
      <c r="J40" s="11"/>
      <c r="K40" s="11"/>
      <c r="L40" s="11"/>
      <c r="M40" s="11"/>
    </row>
    <row r="41" spans="1:13" ht="12.6" customHeight="1" x14ac:dyDescent="0.25">
      <c r="A41" s="759"/>
      <c r="B41" s="21" t="s">
        <v>45</v>
      </c>
      <c r="C41" s="140"/>
      <c r="D41" s="140"/>
      <c r="E41" s="1331"/>
      <c r="F41" s="125"/>
      <c r="G41" s="843"/>
      <c r="H41" s="11"/>
      <c r="I41" s="11"/>
      <c r="J41" s="11"/>
      <c r="K41" s="11"/>
      <c r="L41" s="11"/>
      <c r="M41" s="11"/>
    </row>
    <row r="42" spans="1:13" ht="12.6" customHeight="1" x14ac:dyDescent="0.25">
      <c r="A42" s="759"/>
      <c r="B42" s="3" t="s">
        <v>125</v>
      </c>
      <c r="C42" s="140"/>
      <c r="D42" s="140"/>
      <c r="E42" s="1331"/>
      <c r="F42" s="188"/>
      <c r="G42" s="847"/>
      <c r="H42" s="11"/>
      <c r="I42" s="11"/>
      <c r="J42" s="11"/>
      <c r="K42" s="11"/>
      <c r="L42" s="11"/>
      <c r="M42" s="11"/>
    </row>
    <row r="43" spans="1:13" ht="12.6" customHeight="1" x14ac:dyDescent="0.25">
      <c r="A43" s="759"/>
      <c r="B43" s="56" t="s">
        <v>117</v>
      </c>
      <c r="C43" s="140">
        <v>10000</v>
      </c>
      <c r="D43" s="140">
        <v>10000</v>
      </c>
      <c r="E43" s="1331">
        <f>10000+9438</f>
        <v>19438</v>
      </c>
      <c r="F43" s="149">
        <f>SUM(E43/D43)</f>
        <v>1.9438</v>
      </c>
      <c r="G43" s="843" t="s">
        <v>1051</v>
      </c>
      <c r="H43" s="11"/>
      <c r="I43" s="11"/>
      <c r="J43" s="11"/>
      <c r="K43" s="11"/>
      <c r="L43" s="11"/>
      <c r="M43" s="11"/>
    </row>
    <row r="44" spans="1:13" ht="12.6" customHeight="1" x14ac:dyDescent="0.25">
      <c r="A44" s="759"/>
      <c r="B44" s="135" t="s">
        <v>49</v>
      </c>
      <c r="C44" s="140"/>
      <c r="D44" s="140"/>
      <c r="E44" s="1331"/>
      <c r="F44" s="149"/>
      <c r="G44" s="842" t="s">
        <v>1054</v>
      </c>
      <c r="H44" s="11"/>
      <c r="I44" s="11"/>
      <c r="J44" s="11"/>
      <c r="K44" s="11"/>
      <c r="L44" s="11"/>
      <c r="M44" s="11"/>
    </row>
    <row r="45" spans="1:13" ht="12.6" customHeight="1" x14ac:dyDescent="0.25">
      <c r="A45" s="759"/>
      <c r="B45" s="135" t="s">
        <v>122</v>
      </c>
      <c r="C45" s="139"/>
      <c r="D45" s="139"/>
      <c r="E45" s="1330"/>
      <c r="F45" s="149"/>
      <c r="G45" s="842"/>
      <c r="H45" s="11"/>
      <c r="I45" s="11"/>
      <c r="J45" s="11"/>
      <c r="K45" s="11"/>
      <c r="L45" s="11"/>
      <c r="M45" s="11"/>
    </row>
    <row r="46" spans="1:13" ht="12.6" customHeight="1" x14ac:dyDescent="0.25">
      <c r="A46" s="759"/>
      <c r="B46" s="3" t="s">
        <v>97</v>
      </c>
      <c r="C46" s="546"/>
      <c r="D46" s="546"/>
      <c r="E46" s="1337"/>
      <c r="F46" s="149"/>
      <c r="G46" s="848"/>
      <c r="H46" s="11"/>
      <c r="I46" s="11"/>
      <c r="J46" s="11"/>
      <c r="K46" s="11"/>
      <c r="L46" s="11"/>
      <c r="M46" s="11"/>
    </row>
    <row r="47" spans="1:13" ht="12.6" customHeight="1" x14ac:dyDescent="0.25">
      <c r="A47" s="759"/>
      <c r="B47" s="135" t="s">
        <v>185</v>
      </c>
      <c r="C47" s="141"/>
      <c r="D47" s="141"/>
      <c r="E47" s="1332"/>
      <c r="F47" s="149"/>
      <c r="G47" s="848"/>
      <c r="H47" s="11"/>
      <c r="I47" s="11"/>
      <c r="J47" s="11"/>
      <c r="K47" s="11"/>
      <c r="L47" s="11"/>
      <c r="M47" s="11"/>
    </row>
    <row r="48" spans="1:13" ht="12.6" customHeight="1" thickBot="1" x14ac:dyDescent="0.3">
      <c r="A48" s="759"/>
      <c r="B48" s="136" t="s">
        <v>112</v>
      </c>
      <c r="C48" s="142">
        <v>0</v>
      </c>
      <c r="D48" s="142">
        <v>0</v>
      </c>
      <c r="E48" s="1334">
        <v>0</v>
      </c>
      <c r="F48" s="189"/>
      <c r="G48" s="849"/>
      <c r="H48" s="11"/>
      <c r="I48" s="11"/>
      <c r="J48" s="11"/>
      <c r="K48" s="11"/>
      <c r="L48" s="11"/>
      <c r="M48" s="11"/>
    </row>
    <row r="49" spans="1:13" ht="12.6" customHeight="1" thickBot="1" x14ac:dyDescent="0.3">
      <c r="A49" s="845"/>
      <c r="B49" s="137" t="s">
        <v>57</v>
      </c>
      <c r="C49" s="138">
        <f t="shared" ref="C49" si="2">SUM(C43:C48)</f>
        <v>10000</v>
      </c>
      <c r="D49" s="138">
        <f t="shared" ref="D49:E49" si="3">SUM(D43:D48)</f>
        <v>10000</v>
      </c>
      <c r="E49" s="1333">
        <f t="shared" si="3"/>
        <v>19438</v>
      </c>
      <c r="F49" s="174">
        <f>SUM(E49/D49)</f>
        <v>1.9438</v>
      </c>
      <c r="G49" s="846"/>
      <c r="H49" s="11"/>
      <c r="I49" s="11"/>
      <c r="J49" s="11"/>
      <c r="K49" s="11"/>
      <c r="L49" s="11"/>
      <c r="M49" s="11"/>
    </row>
    <row r="50" spans="1:13" ht="12.6" customHeight="1" x14ac:dyDescent="0.25">
      <c r="A50" s="840">
        <v>3059</v>
      </c>
      <c r="B50" s="131" t="s">
        <v>223</v>
      </c>
      <c r="C50" s="139"/>
      <c r="D50" s="139"/>
      <c r="E50" s="1330"/>
      <c r="F50" s="125"/>
      <c r="G50" s="841"/>
      <c r="H50" s="11"/>
      <c r="I50" s="11"/>
      <c r="J50" s="11"/>
      <c r="K50" s="11"/>
      <c r="L50" s="11"/>
      <c r="M50" s="11"/>
    </row>
    <row r="51" spans="1:13" ht="12.6" customHeight="1" x14ac:dyDescent="0.25">
      <c r="A51" s="759"/>
      <c r="B51" s="21" t="s">
        <v>45</v>
      </c>
      <c r="C51" s="140"/>
      <c r="D51" s="140"/>
      <c r="E51" s="1331">
        <v>972</v>
      </c>
      <c r="F51" s="125"/>
      <c r="G51" s="843"/>
      <c r="H51" s="11"/>
      <c r="I51" s="11"/>
      <c r="J51" s="11"/>
      <c r="K51" s="11"/>
      <c r="L51" s="11"/>
      <c r="M51" s="11"/>
    </row>
    <row r="52" spans="1:13" ht="12.6" customHeight="1" x14ac:dyDescent="0.25">
      <c r="A52" s="759"/>
      <c r="B52" s="3" t="s">
        <v>125</v>
      </c>
      <c r="C52" s="140"/>
      <c r="D52" s="140"/>
      <c r="E52" s="1331">
        <v>126</v>
      </c>
      <c r="F52" s="188"/>
      <c r="G52" s="847"/>
      <c r="H52" s="11"/>
      <c r="I52" s="11"/>
      <c r="J52" s="11"/>
      <c r="K52" s="11"/>
      <c r="L52" s="11"/>
      <c r="M52" s="11"/>
    </row>
    <row r="53" spans="1:13" ht="12.6" customHeight="1" x14ac:dyDescent="0.25">
      <c r="A53" s="759"/>
      <c r="B53" s="56" t="s">
        <v>117</v>
      </c>
      <c r="C53" s="140">
        <v>50000</v>
      </c>
      <c r="D53" s="140">
        <v>50000</v>
      </c>
      <c r="E53" s="1331">
        <f>50000+10388</f>
        <v>60388</v>
      </c>
      <c r="F53" s="149">
        <f>SUM(E53/D53)</f>
        <v>1.2077599999999999</v>
      </c>
      <c r="G53" s="843" t="s">
        <v>1051</v>
      </c>
      <c r="H53" s="11"/>
      <c r="I53" s="11"/>
      <c r="J53" s="11"/>
      <c r="K53" s="11"/>
      <c r="L53" s="11"/>
      <c r="M53" s="11"/>
    </row>
    <row r="54" spans="1:13" ht="12.6" customHeight="1" x14ac:dyDescent="0.25">
      <c r="A54" s="759"/>
      <c r="B54" s="135" t="s">
        <v>49</v>
      </c>
      <c r="C54" s="140"/>
      <c r="D54" s="140"/>
      <c r="E54" s="1331"/>
      <c r="F54" s="149"/>
      <c r="G54" s="842" t="s">
        <v>1054</v>
      </c>
      <c r="H54" s="11"/>
      <c r="I54" s="11"/>
      <c r="J54" s="11"/>
      <c r="K54" s="11"/>
      <c r="L54" s="11"/>
      <c r="M54" s="11"/>
    </row>
    <row r="55" spans="1:13" ht="12.6" customHeight="1" x14ac:dyDescent="0.25">
      <c r="A55" s="759"/>
      <c r="B55" s="135" t="s">
        <v>122</v>
      </c>
      <c r="C55" s="139"/>
      <c r="D55" s="139"/>
      <c r="E55" s="1330"/>
      <c r="F55" s="149"/>
      <c r="G55" s="842"/>
      <c r="H55" s="11"/>
      <c r="I55" s="11"/>
      <c r="J55" s="11"/>
      <c r="K55" s="11"/>
      <c r="L55" s="11"/>
      <c r="M55" s="11"/>
    </row>
    <row r="56" spans="1:13" ht="12.6" customHeight="1" x14ac:dyDescent="0.25">
      <c r="A56" s="759"/>
      <c r="B56" s="3" t="s">
        <v>97</v>
      </c>
      <c r="C56" s="546"/>
      <c r="D56" s="546"/>
      <c r="E56" s="1337"/>
      <c r="F56" s="149"/>
      <c r="G56" s="848"/>
      <c r="H56" s="11"/>
      <c r="I56" s="11"/>
      <c r="J56" s="11"/>
      <c r="K56" s="11"/>
      <c r="L56" s="11"/>
      <c r="M56" s="11"/>
    </row>
    <row r="57" spans="1:13" ht="12.6" customHeight="1" x14ac:dyDescent="0.25">
      <c r="A57" s="759"/>
      <c r="B57" s="133" t="s">
        <v>185</v>
      </c>
      <c r="C57" s="546"/>
      <c r="D57" s="546"/>
      <c r="E57" s="1337"/>
      <c r="F57" s="149"/>
      <c r="G57" s="848"/>
      <c r="H57" s="11"/>
      <c r="I57" s="11"/>
      <c r="J57" s="11"/>
      <c r="K57" s="11"/>
      <c r="L57" s="11"/>
      <c r="M57" s="11"/>
    </row>
    <row r="58" spans="1:13" ht="12.6" customHeight="1" thickBot="1" x14ac:dyDescent="0.3">
      <c r="A58" s="759"/>
      <c r="B58" s="136" t="s">
        <v>112</v>
      </c>
      <c r="C58" s="142">
        <v>0</v>
      </c>
      <c r="D58" s="142">
        <v>0</v>
      </c>
      <c r="E58" s="1334">
        <v>0</v>
      </c>
      <c r="F58" s="186"/>
      <c r="G58" s="849"/>
      <c r="H58" s="11"/>
      <c r="I58" s="11"/>
      <c r="J58" s="11"/>
      <c r="K58" s="11"/>
      <c r="L58" s="11"/>
      <c r="M58" s="11"/>
    </row>
    <row r="59" spans="1:13" ht="12.6" customHeight="1" thickBot="1" x14ac:dyDescent="0.3">
      <c r="A59" s="845"/>
      <c r="B59" s="137" t="s">
        <v>57</v>
      </c>
      <c r="C59" s="138">
        <f>SUM(C53:C58)</f>
        <v>50000</v>
      </c>
      <c r="D59" s="138">
        <f>SUM(D53:D58)</f>
        <v>50000</v>
      </c>
      <c r="E59" s="1333">
        <f>SUM(E51:E58)</f>
        <v>61486</v>
      </c>
      <c r="F59" s="174">
        <f>SUM(E59/D59)</f>
        <v>1.2297199999999999</v>
      </c>
      <c r="G59" s="846"/>
      <c r="H59" s="11"/>
      <c r="I59" s="11"/>
      <c r="J59" s="11"/>
      <c r="K59" s="11"/>
      <c r="L59" s="11"/>
      <c r="M59" s="11"/>
    </row>
    <row r="60" spans="1:13" ht="12.6" thickBot="1" x14ac:dyDescent="0.3">
      <c r="A60" s="646">
        <v>3060</v>
      </c>
      <c r="B60" s="137" t="s">
        <v>27</v>
      </c>
      <c r="C60" s="138">
        <f t="shared" ref="C60:D60" si="4">SUM(C70+C80)</f>
        <v>43000</v>
      </c>
      <c r="D60" s="138">
        <f t="shared" si="4"/>
        <v>43000</v>
      </c>
      <c r="E60" s="1333">
        <f t="shared" ref="E60" si="5">SUM(E70+E80)</f>
        <v>57025</v>
      </c>
      <c r="F60" s="174">
        <f>SUM(E60/D60)</f>
        <v>1.3261627906976745</v>
      </c>
      <c r="G60" s="647"/>
      <c r="H60" s="11"/>
      <c r="I60" s="11"/>
      <c r="J60" s="11"/>
      <c r="K60" s="11"/>
      <c r="L60" s="11"/>
      <c r="M60" s="11"/>
    </row>
    <row r="61" spans="1:13" ht="12" customHeight="1" x14ac:dyDescent="0.25">
      <c r="A61" s="840">
        <v>3061</v>
      </c>
      <c r="B61" s="143" t="s">
        <v>50</v>
      </c>
      <c r="C61" s="139"/>
      <c r="D61" s="139"/>
      <c r="E61" s="1330"/>
      <c r="F61" s="125"/>
      <c r="G61" s="850"/>
      <c r="H61" s="11"/>
      <c r="I61" s="11"/>
      <c r="J61" s="11"/>
      <c r="K61" s="11"/>
      <c r="L61" s="11"/>
      <c r="M61" s="11"/>
    </row>
    <row r="62" spans="1:13" ht="12" customHeight="1" x14ac:dyDescent="0.25">
      <c r="A62" s="759"/>
      <c r="B62" s="21" t="s">
        <v>45</v>
      </c>
      <c r="C62" s="140"/>
      <c r="D62" s="140"/>
      <c r="E62" s="1331"/>
      <c r="F62" s="125"/>
      <c r="G62" s="851"/>
      <c r="H62" s="11"/>
      <c r="I62" s="11"/>
      <c r="J62" s="11"/>
      <c r="K62" s="11"/>
      <c r="L62" s="11"/>
      <c r="M62" s="11"/>
    </row>
    <row r="63" spans="1:13" ht="12" customHeight="1" x14ac:dyDescent="0.25">
      <c r="A63" s="759"/>
      <c r="B63" s="3" t="s">
        <v>125</v>
      </c>
      <c r="C63" s="140"/>
      <c r="D63" s="140"/>
      <c r="E63" s="1331"/>
      <c r="F63" s="188"/>
      <c r="G63" s="843" t="s">
        <v>1043</v>
      </c>
      <c r="H63" s="11"/>
      <c r="I63" s="11"/>
      <c r="J63" s="11"/>
      <c r="K63" s="11"/>
      <c r="L63" s="11"/>
      <c r="M63" s="11"/>
    </row>
    <row r="64" spans="1:13" ht="12" customHeight="1" x14ac:dyDescent="0.25">
      <c r="A64" s="790"/>
      <c r="B64" s="56" t="s">
        <v>117</v>
      </c>
      <c r="C64" s="140">
        <v>3000</v>
      </c>
      <c r="D64" s="140">
        <v>3000</v>
      </c>
      <c r="E64" s="1331">
        <f>3000+3279</f>
        <v>6279</v>
      </c>
      <c r="F64" s="149">
        <f>SUM(E64/D64)</f>
        <v>2.093</v>
      </c>
      <c r="G64" s="844"/>
      <c r="H64" s="11"/>
      <c r="I64" s="11"/>
      <c r="J64" s="11"/>
      <c r="K64" s="11"/>
      <c r="L64" s="11"/>
      <c r="M64" s="11"/>
    </row>
    <row r="65" spans="1:13" ht="12" customHeight="1" x14ac:dyDescent="0.25">
      <c r="A65" s="790"/>
      <c r="B65" s="135" t="s">
        <v>49</v>
      </c>
      <c r="C65" s="140"/>
      <c r="D65" s="140"/>
      <c r="E65" s="1331"/>
      <c r="F65" s="149"/>
      <c r="G65" s="843" t="s">
        <v>1055</v>
      </c>
      <c r="H65" s="11"/>
      <c r="I65" s="11"/>
      <c r="J65" s="11"/>
      <c r="K65" s="11"/>
      <c r="L65" s="11"/>
      <c r="M65" s="11"/>
    </row>
    <row r="66" spans="1:13" ht="12" x14ac:dyDescent="0.25">
      <c r="A66" s="790"/>
      <c r="B66" s="135" t="s">
        <v>122</v>
      </c>
      <c r="C66" s="140"/>
      <c r="D66" s="140"/>
      <c r="E66" s="1331"/>
      <c r="F66" s="149"/>
      <c r="G66" s="850"/>
      <c r="H66" s="11"/>
      <c r="I66" s="11"/>
      <c r="J66" s="11"/>
      <c r="K66" s="11"/>
      <c r="L66" s="11"/>
      <c r="M66" s="11"/>
    </row>
    <row r="67" spans="1:13" ht="12" x14ac:dyDescent="0.25">
      <c r="A67" s="790"/>
      <c r="B67" s="3" t="s">
        <v>97</v>
      </c>
      <c r="C67" s="197"/>
      <c r="D67" s="197"/>
      <c r="E67" s="1338"/>
      <c r="F67" s="188"/>
      <c r="G67" s="852"/>
      <c r="H67" s="11"/>
      <c r="I67" s="11"/>
      <c r="J67" s="11"/>
      <c r="K67" s="11"/>
      <c r="L67" s="11"/>
      <c r="M67" s="11"/>
    </row>
    <row r="68" spans="1:13" ht="12" x14ac:dyDescent="0.25">
      <c r="A68" s="790"/>
      <c r="B68" s="133" t="s">
        <v>185</v>
      </c>
      <c r="C68" s="197"/>
      <c r="D68" s="197"/>
      <c r="E68" s="1338"/>
      <c r="F68" s="188"/>
      <c r="G68" s="852"/>
      <c r="H68" s="11"/>
      <c r="I68" s="11"/>
      <c r="J68" s="11"/>
      <c r="K68" s="11"/>
      <c r="L68" s="11"/>
      <c r="M68" s="11"/>
    </row>
    <row r="69" spans="1:13" ht="12.6" thickBot="1" x14ac:dyDescent="0.3">
      <c r="A69" s="790" t="s">
        <v>115</v>
      </c>
      <c r="B69" s="159" t="s">
        <v>112</v>
      </c>
      <c r="C69" s="547"/>
      <c r="D69" s="547"/>
      <c r="E69" s="1339"/>
      <c r="F69" s="548"/>
      <c r="G69" s="853"/>
      <c r="H69" s="11"/>
      <c r="I69" s="11"/>
      <c r="J69" s="11"/>
      <c r="K69" s="11"/>
      <c r="L69" s="11"/>
      <c r="M69" s="11"/>
    </row>
    <row r="70" spans="1:13" ht="12.6" thickBot="1" x14ac:dyDescent="0.3">
      <c r="A70" s="854"/>
      <c r="B70" s="202" t="s">
        <v>57</v>
      </c>
      <c r="C70" s="138">
        <f t="shared" ref="C70" si="6">SUM(C62:C69)</f>
        <v>3000</v>
      </c>
      <c r="D70" s="138">
        <f t="shared" ref="D70:E70" si="7">SUM(D62:D69)</f>
        <v>3000</v>
      </c>
      <c r="E70" s="1333">
        <f t="shared" si="7"/>
        <v>6279</v>
      </c>
      <c r="F70" s="174">
        <f>SUM(E70/D70)</f>
        <v>2.093</v>
      </c>
      <c r="G70" s="549"/>
      <c r="H70" s="11"/>
      <c r="I70" s="11"/>
      <c r="J70" s="11"/>
      <c r="K70" s="11"/>
      <c r="L70" s="11"/>
      <c r="M70" s="11"/>
    </row>
    <row r="71" spans="1:13" ht="12" x14ac:dyDescent="0.25">
      <c r="A71" s="825">
        <v>3071</v>
      </c>
      <c r="B71" s="143" t="s">
        <v>60</v>
      </c>
      <c r="C71" s="139"/>
      <c r="D71" s="139"/>
      <c r="E71" s="1330"/>
      <c r="F71" s="125"/>
      <c r="G71" s="855"/>
      <c r="H71" s="11"/>
      <c r="I71" s="11"/>
      <c r="J71" s="11"/>
      <c r="K71" s="11"/>
      <c r="L71" s="11"/>
      <c r="M71" s="11"/>
    </row>
    <row r="72" spans="1:13" ht="12" customHeight="1" x14ac:dyDescent="0.25">
      <c r="A72" s="790"/>
      <c r="B72" s="21" t="s">
        <v>45</v>
      </c>
      <c r="C72" s="140"/>
      <c r="D72" s="140"/>
      <c r="E72" s="1331"/>
      <c r="F72" s="188"/>
      <c r="G72" s="847"/>
      <c r="H72" s="11"/>
      <c r="I72" s="11"/>
      <c r="J72" s="11"/>
      <c r="K72" s="11"/>
      <c r="L72" s="11"/>
      <c r="M72" s="11"/>
    </row>
    <row r="73" spans="1:13" ht="12" customHeight="1" x14ac:dyDescent="0.25">
      <c r="A73" s="759"/>
      <c r="B73" s="3" t="s">
        <v>125</v>
      </c>
      <c r="C73" s="140"/>
      <c r="D73" s="140"/>
      <c r="E73" s="1331"/>
      <c r="F73" s="149"/>
      <c r="G73" s="844"/>
      <c r="H73" s="11"/>
      <c r="I73" s="11"/>
      <c r="J73" s="11"/>
      <c r="K73" s="11"/>
      <c r="L73" s="11"/>
      <c r="M73" s="11"/>
    </row>
    <row r="74" spans="1:13" ht="12" customHeight="1" x14ac:dyDescent="0.25">
      <c r="A74" s="759"/>
      <c r="B74" s="56" t="s">
        <v>117</v>
      </c>
      <c r="C74" s="140">
        <v>25000</v>
      </c>
      <c r="D74" s="140">
        <v>25000</v>
      </c>
      <c r="E74" s="1331">
        <f>25000+3746</f>
        <v>28746</v>
      </c>
      <c r="F74" s="149">
        <f>SUM(E74/D74)</f>
        <v>1.14984</v>
      </c>
      <c r="G74" s="843" t="s">
        <v>1051</v>
      </c>
      <c r="H74" s="11"/>
      <c r="I74" s="11"/>
      <c r="J74" s="11"/>
      <c r="K74" s="11"/>
      <c r="L74" s="11"/>
      <c r="M74" s="11"/>
    </row>
    <row r="75" spans="1:13" ht="12" customHeight="1" x14ac:dyDescent="0.25">
      <c r="A75" s="759"/>
      <c r="B75" s="135" t="s">
        <v>49</v>
      </c>
      <c r="C75" s="140"/>
      <c r="D75" s="140"/>
      <c r="E75" s="1331"/>
      <c r="F75" s="149"/>
      <c r="G75" s="842" t="s">
        <v>1054</v>
      </c>
      <c r="H75" s="11"/>
      <c r="I75" s="11"/>
      <c r="J75" s="11"/>
      <c r="K75" s="11"/>
      <c r="L75" s="11"/>
      <c r="M75" s="11"/>
    </row>
    <row r="76" spans="1:13" ht="12" customHeight="1" x14ac:dyDescent="0.25">
      <c r="A76" s="759"/>
      <c r="B76" s="135" t="s">
        <v>122</v>
      </c>
      <c r="C76" s="140"/>
      <c r="D76" s="140"/>
      <c r="E76" s="1331"/>
      <c r="F76" s="149"/>
      <c r="G76" s="856"/>
      <c r="H76" s="11"/>
      <c r="I76" s="11"/>
      <c r="J76" s="11"/>
      <c r="K76" s="11"/>
      <c r="L76" s="11"/>
      <c r="M76" s="11"/>
    </row>
    <row r="77" spans="1:13" ht="12" customHeight="1" x14ac:dyDescent="0.25">
      <c r="A77" s="759"/>
      <c r="B77" s="4" t="s">
        <v>97</v>
      </c>
      <c r="C77" s="140">
        <v>15000</v>
      </c>
      <c r="D77" s="140">
        <v>15000</v>
      </c>
      <c r="E77" s="1331">
        <f>15000+7000</f>
        <v>22000</v>
      </c>
      <c r="F77" s="149"/>
      <c r="G77" s="844"/>
      <c r="H77" s="11"/>
      <c r="I77" s="11"/>
      <c r="J77" s="11"/>
      <c r="K77" s="11"/>
      <c r="L77" s="11"/>
      <c r="M77" s="11"/>
    </row>
    <row r="78" spans="1:13" ht="12" customHeight="1" x14ac:dyDescent="0.25">
      <c r="A78" s="759"/>
      <c r="B78" s="135" t="s">
        <v>185</v>
      </c>
      <c r="C78" s="197"/>
      <c r="D78" s="197"/>
      <c r="E78" s="1338"/>
      <c r="F78" s="188"/>
      <c r="G78" s="857"/>
      <c r="H78" s="11"/>
      <c r="I78" s="11"/>
      <c r="J78" s="11"/>
      <c r="K78" s="11"/>
      <c r="L78" s="11"/>
      <c r="M78" s="11"/>
    </row>
    <row r="79" spans="1:13" ht="12" customHeight="1" thickBot="1" x14ac:dyDescent="0.3">
      <c r="A79" s="759"/>
      <c r="B79" s="136" t="s">
        <v>112</v>
      </c>
      <c r="C79" s="144">
        <v>0</v>
      </c>
      <c r="D79" s="144">
        <v>0</v>
      </c>
      <c r="E79" s="1340">
        <v>0</v>
      </c>
      <c r="F79" s="189"/>
      <c r="G79" s="858"/>
      <c r="H79" s="11"/>
      <c r="I79" s="11"/>
      <c r="J79" s="11"/>
      <c r="K79" s="11"/>
      <c r="L79" s="11"/>
      <c r="M79" s="11"/>
    </row>
    <row r="80" spans="1:13" ht="12" customHeight="1" thickBot="1" x14ac:dyDescent="0.3">
      <c r="A80" s="854"/>
      <c r="B80" s="137" t="s">
        <v>57</v>
      </c>
      <c r="C80" s="138">
        <f t="shared" ref="C80" si="8">SUM(C74:C79)</f>
        <v>40000</v>
      </c>
      <c r="D80" s="138">
        <f t="shared" ref="D80:E80" si="9">SUM(D74:D79)</f>
        <v>40000</v>
      </c>
      <c r="E80" s="1333">
        <f t="shared" si="9"/>
        <v>50746</v>
      </c>
      <c r="F80" s="174">
        <f>SUM(E80/D80)</f>
        <v>1.2686500000000001</v>
      </c>
      <c r="G80" s="649"/>
      <c r="H80" s="11"/>
      <c r="I80" s="11"/>
      <c r="J80" s="11"/>
      <c r="K80" s="11"/>
      <c r="L80" s="11"/>
      <c r="M80" s="11"/>
    </row>
    <row r="81" spans="1:13" ht="12.6" thickBot="1" x14ac:dyDescent="0.3">
      <c r="A81" s="648">
        <v>3080</v>
      </c>
      <c r="B81" s="47" t="s">
        <v>28</v>
      </c>
      <c r="C81" s="138">
        <f t="shared" ref="C81:D81" si="10">SUM(C91)</f>
        <v>30000</v>
      </c>
      <c r="D81" s="138">
        <f t="shared" si="10"/>
        <v>30000</v>
      </c>
      <c r="E81" s="1333">
        <f t="shared" ref="E81" si="11">SUM(E91)</f>
        <v>32858</v>
      </c>
      <c r="F81" s="174">
        <f>SUM(E81/D81)</f>
        <v>1.0952666666666666</v>
      </c>
      <c r="G81" s="649"/>
      <c r="H81" s="11"/>
      <c r="I81" s="11"/>
      <c r="J81" s="11"/>
      <c r="K81" s="11"/>
      <c r="L81" s="11"/>
      <c r="M81" s="11"/>
    </row>
    <row r="82" spans="1:13" ht="12" customHeight="1" x14ac:dyDescent="0.25">
      <c r="A82" s="825">
        <v>3081</v>
      </c>
      <c r="B82" s="143" t="s">
        <v>63</v>
      </c>
      <c r="C82" s="139"/>
      <c r="D82" s="139"/>
      <c r="E82" s="1330"/>
      <c r="F82" s="125"/>
      <c r="G82" s="859"/>
      <c r="H82" s="11"/>
      <c r="I82" s="11"/>
      <c r="J82" s="11"/>
      <c r="K82" s="11"/>
      <c r="L82" s="11"/>
      <c r="M82" s="11"/>
    </row>
    <row r="83" spans="1:13" ht="12" customHeight="1" x14ac:dyDescent="0.25">
      <c r="A83" s="790"/>
      <c r="B83" s="21" t="s">
        <v>45</v>
      </c>
      <c r="C83" s="140"/>
      <c r="D83" s="140"/>
      <c r="E83" s="1331"/>
      <c r="F83" s="125"/>
      <c r="G83" s="842"/>
      <c r="H83" s="11"/>
      <c r="I83" s="11"/>
      <c r="J83" s="11"/>
      <c r="K83" s="11"/>
      <c r="L83" s="11"/>
      <c r="M83" s="11"/>
    </row>
    <row r="84" spans="1:13" ht="12" customHeight="1" x14ac:dyDescent="0.25">
      <c r="A84" s="790"/>
      <c r="B84" s="3" t="s">
        <v>125</v>
      </c>
      <c r="C84" s="140"/>
      <c r="D84" s="140"/>
      <c r="E84" s="1331"/>
      <c r="F84" s="188"/>
      <c r="G84" s="848"/>
      <c r="H84" s="11"/>
      <c r="I84" s="11"/>
      <c r="J84" s="11"/>
      <c r="K84" s="11"/>
      <c r="L84" s="11"/>
      <c r="M84" s="11"/>
    </row>
    <row r="85" spans="1:13" ht="12" customHeight="1" x14ac:dyDescent="0.25">
      <c r="A85" s="790"/>
      <c r="B85" s="56" t="s">
        <v>117</v>
      </c>
      <c r="C85" s="140"/>
      <c r="D85" s="140"/>
      <c r="E85" s="1331"/>
      <c r="F85" s="149"/>
      <c r="G85" s="842"/>
      <c r="H85" s="11"/>
      <c r="I85" s="11"/>
      <c r="J85" s="11"/>
      <c r="K85" s="11"/>
      <c r="L85" s="11"/>
      <c r="M85" s="11"/>
    </row>
    <row r="86" spans="1:13" ht="12" customHeight="1" x14ac:dyDescent="0.25">
      <c r="A86" s="790"/>
      <c r="B86" s="135" t="s">
        <v>49</v>
      </c>
      <c r="C86" s="140">
        <v>30000</v>
      </c>
      <c r="D86" s="140">
        <v>30000</v>
      </c>
      <c r="E86" s="1331">
        <f>30000+2858</f>
        <v>32858</v>
      </c>
      <c r="F86" s="149">
        <f>SUM(E86/D86)</f>
        <v>1.0952666666666666</v>
      </c>
      <c r="G86" s="848"/>
      <c r="H86" s="11"/>
      <c r="I86" s="11"/>
      <c r="J86" s="11"/>
      <c r="K86" s="11"/>
      <c r="L86" s="11"/>
      <c r="M86" s="11"/>
    </row>
    <row r="87" spans="1:13" ht="12" customHeight="1" x14ac:dyDescent="0.25">
      <c r="A87" s="790"/>
      <c r="B87" s="135" t="s">
        <v>122</v>
      </c>
      <c r="C87" s="140"/>
      <c r="D87" s="140"/>
      <c r="E87" s="1331"/>
      <c r="F87" s="149"/>
      <c r="G87" s="848"/>
      <c r="H87" s="11"/>
      <c r="I87" s="11"/>
      <c r="J87" s="11"/>
      <c r="K87" s="11"/>
      <c r="L87" s="11"/>
      <c r="M87" s="11"/>
    </row>
    <row r="88" spans="1:13" ht="12" customHeight="1" x14ac:dyDescent="0.25">
      <c r="A88" s="790"/>
      <c r="B88" s="4" t="s">
        <v>97</v>
      </c>
      <c r="C88" s="140"/>
      <c r="D88" s="140"/>
      <c r="E88" s="1331"/>
      <c r="F88" s="149"/>
      <c r="G88" s="848"/>
      <c r="H88" s="11"/>
      <c r="I88" s="11"/>
      <c r="J88" s="11"/>
      <c r="K88" s="11"/>
      <c r="L88" s="11"/>
      <c r="M88" s="11"/>
    </row>
    <row r="89" spans="1:13" ht="12" customHeight="1" x14ac:dyDescent="0.25">
      <c r="A89" s="790"/>
      <c r="B89" s="135" t="s">
        <v>185</v>
      </c>
      <c r="C89" s="140"/>
      <c r="D89" s="140"/>
      <c r="E89" s="1331"/>
      <c r="F89" s="125"/>
      <c r="G89" s="847"/>
      <c r="H89" s="11"/>
      <c r="I89" s="11"/>
      <c r="J89" s="11"/>
      <c r="K89" s="11"/>
      <c r="L89" s="11"/>
      <c r="M89" s="11"/>
    </row>
    <row r="90" spans="1:13" ht="12" customHeight="1" thickBot="1" x14ac:dyDescent="0.3">
      <c r="A90" s="759"/>
      <c r="B90" s="136" t="s">
        <v>112</v>
      </c>
      <c r="C90" s="147"/>
      <c r="D90" s="147"/>
      <c r="E90" s="1341"/>
      <c r="F90" s="185"/>
      <c r="G90" s="860"/>
      <c r="H90" s="11"/>
      <c r="I90" s="11"/>
      <c r="J90" s="11"/>
      <c r="K90" s="11"/>
      <c r="L90" s="11"/>
      <c r="M90" s="11"/>
    </row>
    <row r="91" spans="1:13" ht="12" customHeight="1" thickBot="1" x14ac:dyDescent="0.3">
      <c r="A91" s="854"/>
      <c r="B91" s="202" t="s">
        <v>57</v>
      </c>
      <c r="C91" s="138">
        <f t="shared" ref="C91" si="12">SUM(C83:C90)</f>
        <v>30000</v>
      </c>
      <c r="D91" s="138">
        <f t="shared" ref="D91:E91" si="13">SUM(D83:D90)</f>
        <v>30000</v>
      </c>
      <c r="E91" s="1333">
        <f t="shared" si="13"/>
        <v>32858</v>
      </c>
      <c r="F91" s="174">
        <f>SUM(E91/D91)</f>
        <v>1.0952666666666666</v>
      </c>
      <c r="G91" s="203"/>
      <c r="H91" s="11"/>
      <c r="I91" s="11"/>
      <c r="J91" s="11"/>
      <c r="K91" s="11"/>
      <c r="L91" s="11"/>
      <c r="M91" s="11"/>
    </row>
    <row r="92" spans="1:13" ht="12" customHeight="1" thickBot="1" x14ac:dyDescent="0.3">
      <c r="A92" s="648">
        <v>3130</v>
      </c>
      <c r="B92" s="145" t="s">
        <v>138</v>
      </c>
      <c r="C92" s="138">
        <f>SUM(C93+C144)</f>
        <v>1538699</v>
      </c>
      <c r="D92" s="138">
        <f>SUM(D93+D144)</f>
        <v>1538699</v>
      </c>
      <c r="E92" s="1333">
        <f>SUM(E93+E144)</f>
        <v>1572302</v>
      </c>
      <c r="F92" s="174">
        <f>SUM(E92/D92)</f>
        <v>1.0218385792152982</v>
      </c>
      <c r="G92" s="203"/>
      <c r="H92" s="11"/>
      <c r="I92" s="11"/>
      <c r="J92" s="11"/>
      <c r="K92" s="11"/>
      <c r="L92" s="11"/>
      <c r="M92" s="11"/>
    </row>
    <row r="93" spans="1:13" ht="12" customHeight="1" thickBot="1" x14ac:dyDescent="0.3">
      <c r="A93" s="825">
        <v>3110</v>
      </c>
      <c r="B93" s="145" t="s">
        <v>136</v>
      </c>
      <c r="C93" s="138">
        <f>SUM(C103+C123+C133+C113+C143)</f>
        <v>1497443</v>
      </c>
      <c r="D93" s="138">
        <f>SUM(D103+D123+D133+D113+D143)</f>
        <v>1497443</v>
      </c>
      <c r="E93" s="1333">
        <f>SUM(E103+E123+E133+E113+E143)</f>
        <v>1527732</v>
      </c>
      <c r="F93" s="174">
        <f>SUM(E93/D93)</f>
        <v>1.0202271472102777</v>
      </c>
      <c r="G93" s="203"/>
      <c r="H93" s="11"/>
      <c r="I93" s="11"/>
      <c r="J93" s="11"/>
      <c r="K93" s="11"/>
      <c r="L93" s="11"/>
      <c r="M93" s="11"/>
    </row>
    <row r="94" spans="1:13" ht="12" customHeight="1" x14ac:dyDescent="0.25">
      <c r="A94" s="830">
        <v>3111</v>
      </c>
      <c r="B94" s="146" t="s">
        <v>75</v>
      </c>
      <c r="C94" s="139"/>
      <c r="D94" s="139"/>
      <c r="E94" s="1330"/>
      <c r="F94" s="125"/>
      <c r="G94" s="839"/>
      <c r="H94" s="11"/>
      <c r="I94" s="11"/>
      <c r="J94" s="11"/>
      <c r="K94" s="11"/>
      <c r="L94" s="11"/>
      <c r="M94" s="11"/>
    </row>
    <row r="95" spans="1:13" ht="12" customHeight="1" x14ac:dyDescent="0.25">
      <c r="A95" s="759"/>
      <c r="B95" s="21" t="s">
        <v>45</v>
      </c>
      <c r="C95" s="140"/>
      <c r="D95" s="140"/>
      <c r="E95" s="1331"/>
      <c r="F95" s="125"/>
      <c r="G95" s="861"/>
      <c r="H95" s="11"/>
      <c r="I95" s="11"/>
      <c r="J95" s="11"/>
      <c r="K95" s="11"/>
      <c r="L95" s="11"/>
      <c r="M95" s="11"/>
    </row>
    <row r="96" spans="1:13" ht="12" customHeight="1" x14ac:dyDescent="0.25">
      <c r="A96" s="759"/>
      <c r="B96" s="3" t="s">
        <v>125</v>
      </c>
      <c r="C96" s="140"/>
      <c r="D96" s="140"/>
      <c r="E96" s="1331"/>
      <c r="F96" s="125"/>
      <c r="G96" s="861"/>
      <c r="H96" s="11"/>
      <c r="I96" s="11"/>
      <c r="J96" s="11"/>
      <c r="K96" s="11"/>
      <c r="L96" s="11"/>
      <c r="M96" s="11"/>
    </row>
    <row r="97" spans="1:13" ht="12" customHeight="1" x14ac:dyDescent="0.25">
      <c r="A97" s="759"/>
      <c r="B97" s="56" t="s">
        <v>117</v>
      </c>
      <c r="C97" s="140"/>
      <c r="D97" s="140"/>
      <c r="E97" s="1331"/>
      <c r="F97" s="125"/>
      <c r="G97" s="843" t="s">
        <v>1056</v>
      </c>
      <c r="H97" s="11"/>
      <c r="I97" s="11"/>
      <c r="J97" s="11"/>
      <c r="K97" s="11"/>
      <c r="L97" s="11"/>
      <c r="M97" s="11"/>
    </row>
    <row r="98" spans="1:13" ht="12" customHeight="1" x14ac:dyDescent="0.25">
      <c r="A98" s="759"/>
      <c r="B98" s="135" t="s">
        <v>49</v>
      </c>
      <c r="C98" s="140"/>
      <c r="D98" s="140"/>
      <c r="E98" s="1331"/>
      <c r="F98" s="125"/>
      <c r="G98" s="842" t="s">
        <v>1054</v>
      </c>
      <c r="H98" s="11"/>
      <c r="I98" s="11"/>
      <c r="J98" s="11"/>
      <c r="K98" s="11"/>
      <c r="L98" s="11"/>
      <c r="M98" s="11"/>
    </row>
    <row r="99" spans="1:13" ht="12" customHeight="1" x14ac:dyDescent="0.25">
      <c r="A99" s="759"/>
      <c r="B99" s="135" t="s">
        <v>122</v>
      </c>
      <c r="C99" s="140"/>
      <c r="D99" s="140"/>
      <c r="E99" s="1331"/>
      <c r="F99" s="125"/>
      <c r="G99" s="861"/>
      <c r="H99" s="11"/>
      <c r="I99" s="11"/>
      <c r="J99" s="11"/>
      <c r="K99" s="11"/>
      <c r="L99" s="11"/>
      <c r="M99" s="11"/>
    </row>
    <row r="100" spans="1:13" ht="12" customHeight="1" x14ac:dyDescent="0.25">
      <c r="A100" s="759"/>
      <c r="B100" s="4" t="s">
        <v>97</v>
      </c>
      <c r="C100" s="140"/>
      <c r="D100" s="140"/>
      <c r="E100" s="1331"/>
      <c r="F100" s="125"/>
      <c r="G100" s="862"/>
      <c r="H100" s="11"/>
      <c r="I100" s="11"/>
      <c r="J100" s="11"/>
      <c r="K100" s="11"/>
      <c r="L100" s="11"/>
      <c r="M100" s="11"/>
    </row>
    <row r="101" spans="1:13" ht="12" customHeight="1" x14ac:dyDescent="0.25">
      <c r="A101" s="759"/>
      <c r="B101" s="135" t="s">
        <v>185</v>
      </c>
      <c r="C101" s="140"/>
      <c r="D101" s="140"/>
      <c r="E101" s="1331"/>
      <c r="F101" s="125"/>
      <c r="G101" s="861"/>
      <c r="H101" s="11"/>
      <c r="I101" s="11"/>
      <c r="J101" s="11"/>
      <c r="K101" s="11"/>
      <c r="L101" s="11"/>
      <c r="M101" s="11"/>
    </row>
    <row r="102" spans="1:13" ht="12" customHeight="1" thickBot="1" x14ac:dyDescent="0.3">
      <c r="A102" s="759"/>
      <c r="B102" s="136" t="s">
        <v>112</v>
      </c>
      <c r="C102" s="147">
        <v>1200000</v>
      </c>
      <c r="D102" s="147">
        <v>1200000</v>
      </c>
      <c r="E102" s="1341">
        <f>1200000</f>
        <v>1200000</v>
      </c>
      <c r="F102" s="190">
        <f>SUM(E102/D102)</f>
        <v>1</v>
      </c>
      <c r="G102" s="861"/>
      <c r="H102" s="11"/>
      <c r="I102" s="11"/>
      <c r="J102" s="11"/>
      <c r="K102" s="11"/>
      <c r="L102" s="11"/>
      <c r="M102" s="11"/>
    </row>
    <row r="103" spans="1:13" ht="12" customHeight="1" thickBot="1" x14ac:dyDescent="0.3">
      <c r="A103" s="854"/>
      <c r="B103" s="137" t="s">
        <v>57</v>
      </c>
      <c r="C103" s="138">
        <f t="shared" ref="C103" si="14">SUM(C95:C102)</f>
        <v>1200000</v>
      </c>
      <c r="D103" s="138">
        <f t="shared" ref="D103:E103" si="15">SUM(D95:D102)</f>
        <v>1200000</v>
      </c>
      <c r="E103" s="1333">
        <f t="shared" si="15"/>
        <v>1200000</v>
      </c>
      <c r="F103" s="174">
        <f>SUM(E103/D103)</f>
        <v>1</v>
      </c>
      <c r="G103" s="203"/>
      <c r="H103" s="11"/>
      <c r="I103" s="11"/>
      <c r="J103" s="11"/>
      <c r="K103" s="11"/>
      <c r="L103" s="11"/>
      <c r="M103" s="11"/>
    </row>
    <row r="104" spans="1:13" ht="12" customHeight="1" x14ac:dyDescent="0.25">
      <c r="A104" s="830">
        <v>3112</v>
      </c>
      <c r="B104" s="146" t="s">
        <v>155</v>
      </c>
      <c r="C104" s="139"/>
      <c r="D104" s="139"/>
      <c r="E104" s="1330"/>
      <c r="F104" s="125"/>
      <c r="G104" s="839"/>
      <c r="H104" s="11"/>
      <c r="I104" s="11"/>
      <c r="J104" s="11"/>
      <c r="K104" s="11"/>
      <c r="L104" s="11"/>
      <c r="M104" s="11"/>
    </row>
    <row r="105" spans="1:13" ht="12" customHeight="1" x14ac:dyDescent="0.25">
      <c r="A105" s="759"/>
      <c r="B105" s="21" t="s">
        <v>45</v>
      </c>
      <c r="C105" s="140"/>
      <c r="D105" s="140"/>
      <c r="E105" s="1331"/>
      <c r="F105" s="125"/>
      <c r="G105" s="861"/>
      <c r="H105" s="11"/>
      <c r="I105" s="11"/>
      <c r="J105" s="11"/>
      <c r="K105" s="11"/>
      <c r="L105" s="11"/>
      <c r="M105" s="11"/>
    </row>
    <row r="106" spans="1:13" ht="12" customHeight="1" x14ac:dyDescent="0.25">
      <c r="A106" s="759"/>
      <c r="B106" s="3" t="s">
        <v>125</v>
      </c>
      <c r="C106" s="140"/>
      <c r="D106" s="140"/>
      <c r="E106" s="1331"/>
      <c r="F106" s="125"/>
      <c r="G106" s="861"/>
      <c r="H106" s="11"/>
      <c r="I106" s="11"/>
      <c r="J106" s="11"/>
      <c r="K106" s="11"/>
      <c r="L106" s="11"/>
      <c r="M106" s="11"/>
    </row>
    <row r="107" spans="1:13" ht="12" customHeight="1" x14ac:dyDescent="0.25">
      <c r="A107" s="759"/>
      <c r="B107" s="56" t="s">
        <v>117</v>
      </c>
      <c r="C107" s="140">
        <v>55000</v>
      </c>
      <c r="D107" s="140">
        <v>55000</v>
      </c>
      <c r="E107" s="1331">
        <f>55000+20000</f>
        <v>75000</v>
      </c>
      <c r="F107" s="149">
        <f>SUM(E107/D107)</f>
        <v>1.3636363636363635</v>
      </c>
      <c r="G107" s="843" t="s">
        <v>1051</v>
      </c>
      <c r="H107" s="11"/>
      <c r="I107" s="11"/>
      <c r="J107" s="11"/>
      <c r="K107" s="11"/>
      <c r="L107" s="11"/>
      <c r="M107" s="11"/>
    </row>
    <row r="108" spans="1:13" ht="12" customHeight="1" x14ac:dyDescent="0.25">
      <c r="A108" s="759"/>
      <c r="B108" s="135" t="s">
        <v>49</v>
      </c>
      <c r="C108" s="140"/>
      <c r="D108" s="140"/>
      <c r="E108" s="1331"/>
      <c r="F108" s="149"/>
      <c r="G108" s="843" t="s">
        <v>1057</v>
      </c>
      <c r="H108" s="11"/>
      <c r="I108" s="11"/>
      <c r="J108" s="11"/>
      <c r="K108" s="11"/>
      <c r="L108" s="11"/>
      <c r="M108" s="11"/>
    </row>
    <row r="109" spans="1:13" ht="12" customHeight="1" x14ac:dyDescent="0.25">
      <c r="A109" s="759"/>
      <c r="B109" s="135" t="s">
        <v>122</v>
      </c>
      <c r="C109" s="140"/>
      <c r="D109" s="140"/>
      <c r="E109" s="1331"/>
      <c r="F109" s="149"/>
      <c r="G109" s="842" t="s">
        <v>1054</v>
      </c>
      <c r="H109" s="11"/>
      <c r="I109" s="11"/>
      <c r="J109" s="11"/>
      <c r="K109" s="11"/>
      <c r="L109" s="11"/>
      <c r="M109" s="11"/>
    </row>
    <row r="110" spans="1:13" ht="12" customHeight="1" x14ac:dyDescent="0.25">
      <c r="A110" s="759"/>
      <c r="B110" s="4" t="s">
        <v>97</v>
      </c>
      <c r="C110" s="140"/>
      <c r="D110" s="140"/>
      <c r="E110" s="1331"/>
      <c r="F110" s="149"/>
      <c r="G110" s="842"/>
      <c r="H110" s="11"/>
      <c r="I110" s="11"/>
      <c r="J110" s="11"/>
      <c r="K110" s="11"/>
      <c r="L110" s="11"/>
      <c r="M110" s="11"/>
    </row>
    <row r="111" spans="1:13" ht="12" customHeight="1" x14ac:dyDescent="0.25">
      <c r="A111" s="759"/>
      <c r="B111" s="135" t="s">
        <v>185</v>
      </c>
      <c r="C111" s="140"/>
      <c r="D111" s="140"/>
      <c r="E111" s="1331"/>
      <c r="F111" s="149"/>
      <c r="G111" s="863"/>
      <c r="H111" s="11"/>
      <c r="I111" s="11"/>
      <c r="J111" s="11"/>
      <c r="K111" s="11"/>
      <c r="L111" s="11"/>
      <c r="M111" s="11"/>
    </row>
    <row r="112" spans="1:13" ht="12" customHeight="1" thickBot="1" x14ac:dyDescent="0.3">
      <c r="A112" s="759"/>
      <c r="B112" s="136" t="s">
        <v>112</v>
      </c>
      <c r="C112" s="147"/>
      <c r="D112" s="147"/>
      <c r="E112" s="1341"/>
      <c r="F112" s="189"/>
      <c r="G112" s="861"/>
      <c r="H112" s="11"/>
      <c r="I112" s="11"/>
      <c r="J112" s="11"/>
      <c r="K112" s="11"/>
      <c r="L112" s="11"/>
      <c r="M112" s="11"/>
    </row>
    <row r="113" spans="1:19" ht="12" customHeight="1" thickBot="1" x14ac:dyDescent="0.3">
      <c r="A113" s="854"/>
      <c r="B113" s="137" t="s">
        <v>57</v>
      </c>
      <c r="C113" s="138">
        <f>SUM(C105:C112)</f>
        <v>55000</v>
      </c>
      <c r="D113" s="138">
        <f>SUM(D105:D112)</f>
        <v>55000</v>
      </c>
      <c r="E113" s="1333">
        <f>SUM(E105:E112)</f>
        <v>75000</v>
      </c>
      <c r="F113" s="174">
        <f>SUM(E113/D113)</f>
        <v>1.3636363636363635</v>
      </c>
      <c r="G113" s="203"/>
      <c r="H113" s="11"/>
      <c r="I113" s="11"/>
      <c r="J113" s="11"/>
      <c r="K113" s="11"/>
      <c r="L113" s="11"/>
      <c r="M113" s="11"/>
    </row>
    <row r="114" spans="1:19" ht="12" customHeight="1" x14ac:dyDescent="0.25">
      <c r="A114" s="740">
        <v>3114</v>
      </c>
      <c r="B114" s="148" t="s">
        <v>52</v>
      </c>
      <c r="C114" s="54"/>
      <c r="D114" s="54"/>
      <c r="E114" s="1303"/>
      <c r="F114" s="125"/>
      <c r="G114" s="771"/>
      <c r="H114" s="11"/>
      <c r="I114" s="11"/>
      <c r="J114" s="11"/>
      <c r="K114" s="11"/>
      <c r="L114" s="11"/>
      <c r="M114" s="11"/>
    </row>
    <row r="115" spans="1:19" ht="12" customHeight="1" x14ac:dyDescent="0.25">
      <c r="A115" s="762"/>
      <c r="B115" s="21" t="s">
        <v>45</v>
      </c>
      <c r="C115" s="51"/>
      <c r="D115" s="51"/>
      <c r="E115" s="1304"/>
      <c r="F115" s="125"/>
      <c r="G115" s="861"/>
      <c r="H115" s="11"/>
      <c r="I115" s="11"/>
      <c r="J115" s="11"/>
      <c r="K115" s="11"/>
      <c r="L115" s="11"/>
      <c r="M115" s="11"/>
    </row>
    <row r="116" spans="1:19" ht="12" customHeight="1" x14ac:dyDescent="0.25">
      <c r="A116" s="762"/>
      <c r="B116" s="3" t="s">
        <v>125</v>
      </c>
      <c r="C116" s="51"/>
      <c r="D116" s="51"/>
      <c r="E116" s="1304"/>
      <c r="F116" s="125"/>
      <c r="G116" s="864"/>
      <c r="H116" s="11"/>
      <c r="I116" s="11"/>
      <c r="J116" s="11"/>
      <c r="K116" s="11"/>
      <c r="L116" s="11"/>
      <c r="M116" s="11"/>
    </row>
    <row r="117" spans="1:19" ht="12" customHeight="1" x14ac:dyDescent="0.25">
      <c r="A117" s="762"/>
      <c r="B117" s="56" t="s">
        <v>117</v>
      </c>
      <c r="C117" s="51">
        <v>172443</v>
      </c>
      <c r="D117" s="51">
        <v>172443</v>
      </c>
      <c r="E117" s="1304">
        <f>172443</f>
        <v>172443</v>
      </c>
      <c r="F117" s="149">
        <f>SUM(E117/D117)</f>
        <v>1</v>
      </c>
      <c r="G117" s="865"/>
      <c r="H117" s="11"/>
      <c r="I117" s="11"/>
      <c r="J117" s="11"/>
      <c r="K117" s="11"/>
      <c r="L117" s="11"/>
      <c r="M117" s="11"/>
    </row>
    <row r="118" spans="1:19" ht="12" customHeight="1" x14ac:dyDescent="0.25">
      <c r="A118" s="762"/>
      <c r="B118" s="135" t="s">
        <v>49</v>
      </c>
      <c r="C118" s="51"/>
      <c r="D118" s="51"/>
      <c r="E118" s="1304"/>
      <c r="F118" s="149"/>
      <c r="G118" s="843" t="s">
        <v>1056</v>
      </c>
      <c r="H118" s="11"/>
      <c r="I118" s="11"/>
      <c r="J118" s="11"/>
      <c r="K118" s="11"/>
      <c r="L118" s="11"/>
      <c r="M118" s="11"/>
    </row>
    <row r="119" spans="1:19" ht="12" customHeight="1" x14ac:dyDescent="0.25">
      <c r="A119" s="762"/>
      <c r="B119" s="135" t="s">
        <v>122</v>
      </c>
      <c r="C119" s="51"/>
      <c r="D119" s="51"/>
      <c r="E119" s="1304"/>
      <c r="F119" s="149"/>
      <c r="G119" s="842" t="s">
        <v>1054</v>
      </c>
      <c r="H119" s="11"/>
      <c r="I119" s="11"/>
      <c r="J119" s="11"/>
      <c r="K119" s="11"/>
      <c r="L119" s="11"/>
      <c r="M119" s="11"/>
      <c r="P119" s="118"/>
      <c r="Q119" s="118"/>
      <c r="R119" s="118"/>
      <c r="S119" s="118"/>
    </row>
    <row r="120" spans="1:19" ht="12" customHeight="1" x14ac:dyDescent="0.25">
      <c r="A120" s="762"/>
      <c r="B120" s="4" t="s">
        <v>97</v>
      </c>
      <c r="C120" s="51"/>
      <c r="D120" s="51"/>
      <c r="E120" s="1304"/>
      <c r="F120" s="149"/>
      <c r="G120" s="866"/>
      <c r="H120" s="11"/>
      <c r="I120" s="11"/>
      <c r="J120" s="11"/>
      <c r="K120" s="11"/>
      <c r="L120" s="11"/>
      <c r="M120" s="11"/>
      <c r="P120" s="118"/>
      <c r="Q120" s="118"/>
      <c r="R120" s="118"/>
      <c r="S120" s="118"/>
    </row>
    <row r="121" spans="1:19" ht="12" customHeight="1" x14ac:dyDescent="0.25">
      <c r="A121" s="762"/>
      <c r="B121" s="135" t="s">
        <v>185</v>
      </c>
      <c r="C121" s="51"/>
      <c r="D121" s="51"/>
      <c r="E121" s="1304"/>
      <c r="F121" s="125"/>
      <c r="G121" s="844"/>
      <c r="H121" s="11"/>
      <c r="I121" s="11"/>
      <c r="J121" s="11"/>
      <c r="K121" s="11"/>
      <c r="L121" s="11"/>
      <c r="M121" s="11"/>
    </row>
    <row r="122" spans="1:19" ht="12" customHeight="1" thickBot="1" x14ac:dyDescent="0.3">
      <c r="A122" s="762"/>
      <c r="B122" s="136" t="s">
        <v>112</v>
      </c>
      <c r="C122" s="108"/>
      <c r="D122" s="108"/>
      <c r="E122" s="1305"/>
      <c r="F122" s="186"/>
      <c r="G122" s="867"/>
      <c r="H122" s="11"/>
      <c r="I122" s="11"/>
      <c r="J122" s="11"/>
      <c r="K122" s="11"/>
      <c r="L122" s="11"/>
      <c r="M122" s="11"/>
    </row>
    <row r="123" spans="1:19" ht="12" customHeight="1" thickBot="1" x14ac:dyDescent="0.3">
      <c r="A123" s="868"/>
      <c r="B123" s="137" t="s">
        <v>57</v>
      </c>
      <c r="C123" s="150">
        <f t="shared" ref="C123:D123" si="16">SUM(C115:C122)</f>
        <v>172443</v>
      </c>
      <c r="D123" s="150">
        <f t="shared" si="16"/>
        <v>172443</v>
      </c>
      <c r="E123" s="1306">
        <f t="shared" ref="E123" si="17">SUM(E115:E122)</f>
        <v>172443</v>
      </c>
      <c r="F123" s="174">
        <f>SUM(E123/D123)</f>
        <v>1</v>
      </c>
      <c r="G123" s="203"/>
      <c r="H123" s="11"/>
      <c r="I123" s="11"/>
      <c r="J123" s="11"/>
      <c r="K123" s="11"/>
      <c r="L123" s="11"/>
      <c r="M123" s="11"/>
    </row>
    <row r="124" spans="1:19" ht="12" customHeight="1" x14ac:dyDescent="0.25">
      <c r="A124" s="740">
        <v>3115</v>
      </c>
      <c r="B124" s="148" t="s">
        <v>176</v>
      </c>
      <c r="C124" s="54"/>
      <c r="D124" s="54"/>
      <c r="E124" s="1303"/>
      <c r="F124" s="125"/>
      <c r="G124" s="771"/>
      <c r="H124" s="11"/>
      <c r="I124" s="11"/>
      <c r="J124" s="11"/>
      <c r="K124" s="11"/>
      <c r="L124" s="11"/>
      <c r="M124" s="11"/>
    </row>
    <row r="125" spans="1:19" ht="12" customHeight="1" x14ac:dyDescent="0.25">
      <c r="A125" s="762"/>
      <c r="B125" s="21" t="s">
        <v>45</v>
      </c>
      <c r="C125" s="51"/>
      <c r="D125" s="51"/>
      <c r="E125" s="1304"/>
      <c r="F125" s="125"/>
      <c r="G125" s="861"/>
      <c r="H125" s="11"/>
      <c r="I125" s="11"/>
      <c r="J125" s="11"/>
      <c r="K125" s="11"/>
      <c r="L125" s="11"/>
      <c r="M125" s="11"/>
    </row>
    <row r="126" spans="1:19" ht="12" customHeight="1" x14ac:dyDescent="0.25">
      <c r="A126" s="762"/>
      <c r="B126" s="3" t="s">
        <v>125</v>
      </c>
      <c r="C126" s="51"/>
      <c r="D126" s="51"/>
      <c r="E126" s="1304"/>
      <c r="F126" s="188"/>
      <c r="G126" s="843"/>
      <c r="H126" s="11"/>
      <c r="I126" s="11"/>
      <c r="J126" s="11"/>
      <c r="K126" s="11"/>
      <c r="L126" s="11"/>
      <c r="M126" s="11"/>
    </row>
    <row r="127" spans="1:19" ht="12" customHeight="1" x14ac:dyDescent="0.25">
      <c r="A127" s="762"/>
      <c r="B127" s="56" t="s">
        <v>117</v>
      </c>
      <c r="C127" s="51">
        <f>35000+15000</f>
        <v>50000</v>
      </c>
      <c r="D127" s="51">
        <f>35000+15000</f>
        <v>50000</v>
      </c>
      <c r="E127" s="1304">
        <f>35000+15000+7693</f>
        <v>57693</v>
      </c>
      <c r="F127" s="149">
        <f>SUM(E127/D127)</f>
        <v>1.1538600000000001</v>
      </c>
      <c r="G127" s="843" t="s">
        <v>1051</v>
      </c>
      <c r="H127" s="11"/>
      <c r="I127" s="11"/>
      <c r="J127" s="11"/>
      <c r="K127" s="11"/>
      <c r="L127" s="11"/>
      <c r="M127" s="11"/>
    </row>
    <row r="128" spans="1:19" ht="12" customHeight="1" x14ac:dyDescent="0.25">
      <c r="A128" s="762"/>
      <c r="B128" s="135" t="s">
        <v>49</v>
      </c>
      <c r="C128" s="51"/>
      <c r="D128" s="51"/>
      <c r="E128" s="1304"/>
      <c r="F128" s="149"/>
      <c r="G128" s="842" t="s">
        <v>1054</v>
      </c>
      <c r="H128" s="11"/>
      <c r="I128" s="11"/>
      <c r="J128" s="11"/>
      <c r="K128" s="11"/>
      <c r="L128" s="11"/>
      <c r="M128" s="11"/>
    </row>
    <row r="129" spans="1:13" ht="12" customHeight="1" x14ac:dyDescent="0.25">
      <c r="A129" s="762"/>
      <c r="B129" s="135" t="s">
        <v>122</v>
      </c>
      <c r="C129" s="51"/>
      <c r="D129" s="51"/>
      <c r="E129" s="1304"/>
      <c r="F129" s="149"/>
      <c r="G129" s="856"/>
      <c r="H129" s="11"/>
      <c r="I129" s="11"/>
      <c r="J129" s="11"/>
      <c r="K129" s="11"/>
      <c r="L129" s="11"/>
      <c r="M129" s="11"/>
    </row>
    <row r="130" spans="1:13" ht="12" customHeight="1" x14ac:dyDescent="0.25">
      <c r="A130" s="762"/>
      <c r="B130" s="4" t="s">
        <v>97</v>
      </c>
      <c r="C130" s="51"/>
      <c r="D130" s="51"/>
      <c r="E130" s="1304"/>
      <c r="F130" s="149"/>
      <c r="G130" s="856"/>
      <c r="H130" s="11"/>
      <c r="I130" s="11"/>
      <c r="J130" s="11"/>
      <c r="K130" s="11"/>
      <c r="L130" s="11"/>
      <c r="M130" s="11"/>
    </row>
    <row r="131" spans="1:13" ht="12" customHeight="1" x14ac:dyDescent="0.25">
      <c r="A131" s="762"/>
      <c r="B131" s="135" t="s">
        <v>185</v>
      </c>
      <c r="C131" s="51"/>
      <c r="D131" s="51"/>
      <c r="E131" s="1304"/>
      <c r="F131" s="149"/>
      <c r="G131" s="844"/>
      <c r="H131" s="11"/>
      <c r="I131" s="11"/>
      <c r="J131" s="11"/>
      <c r="K131" s="11"/>
      <c r="L131" s="11"/>
      <c r="M131" s="11"/>
    </row>
    <row r="132" spans="1:13" ht="12" customHeight="1" thickBot="1" x14ac:dyDescent="0.3">
      <c r="A132" s="799"/>
      <c r="B132" s="136" t="s">
        <v>112</v>
      </c>
      <c r="C132" s="108"/>
      <c r="D132" s="108"/>
      <c r="E132" s="1305"/>
      <c r="F132" s="189"/>
      <c r="G132" s="866"/>
      <c r="H132" s="11"/>
      <c r="I132" s="11"/>
      <c r="J132" s="11"/>
      <c r="K132" s="11"/>
      <c r="L132" s="11"/>
      <c r="M132" s="11"/>
    </row>
    <row r="133" spans="1:13" ht="12.75" customHeight="1" thickBot="1" x14ac:dyDescent="0.3">
      <c r="A133" s="868"/>
      <c r="B133" s="137" t="s">
        <v>57</v>
      </c>
      <c r="C133" s="150">
        <f t="shared" ref="C133" si="18">SUM(C126:C132)</f>
        <v>50000</v>
      </c>
      <c r="D133" s="150">
        <f t="shared" ref="D133:E133" si="19">SUM(D126:D132)</f>
        <v>50000</v>
      </c>
      <c r="E133" s="1306">
        <f t="shared" si="19"/>
        <v>57693</v>
      </c>
      <c r="F133" s="174">
        <f>SUM(E133/D133)</f>
        <v>1.1538600000000001</v>
      </c>
      <c r="G133" s="203"/>
      <c r="H133" s="11"/>
      <c r="I133" s="11"/>
      <c r="J133" s="11"/>
      <c r="K133" s="11"/>
      <c r="L133" s="11"/>
      <c r="M133" s="11"/>
    </row>
    <row r="134" spans="1:13" ht="12" customHeight="1" x14ac:dyDescent="0.25">
      <c r="A134" s="740">
        <v>3116</v>
      </c>
      <c r="B134" s="148" t="s">
        <v>169</v>
      </c>
      <c r="C134" s="54"/>
      <c r="D134" s="54"/>
      <c r="E134" s="1303"/>
      <c r="F134" s="125"/>
      <c r="G134" s="771"/>
      <c r="H134" s="11"/>
      <c r="I134" s="11"/>
      <c r="J134" s="11"/>
      <c r="K134" s="11"/>
      <c r="L134" s="11"/>
      <c r="M134" s="11"/>
    </row>
    <row r="135" spans="1:13" ht="12" customHeight="1" x14ac:dyDescent="0.25">
      <c r="A135" s="762"/>
      <c r="B135" s="21" t="s">
        <v>45</v>
      </c>
      <c r="C135" s="51"/>
      <c r="D135" s="51"/>
      <c r="E135" s="1304"/>
      <c r="F135" s="125"/>
      <c r="G135" s="861"/>
      <c r="H135" s="11"/>
      <c r="I135" s="11"/>
      <c r="J135" s="11"/>
      <c r="K135" s="11"/>
      <c r="L135" s="11"/>
      <c r="M135" s="11"/>
    </row>
    <row r="136" spans="1:13" ht="12" customHeight="1" x14ac:dyDescent="0.25">
      <c r="A136" s="762"/>
      <c r="B136" s="3" t="s">
        <v>125</v>
      </c>
      <c r="C136" s="51"/>
      <c r="D136" s="51"/>
      <c r="E136" s="1304"/>
      <c r="F136" s="188"/>
      <c r="G136" s="863"/>
      <c r="H136" s="11"/>
      <c r="I136" s="11"/>
      <c r="J136" s="11"/>
      <c r="K136" s="11"/>
      <c r="L136" s="11"/>
      <c r="M136" s="11"/>
    </row>
    <row r="137" spans="1:13" ht="12" customHeight="1" x14ac:dyDescent="0.25">
      <c r="A137" s="762"/>
      <c r="B137" s="56" t="s">
        <v>117</v>
      </c>
      <c r="C137" s="51">
        <v>20000</v>
      </c>
      <c r="D137" s="51">
        <v>20000</v>
      </c>
      <c r="E137" s="1304">
        <f>20000+2596</f>
        <v>22596</v>
      </c>
      <c r="F137" s="149">
        <f>SUM(E137/D137)</f>
        <v>1.1297999999999999</v>
      </c>
      <c r="G137" s="843" t="s">
        <v>1058</v>
      </c>
      <c r="H137" s="11"/>
      <c r="I137" s="11"/>
      <c r="J137" s="11"/>
      <c r="K137" s="11"/>
      <c r="L137" s="11"/>
      <c r="M137" s="11"/>
    </row>
    <row r="138" spans="1:13" ht="12" customHeight="1" x14ac:dyDescent="0.25">
      <c r="A138" s="762"/>
      <c r="B138" s="135" t="s">
        <v>49</v>
      </c>
      <c r="C138" s="51"/>
      <c r="D138" s="51"/>
      <c r="E138" s="1304"/>
      <c r="F138" s="149"/>
      <c r="G138" s="843" t="s">
        <v>1059</v>
      </c>
      <c r="H138" s="11"/>
      <c r="I138" s="11"/>
      <c r="J138" s="11"/>
      <c r="K138" s="11"/>
      <c r="L138" s="11"/>
      <c r="M138" s="11"/>
    </row>
    <row r="139" spans="1:13" ht="12" customHeight="1" x14ac:dyDescent="0.25">
      <c r="A139" s="762"/>
      <c r="B139" s="135" t="s">
        <v>122</v>
      </c>
      <c r="C139" s="51"/>
      <c r="D139" s="51"/>
      <c r="E139" s="1304"/>
      <c r="F139" s="149"/>
      <c r="G139" s="865"/>
      <c r="H139" s="11"/>
      <c r="I139" s="11"/>
      <c r="J139" s="11"/>
      <c r="K139" s="11"/>
      <c r="L139" s="11"/>
      <c r="M139" s="11"/>
    </row>
    <row r="140" spans="1:13" ht="12" customHeight="1" x14ac:dyDescent="0.25">
      <c r="A140" s="762"/>
      <c r="B140" s="4" t="s">
        <v>97</v>
      </c>
      <c r="C140" s="51"/>
      <c r="D140" s="51"/>
      <c r="E140" s="1304"/>
      <c r="F140" s="149"/>
      <c r="G140" s="851"/>
      <c r="H140" s="11"/>
      <c r="I140" s="11"/>
      <c r="J140" s="11"/>
      <c r="K140" s="11"/>
      <c r="L140" s="11"/>
      <c r="M140" s="11"/>
    </row>
    <row r="141" spans="1:13" ht="12" customHeight="1" x14ac:dyDescent="0.25">
      <c r="A141" s="762"/>
      <c r="B141" s="135" t="s">
        <v>185</v>
      </c>
      <c r="C141" s="51"/>
      <c r="D141" s="51"/>
      <c r="E141" s="1304"/>
      <c r="F141" s="149"/>
      <c r="G141" s="861"/>
      <c r="H141" s="11"/>
      <c r="I141" s="11"/>
      <c r="J141" s="11"/>
      <c r="K141" s="11"/>
      <c r="L141" s="11"/>
      <c r="M141" s="11"/>
    </row>
    <row r="142" spans="1:13" ht="12" customHeight="1" thickBot="1" x14ac:dyDescent="0.3">
      <c r="A142" s="799"/>
      <c r="B142" s="136" t="s">
        <v>112</v>
      </c>
      <c r="C142" s="108"/>
      <c r="D142" s="108"/>
      <c r="E142" s="1305"/>
      <c r="F142" s="189"/>
      <c r="G142" s="866"/>
      <c r="H142" s="11"/>
      <c r="I142" s="11"/>
      <c r="J142" s="11"/>
      <c r="K142" s="11"/>
      <c r="L142" s="11"/>
      <c r="M142" s="11"/>
    </row>
    <row r="143" spans="1:13" ht="12" customHeight="1" thickBot="1" x14ac:dyDescent="0.3">
      <c r="A143" s="868"/>
      <c r="B143" s="137" t="s">
        <v>57</v>
      </c>
      <c r="C143" s="150">
        <f t="shared" ref="C143" si="20">SUM(C136:C142)</f>
        <v>20000</v>
      </c>
      <c r="D143" s="150">
        <f t="shared" ref="D143:E143" si="21">SUM(D136:D142)</f>
        <v>20000</v>
      </c>
      <c r="E143" s="1306">
        <f t="shared" si="21"/>
        <v>22596</v>
      </c>
      <c r="F143" s="174">
        <f>SUM(E143/D143)</f>
        <v>1.1297999999999999</v>
      </c>
      <c r="G143" s="203"/>
      <c r="H143" s="11"/>
      <c r="I143" s="11"/>
      <c r="J143" s="11"/>
      <c r="K143" s="11"/>
      <c r="L143" s="11"/>
      <c r="M143" s="11"/>
    </row>
    <row r="144" spans="1:13" ht="12" customHeight="1" thickBot="1" x14ac:dyDescent="0.3">
      <c r="A144" s="209">
        <v>3120</v>
      </c>
      <c r="B144" s="145" t="s">
        <v>139</v>
      </c>
      <c r="C144" s="150">
        <f>SUM(C154+C164+C174+C184+C194)</f>
        <v>41256</v>
      </c>
      <c r="D144" s="150">
        <f>SUM(D154+D164+D174+D184+D194)</f>
        <v>41256</v>
      </c>
      <c r="E144" s="1306">
        <f>SUM(E154+E164+E174+E184+E194)</f>
        <v>44570</v>
      </c>
      <c r="F144" s="174">
        <f>SUM(E144/D144)</f>
        <v>1.0803277099088617</v>
      </c>
      <c r="G144" s="203"/>
      <c r="H144" s="11"/>
      <c r="I144" s="11"/>
      <c r="J144" s="11"/>
      <c r="K144" s="11"/>
      <c r="L144" s="11"/>
      <c r="M144" s="11"/>
    </row>
    <row r="145" spans="1:13" ht="12" customHeight="1" x14ac:dyDescent="0.25">
      <c r="A145" s="755">
        <v>3121</v>
      </c>
      <c r="B145" s="151" t="s">
        <v>88</v>
      </c>
      <c r="C145" s="54"/>
      <c r="D145" s="54"/>
      <c r="E145" s="1303"/>
      <c r="F145" s="125"/>
      <c r="G145" s="869"/>
      <c r="H145" s="11"/>
      <c r="I145" s="11"/>
      <c r="J145" s="11"/>
      <c r="K145" s="11"/>
      <c r="L145" s="11"/>
      <c r="M145" s="11"/>
    </row>
    <row r="146" spans="1:13" ht="12" customHeight="1" x14ac:dyDescent="0.25">
      <c r="A146" s="755"/>
      <c r="B146" s="21" t="s">
        <v>45</v>
      </c>
      <c r="C146" s="54"/>
      <c r="D146" s="54"/>
      <c r="E146" s="1303"/>
      <c r="F146" s="125"/>
      <c r="G146" s="744"/>
      <c r="H146" s="11"/>
      <c r="I146" s="11"/>
      <c r="J146" s="11"/>
      <c r="K146" s="11"/>
      <c r="L146" s="11"/>
      <c r="M146" s="11"/>
    </row>
    <row r="147" spans="1:13" ht="12" customHeight="1" x14ac:dyDescent="0.25">
      <c r="A147" s="755"/>
      <c r="B147" s="3" t="s">
        <v>125</v>
      </c>
      <c r="C147" s="54"/>
      <c r="D147" s="54"/>
      <c r="E147" s="1303"/>
      <c r="F147" s="188"/>
      <c r="G147" s="843"/>
      <c r="H147" s="11"/>
      <c r="I147" s="11"/>
      <c r="J147" s="11"/>
      <c r="K147" s="11"/>
      <c r="L147" s="11"/>
      <c r="M147" s="11"/>
    </row>
    <row r="148" spans="1:13" ht="12" customHeight="1" x14ac:dyDescent="0.25">
      <c r="A148" s="740"/>
      <c r="B148" s="56" t="s">
        <v>117</v>
      </c>
      <c r="C148" s="152">
        <v>10756</v>
      </c>
      <c r="D148" s="152">
        <v>10756</v>
      </c>
      <c r="E148" s="1342">
        <f>10756+1651</f>
        <v>12407</v>
      </c>
      <c r="F148" s="149">
        <f>SUM(E148/D148)</f>
        <v>1.1534957233172183</v>
      </c>
      <c r="G148" s="843" t="s">
        <v>1051</v>
      </c>
      <c r="H148" s="11"/>
      <c r="I148" s="11"/>
      <c r="J148" s="11"/>
      <c r="K148" s="11"/>
      <c r="L148" s="11"/>
      <c r="M148" s="11"/>
    </row>
    <row r="149" spans="1:13" ht="12" customHeight="1" x14ac:dyDescent="0.25">
      <c r="A149" s="740"/>
      <c r="B149" s="135" t="s">
        <v>49</v>
      </c>
      <c r="C149" s="152"/>
      <c r="D149" s="152"/>
      <c r="E149" s="1342"/>
      <c r="F149" s="149"/>
      <c r="G149" s="842" t="s">
        <v>1054</v>
      </c>
      <c r="H149" s="11"/>
      <c r="I149" s="11"/>
      <c r="J149" s="11"/>
      <c r="K149" s="11"/>
      <c r="L149" s="11"/>
      <c r="M149" s="11"/>
    </row>
    <row r="150" spans="1:13" ht="12" customHeight="1" x14ac:dyDescent="0.25">
      <c r="A150" s="740"/>
      <c r="B150" s="135" t="s">
        <v>122</v>
      </c>
      <c r="C150" s="152"/>
      <c r="D150" s="152"/>
      <c r="E150" s="1342"/>
      <c r="F150" s="149"/>
      <c r="G150" s="870"/>
      <c r="H150" s="11"/>
      <c r="I150" s="11"/>
      <c r="J150" s="11"/>
      <c r="K150" s="11"/>
      <c r="L150" s="11"/>
      <c r="M150" s="11"/>
    </row>
    <row r="151" spans="1:13" ht="12" customHeight="1" x14ac:dyDescent="0.25">
      <c r="A151" s="740"/>
      <c r="B151" s="4" t="s">
        <v>97</v>
      </c>
      <c r="C151" s="152"/>
      <c r="D151" s="152"/>
      <c r="E151" s="1342"/>
      <c r="F151" s="149"/>
      <c r="G151" s="870"/>
      <c r="H151" s="11"/>
      <c r="I151" s="11"/>
      <c r="J151" s="11"/>
      <c r="K151" s="11"/>
      <c r="L151" s="11"/>
      <c r="M151" s="11"/>
    </row>
    <row r="152" spans="1:13" ht="12" customHeight="1" x14ac:dyDescent="0.25">
      <c r="A152" s="755"/>
      <c r="B152" s="135" t="s">
        <v>185</v>
      </c>
      <c r="C152" s="54"/>
      <c r="D152" s="54"/>
      <c r="E152" s="1303"/>
      <c r="F152" s="149"/>
      <c r="G152" s="844"/>
      <c r="H152" s="11"/>
      <c r="I152" s="11"/>
      <c r="J152" s="11"/>
      <c r="K152" s="11"/>
      <c r="L152" s="11"/>
      <c r="M152" s="11"/>
    </row>
    <row r="153" spans="1:13" ht="12" customHeight="1" thickBot="1" x14ac:dyDescent="0.3">
      <c r="A153" s="755"/>
      <c r="B153" s="136" t="s">
        <v>112</v>
      </c>
      <c r="C153" s="153"/>
      <c r="D153" s="153"/>
      <c r="E153" s="1343"/>
      <c r="F153" s="189"/>
      <c r="G153" s="741"/>
      <c r="H153" s="11"/>
      <c r="I153" s="11"/>
      <c r="J153" s="11"/>
      <c r="K153" s="11"/>
      <c r="L153" s="11"/>
      <c r="M153" s="11"/>
    </row>
    <row r="154" spans="1:13" ht="12.6" customHeight="1" thickBot="1" x14ac:dyDescent="0.3">
      <c r="A154" s="868"/>
      <c r="B154" s="137" t="s">
        <v>57</v>
      </c>
      <c r="C154" s="150">
        <f t="shared" ref="C154" si="22">SUM(C148:C153)</f>
        <v>10756</v>
      </c>
      <c r="D154" s="150">
        <f t="shared" ref="D154:E154" si="23">SUM(D148:D153)</f>
        <v>10756</v>
      </c>
      <c r="E154" s="1306">
        <f t="shared" si="23"/>
        <v>12407</v>
      </c>
      <c r="F154" s="174">
        <f>SUM(E154/D154)</f>
        <v>1.1534957233172183</v>
      </c>
      <c r="G154" s="203"/>
      <c r="H154" s="11"/>
      <c r="I154" s="11"/>
      <c r="J154" s="11"/>
      <c r="K154" s="11"/>
      <c r="L154" s="11"/>
      <c r="M154" s="11"/>
    </row>
    <row r="155" spans="1:13" ht="12" customHeight="1" x14ac:dyDescent="0.25">
      <c r="A155" s="740">
        <v>3122</v>
      </c>
      <c r="B155" s="148" t="s">
        <v>86</v>
      </c>
      <c r="C155" s="54"/>
      <c r="D155" s="54"/>
      <c r="E155" s="1303"/>
      <c r="F155" s="125"/>
      <c r="G155" s="871"/>
      <c r="H155" s="11"/>
      <c r="I155" s="11"/>
      <c r="J155" s="11"/>
      <c r="K155" s="11"/>
      <c r="L155" s="11"/>
      <c r="M155" s="11"/>
    </row>
    <row r="156" spans="1:13" ht="12" customHeight="1" x14ac:dyDescent="0.25">
      <c r="A156" s="762"/>
      <c r="B156" s="21" t="s">
        <v>45</v>
      </c>
      <c r="C156" s="51"/>
      <c r="D156" s="51"/>
      <c r="E156" s="1304"/>
      <c r="F156" s="51"/>
      <c r="G156" s="861"/>
      <c r="H156" s="11"/>
      <c r="I156" s="11"/>
      <c r="J156" s="11"/>
      <c r="K156" s="11"/>
      <c r="L156" s="11"/>
      <c r="M156" s="11"/>
    </row>
    <row r="157" spans="1:13" ht="12" customHeight="1" x14ac:dyDescent="0.25">
      <c r="A157" s="762"/>
      <c r="B157" s="3" t="s">
        <v>125</v>
      </c>
      <c r="C157" s="51"/>
      <c r="D157" s="51"/>
      <c r="E157" s="1304"/>
      <c r="F157" s="188"/>
      <c r="G157" s="861"/>
      <c r="H157" s="11"/>
      <c r="I157" s="11"/>
      <c r="J157" s="11"/>
      <c r="K157" s="11"/>
      <c r="L157" s="11"/>
      <c r="M157" s="11"/>
    </row>
    <row r="158" spans="1:13" ht="12" customHeight="1" x14ac:dyDescent="0.25">
      <c r="A158" s="762"/>
      <c r="B158" s="56" t="s">
        <v>117</v>
      </c>
      <c r="C158" s="51">
        <v>5500</v>
      </c>
      <c r="D158" s="51">
        <v>5500</v>
      </c>
      <c r="E158" s="1304">
        <v>5500</v>
      </c>
      <c r="F158" s="149">
        <f>SUM(E158/D158)</f>
        <v>1</v>
      </c>
      <c r="G158" s="851"/>
      <c r="H158" s="11"/>
      <c r="I158" s="11"/>
      <c r="J158" s="11"/>
      <c r="K158" s="11"/>
      <c r="L158" s="11"/>
      <c r="M158" s="11"/>
    </row>
    <row r="159" spans="1:13" ht="12" customHeight="1" x14ac:dyDescent="0.25">
      <c r="A159" s="762"/>
      <c r="B159" s="135" t="s">
        <v>49</v>
      </c>
      <c r="C159" s="51"/>
      <c r="D159" s="51"/>
      <c r="E159" s="1304"/>
      <c r="F159" s="149"/>
      <c r="G159" s="861"/>
      <c r="H159" s="11"/>
      <c r="I159" s="11"/>
      <c r="J159" s="11"/>
      <c r="K159" s="11"/>
      <c r="L159" s="11"/>
      <c r="M159" s="11"/>
    </row>
    <row r="160" spans="1:13" ht="12" customHeight="1" x14ac:dyDescent="0.25">
      <c r="A160" s="762"/>
      <c r="B160" s="135" t="s">
        <v>122</v>
      </c>
      <c r="C160" s="51"/>
      <c r="D160" s="51"/>
      <c r="E160" s="1304"/>
      <c r="F160" s="149"/>
      <c r="G160" s="872"/>
      <c r="H160" s="11"/>
      <c r="I160" s="11"/>
      <c r="J160" s="11"/>
      <c r="K160" s="11"/>
      <c r="L160" s="11"/>
      <c r="M160" s="11"/>
    </row>
    <row r="161" spans="1:13" ht="12" customHeight="1" x14ac:dyDescent="0.25">
      <c r="A161" s="762"/>
      <c r="B161" s="4" t="s">
        <v>97</v>
      </c>
      <c r="C161" s="51"/>
      <c r="D161" s="51"/>
      <c r="E161" s="1304"/>
      <c r="F161" s="149"/>
      <c r="G161" s="872"/>
      <c r="H161" s="11"/>
      <c r="I161" s="11"/>
      <c r="J161" s="11"/>
      <c r="K161" s="11"/>
      <c r="L161" s="11"/>
      <c r="M161" s="11"/>
    </row>
    <row r="162" spans="1:13" ht="12" customHeight="1" x14ac:dyDescent="0.25">
      <c r="A162" s="762"/>
      <c r="B162" s="135" t="s">
        <v>185</v>
      </c>
      <c r="C162" s="51"/>
      <c r="D162" s="51"/>
      <c r="E162" s="1304"/>
      <c r="F162" s="149"/>
      <c r="G162" s="844"/>
      <c r="H162" s="11"/>
      <c r="I162" s="11"/>
      <c r="J162" s="11"/>
      <c r="K162" s="11"/>
      <c r="L162" s="11"/>
      <c r="M162" s="11"/>
    </row>
    <row r="163" spans="1:13" ht="12" customHeight="1" thickBot="1" x14ac:dyDescent="0.3">
      <c r="A163" s="762"/>
      <c r="B163" s="136" t="s">
        <v>112</v>
      </c>
      <c r="C163" s="154"/>
      <c r="D163" s="154"/>
      <c r="E163" s="1344"/>
      <c r="F163" s="189"/>
      <c r="G163" s="861"/>
      <c r="H163" s="11"/>
      <c r="I163" s="11"/>
      <c r="J163" s="11"/>
      <c r="K163" s="11"/>
      <c r="L163" s="11"/>
      <c r="M163" s="11"/>
    </row>
    <row r="164" spans="1:13" ht="12" customHeight="1" thickBot="1" x14ac:dyDescent="0.3">
      <c r="A164" s="800"/>
      <c r="B164" s="137" t="s">
        <v>57</v>
      </c>
      <c r="C164" s="150">
        <f t="shared" ref="C164" si="24">SUM(C156:C163)</f>
        <v>5500</v>
      </c>
      <c r="D164" s="150">
        <f t="shared" ref="D164:E164" si="25">SUM(D156:D163)</f>
        <v>5500</v>
      </c>
      <c r="E164" s="1306">
        <f t="shared" si="25"/>
        <v>5500</v>
      </c>
      <c r="F164" s="174">
        <f>SUM(E164/D164)</f>
        <v>1</v>
      </c>
      <c r="G164" s="203"/>
      <c r="H164" s="11"/>
      <c r="I164" s="11"/>
      <c r="J164" s="11"/>
      <c r="K164" s="11"/>
      <c r="L164" s="11"/>
      <c r="M164" s="11"/>
    </row>
    <row r="165" spans="1:13" ht="12" customHeight="1" x14ac:dyDescent="0.25">
      <c r="A165" s="740">
        <v>3123</v>
      </c>
      <c r="B165" s="48" t="s">
        <v>51</v>
      </c>
      <c r="C165" s="54"/>
      <c r="D165" s="54"/>
      <c r="E165" s="1303"/>
      <c r="F165" s="125"/>
      <c r="G165" s="839"/>
      <c r="H165" s="11"/>
      <c r="I165" s="11"/>
      <c r="J165" s="11"/>
      <c r="K165" s="11"/>
      <c r="L165" s="11"/>
      <c r="M165" s="11"/>
    </row>
    <row r="166" spans="1:13" ht="12" customHeight="1" x14ac:dyDescent="0.25">
      <c r="A166" s="762"/>
      <c r="B166" s="21" t="s">
        <v>45</v>
      </c>
      <c r="C166" s="51"/>
      <c r="D166" s="51"/>
      <c r="E166" s="1304"/>
      <c r="F166" s="125"/>
      <c r="G166" s="861"/>
      <c r="H166" s="11"/>
      <c r="I166" s="11"/>
      <c r="J166" s="11"/>
      <c r="K166" s="11"/>
      <c r="L166" s="11"/>
      <c r="M166" s="11"/>
    </row>
    <row r="167" spans="1:13" ht="12" customHeight="1" x14ac:dyDescent="0.25">
      <c r="A167" s="762"/>
      <c r="B167" s="3" t="s">
        <v>125</v>
      </c>
      <c r="C167" s="51"/>
      <c r="D167" s="51"/>
      <c r="E167" s="1304"/>
      <c r="F167" s="188"/>
      <c r="G167" s="862"/>
      <c r="H167" s="11"/>
      <c r="I167" s="11"/>
      <c r="J167" s="11"/>
      <c r="K167" s="11"/>
      <c r="L167" s="11"/>
      <c r="M167" s="11"/>
    </row>
    <row r="168" spans="1:13" ht="12" customHeight="1" x14ac:dyDescent="0.25">
      <c r="A168" s="762"/>
      <c r="B168" s="56" t="s">
        <v>117</v>
      </c>
      <c r="C168" s="51">
        <v>15000</v>
      </c>
      <c r="D168" s="51">
        <v>15000</v>
      </c>
      <c r="E168" s="1304">
        <f>15000+1663</f>
        <v>16663</v>
      </c>
      <c r="F168" s="149">
        <f>SUM(E168/D168)</f>
        <v>1.1108666666666667</v>
      </c>
      <c r="G168" s="851"/>
      <c r="H168" s="11"/>
      <c r="I168" s="11"/>
      <c r="J168" s="11"/>
      <c r="K168" s="11"/>
      <c r="L168" s="11"/>
      <c r="M168" s="11"/>
    </row>
    <row r="169" spans="1:13" ht="12" customHeight="1" x14ac:dyDescent="0.25">
      <c r="A169" s="762"/>
      <c r="B169" s="135" t="s">
        <v>49</v>
      </c>
      <c r="C169" s="51"/>
      <c r="D169" s="51"/>
      <c r="E169" s="1304"/>
      <c r="F169" s="149"/>
      <c r="G169" s="864"/>
      <c r="H169" s="11"/>
      <c r="I169" s="11"/>
      <c r="J169" s="11"/>
      <c r="K169" s="11"/>
      <c r="L169" s="11"/>
      <c r="M169" s="11"/>
    </row>
    <row r="170" spans="1:13" ht="12" customHeight="1" x14ac:dyDescent="0.25">
      <c r="A170" s="762"/>
      <c r="B170" s="135" t="s">
        <v>122</v>
      </c>
      <c r="C170" s="51"/>
      <c r="D170" s="51"/>
      <c r="E170" s="1304"/>
      <c r="F170" s="149"/>
      <c r="G170" s="873"/>
      <c r="H170" s="11"/>
      <c r="I170" s="11"/>
      <c r="J170" s="11"/>
      <c r="K170" s="11"/>
      <c r="L170" s="11"/>
      <c r="M170" s="11"/>
    </row>
    <row r="171" spans="1:13" ht="12" customHeight="1" x14ac:dyDescent="0.25">
      <c r="A171" s="762"/>
      <c r="B171" s="4" t="s">
        <v>97</v>
      </c>
      <c r="C171" s="51"/>
      <c r="D171" s="51"/>
      <c r="E171" s="1304"/>
      <c r="F171" s="149"/>
      <c r="G171" s="873"/>
      <c r="H171" s="11"/>
      <c r="I171" s="11"/>
      <c r="J171" s="11"/>
      <c r="K171" s="11"/>
      <c r="L171" s="11"/>
      <c r="M171" s="11"/>
    </row>
    <row r="172" spans="1:13" ht="12" customHeight="1" x14ac:dyDescent="0.25">
      <c r="A172" s="762"/>
      <c r="B172" s="135" t="s">
        <v>185</v>
      </c>
      <c r="C172" s="51"/>
      <c r="D172" s="51"/>
      <c r="E172" s="1304"/>
      <c r="F172" s="149"/>
      <c r="G172" s="844"/>
      <c r="H172" s="11"/>
      <c r="I172" s="11"/>
      <c r="J172" s="11"/>
      <c r="K172" s="11"/>
      <c r="L172" s="11"/>
      <c r="M172" s="11"/>
    </row>
    <row r="173" spans="1:13" ht="12" customHeight="1" thickBot="1" x14ac:dyDescent="0.3">
      <c r="A173" s="762"/>
      <c r="B173" s="136" t="s">
        <v>112</v>
      </c>
      <c r="C173" s="154"/>
      <c r="D173" s="154"/>
      <c r="E173" s="1344"/>
      <c r="F173" s="189"/>
      <c r="G173" s="861"/>
      <c r="H173" s="11"/>
      <c r="I173" s="11"/>
      <c r="J173" s="11"/>
      <c r="K173" s="11"/>
      <c r="L173" s="11"/>
      <c r="M173" s="11"/>
    </row>
    <row r="174" spans="1:13" ht="12" customHeight="1" thickBot="1" x14ac:dyDescent="0.3">
      <c r="A174" s="800"/>
      <c r="B174" s="137" t="s">
        <v>57</v>
      </c>
      <c r="C174" s="150">
        <f t="shared" ref="C174" si="26">SUM(C166:C173)</f>
        <v>15000</v>
      </c>
      <c r="D174" s="150">
        <f t="shared" ref="D174:E174" si="27">SUM(D166:D173)</f>
        <v>15000</v>
      </c>
      <c r="E174" s="1306">
        <f t="shared" si="27"/>
        <v>16663</v>
      </c>
      <c r="F174" s="174">
        <f>SUM(E174/D174)</f>
        <v>1.1108666666666667</v>
      </c>
      <c r="G174" s="203"/>
      <c r="H174" s="11"/>
      <c r="I174" s="11"/>
      <c r="J174" s="11"/>
      <c r="K174" s="11"/>
      <c r="L174" s="11"/>
      <c r="M174" s="11"/>
    </row>
    <row r="175" spans="1:13" ht="12" customHeight="1" x14ac:dyDescent="0.25">
      <c r="A175" s="740">
        <v>3124</v>
      </c>
      <c r="B175" s="48" t="s">
        <v>54</v>
      </c>
      <c r="C175" s="54"/>
      <c r="D175" s="54"/>
      <c r="E175" s="1303"/>
      <c r="F175" s="125"/>
      <c r="G175" s="839"/>
      <c r="H175" s="11"/>
      <c r="I175" s="11"/>
      <c r="J175" s="11"/>
      <c r="K175" s="11"/>
      <c r="L175" s="11"/>
      <c r="M175" s="11"/>
    </row>
    <row r="176" spans="1:13" ht="12" customHeight="1" x14ac:dyDescent="0.25">
      <c r="A176" s="762"/>
      <c r="B176" s="21" t="s">
        <v>45</v>
      </c>
      <c r="C176" s="51"/>
      <c r="D176" s="51"/>
      <c r="E176" s="1304"/>
      <c r="F176" s="125"/>
      <c r="G176" s="861"/>
      <c r="H176" s="11"/>
      <c r="I176" s="11"/>
      <c r="J176" s="11"/>
      <c r="K176" s="11"/>
      <c r="L176" s="11"/>
      <c r="M176" s="11"/>
    </row>
    <row r="177" spans="1:13" ht="12" customHeight="1" x14ac:dyDescent="0.25">
      <c r="A177" s="762"/>
      <c r="B177" s="3" t="s">
        <v>125</v>
      </c>
      <c r="C177" s="51"/>
      <c r="D177" s="51"/>
      <c r="E177" s="1304"/>
      <c r="F177" s="188"/>
      <c r="G177" s="861"/>
      <c r="H177" s="11"/>
      <c r="I177" s="11"/>
      <c r="J177" s="11"/>
      <c r="K177" s="11"/>
      <c r="L177" s="11"/>
      <c r="M177" s="11"/>
    </row>
    <row r="178" spans="1:13" ht="12" customHeight="1" x14ac:dyDescent="0.25">
      <c r="A178" s="762"/>
      <c r="B178" s="56" t="s">
        <v>117</v>
      </c>
      <c r="C178" s="51">
        <v>5000</v>
      </c>
      <c r="D178" s="51">
        <v>5000</v>
      </c>
      <c r="E178" s="1304">
        <v>5000</v>
      </c>
      <c r="F178" s="149">
        <f>SUM(E178/D178)</f>
        <v>1</v>
      </c>
      <c r="G178" s="843" t="s">
        <v>1056</v>
      </c>
      <c r="H178" s="11"/>
      <c r="I178" s="11"/>
      <c r="J178" s="11"/>
      <c r="K178" s="11"/>
      <c r="L178" s="11"/>
      <c r="M178" s="11"/>
    </row>
    <row r="179" spans="1:13" ht="12" customHeight="1" x14ac:dyDescent="0.25">
      <c r="A179" s="762"/>
      <c r="B179" s="135" t="s">
        <v>49</v>
      </c>
      <c r="C179" s="51"/>
      <c r="D179" s="51"/>
      <c r="E179" s="1304"/>
      <c r="F179" s="149"/>
      <c r="G179" s="842" t="s">
        <v>1054</v>
      </c>
      <c r="H179" s="11"/>
      <c r="I179" s="11"/>
      <c r="J179" s="11"/>
      <c r="K179" s="11"/>
      <c r="L179" s="11"/>
      <c r="M179" s="11"/>
    </row>
    <row r="180" spans="1:13" ht="12" customHeight="1" x14ac:dyDescent="0.25">
      <c r="A180" s="762"/>
      <c r="B180" s="135" t="s">
        <v>122</v>
      </c>
      <c r="C180" s="51"/>
      <c r="D180" s="51"/>
      <c r="E180" s="1304"/>
      <c r="F180" s="149"/>
      <c r="G180" s="872"/>
      <c r="H180" s="11"/>
      <c r="I180" s="11"/>
      <c r="J180" s="11"/>
      <c r="K180" s="11"/>
      <c r="L180" s="11"/>
      <c r="M180" s="11"/>
    </row>
    <row r="181" spans="1:13" ht="12" customHeight="1" x14ac:dyDescent="0.25">
      <c r="A181" s="762"/>
      <c r="B181" s="4" t="s">
        <v>97</v>
      </c>
      <c r="C181" s="51"/>
      <c r="D181" s="51"/>
      <c r="E181" s="1304"/>
      <c r="F181" s="149"/>
      <c r="G181" s="872"/>
      <c r="H181" s="11"/>
      <c r="I181" s="11"/>
      <c r="J181" s="11"/>
      <c r="K181" s="11"/>
      <c r="L181" s="11"/>
      <c r="M181" s="11"/>
    </row>
    <row r="182" spans="1:13" ht="12" customHeight="1" x14ac:dyDescent="0.25">
      <c r="A182" s="762"/>
      <c r="B182" s="135" t="s">
        <v>185</v>
      </c>
      <c r="C182" s="51"/>
      <c r="D182" s="51"/>
      <c r="E182" s="1304"/>
      <c r="F182" s="149"/>
      <c r="G182" s="844"/>
      <c r="H182" s="11"/>
      <c r="I182" s="11"/>
      <c r="J182" s="11"/>
      <c r="K182" s="11"/>
      <c r="L182" s="11"/>
      <c r="M182" s="11"/>
    </row>
    <row r="183" spans="1:13" ht="12" customHeight="1" thickBot="1" x14ac:dyDescent="0.3">
      <c r="A183" s="762"/>
      <c r="B183" s="136" t="s">
        <v>112</v>
      </c>
      <c r="C183" s="154"/>
      <c r="D183" s="154"/>
      <c r="E183" s="1344"/>
      <c r="F183" s="189"/>
      <c r="G183" s="861"/>
      <c r="H183" s="11"/>
      <c r="I183" s="11"/>
      <c r="J183" s="11"/>
      <c r="K183" s="11"/>
      <c r="L183" s="11"/>
      <c r="M183" s="11"/>
    </row>
    <row r="184" spans="1:13" ht="12" customHeight="1" thickBot="1" x14ac:dyDescent="0.3">
      <c r="A184" s="800"/>
      <c r="B184" s="137" t="s">
        <v>57</v>
      </c>
      <c r="C184" s="150">
        <f t="shared" ref="C184" si="28">SUM(C176:C183)</f>
        <v>5000</v>
      </c>
      <c r="D184" s="150">
        <f t="shared" ref="D184:E184" si="29">SUM(D176:D183)</f>
        <v>5000</v>
      </c>
      <c r="E184" s="1306">
        <f t="shared" si="29"/>
        <v>5000</v>
      </c>
      <c r="F184" s="174">
        <f>SUM(E184/D184)</f>
        <v>1</v>
      </c>
      <c r="G184" s="203"/>
      <c r="H184" s="11"/>
      <c r="I184" s="11"/>
      <c r="J184" s="11"/>
      <c r="K184" s="11"/>
      <c r="L184" s="11"/>
      <c r="M184" s="11"/>
    </row>
    <row r="185" spans="1:13" ht="12" customHeight="1" x14ac:dyDescent="0.25">
      <c r="A185" s="740">
        <v>3125</v>
      </c>
      <c r="B185" s="48" t="s">
        <v>247</v>
      </c>
      <c r="C185" s="54"/>
      <c r="D185" s="54"/>
      <c r="E185" s="1303"/>
      <c r="F185" s="125"/>
      <c r="G185" s="839"/>
      <c r="H185" s="11"/>
      <c r="I185" s="11"/>
      <c r="J185" s="11"/>
      <c r="K185" s="11"/>
      <c r="L185" s="11"/>
      <c r="M185" s="11"/>
    </row>
    <row r="186" spans="1:13" ht="12" customHeight="1" x14ac:dyDescent="0.25">
      <c r="A186" s="762"/>
      <c r="B186" s="21" t="s">
        <v>45</v>
      </c>
      <c r="C186" s="51">
        <v>4425</v>
      </c>
      <c r="D186" s="51">
        <v>4425</v>
      </c>
      <c r="E186" s="1304">
        <v>4425</v>
      </c>
      <c r="F186" s="149">
        <f>SUM(E186/D186)</f>
        <v>1</v>
      </c>
      <c r="G186" s="861"/>
      <c r="H186" s="11"/>
      <c r="I186" s="11"/>
      <c r="J186" s="11"/>
      <c r="K186" s="11"/>
      <c r="L186" s="11"/>
      <c r="M186" s="11"/>
    </row>
    <row r="187" spans="1:13" ht="12" customHeight="1" x14ac:dyDescent="0.25">
      <c r="A187" s="762"/>
      <c r="B187" s="3" t="s">
        <v>125</v>
      </c>
      <c r="C187" s="51">
        <v>575</v>
      </c>
      <c r="D187" s="51">
        <v>575</v>
      </c>
      <c r="E187" s="1304">
        <v>575</v>
      </c>
      <c r="F187" s="149">
        <f>SUM(E187/D187)</f>
        <v>1</v>
      </c>
      <c r="G187" s="861"/>
      <c r="H187" s="11"/>
      <c r="I187" s="11"/>
      <c r="J187" s="11"/>
      <c r="K187" s="11"/>
      <c r="L187" s="11"/>
      <c r="M187" s="11"/>
    </row>
    <row r="188" spans="1:13" ht="12" customHeight="1" x14ac:dyDescent="0.25">
      <c r="A188" s="762"/>
      <c r="B188" s="56" t="s">
        <v>117</v>
      </c>
      <c r="C188" s="51"/>
      <c r="D188" s="51"/>
      <c r="E188" s="1304"/>
      <c r="F188" s="149"/>
      <c r="G188" s="843"/>
      <c r="H188" s="11"/>
      <c r="I188" s="11"/>
      <c r="J188" s="11"/>
      <c r="K188" s="11"/>
      <c r="L188" s="11"/>
      <c r="M188" s="11"/>
    </row>
    <row r="189" spans="1:13" ht="12" customHeight="1" x14ac:dyDescent="0.25">
      <c r="A189" s="762"/>
      <c r="B189" s="135" t="s">
        <v>49</v>
      </c>
      <c r="C189" s="51"/>
      <c r="D189" s="51"/>
      <c r="E189" s="1304"/>
      <c r="F189" s="149"/>
      <c r="G189" s="842"/>
      <c r="H189" s="11"/>
      <c r="I189" s="11"/>
      <c r="J189" s="11"/>
      <c r="K189" s="11"/>
      <c r="L189" s="11"/>
      <c r="M189" s="11"/>
    </row>
    <row r="190" spans="1:13" ht="12" customHeight="1" x14ac:dyDescent="0.25">
      <c r="A190" s="762"/>
      <c r="B190" s="135" t="s">
        <v>122</v>
      </c>
      <c r="C190" s="51"/>
      <c r="D190" s="51"/>
      <c r="E190" s="1304"/>
      <c r="F190" s="149"/>
      <c r="G190" s="872"/>
      <c r="H190" s="11"/>
      <c r="I190" s="11"/>
      <c r="J190" s="11"/>
      <c r="K190" s="11"/>
      <c r="L190" s="11"/>
      <c r="M190" s="11"/>
    </row>
    <row r="191" spans="1:13" ht="12" customHeight="1" x14ac:dyDescent="0.25">
      <c r="A191" s="762"/>
      <c r="B191" s="4" t="s">
        <v>97</v>
      </c>
      <c r="C191" s="51"/>
      <c r="D191" s="51"/>
      <c r="E191" s="1304"/>
      <c r="F191" s="149"/>
      <c r="G191" s="872"/>
      <c r="H191" s="11"/>
      <c r="I191" s="11"/>
      <c r="J191" s="11"/>
      <c r="K191" s="11"/>
      <c r="L191" s="11"/>
      <c r="M191" s="11"/>
    </row>
    <row r="192" spans="1:13" ht="12" customHeight="1" x14ac:dyDescent="0.25">
      <c r="A192" s="762"/>
      <c r="B192" s="135" t="s">
        <v>185</v>
      </c>
      <c r="C192" s="51"/>
      <c r="D192" s="51"/>
      <c r="E192" s="1304"/>
      <c r="F192" s="149"/>
      <c r="G192" s="844"/>
      <c r="H192" s="11"/>
      <c r="I192" s="11"/>
      <c r="J192" s="11"/>
      <c r="K192" s="11"/>
      <c r="L192" s="11"/>
      <c r="M192" s="11"/>
    </row>
    <row r="193" spans="1:13" ht="12" customHeight="1" thickBot="1" x14ac:dyDescent="0.3">
      <c r="A193" s="762"/>
      <c r="B193" s="136" t="s">
        <v>112</v>
      </c>
      <c r="C193" s="154"/>
      <c r="D193" s="154"/>
      <c r="E193" s="1344"/>
      <c r="F193" s="189"/>
      <c r="G193" s="861"/>
      <c r="H193" s="11"/>
      <c r="I193" s="11"/>
      <c r="J193" s="11"/>
      <c r="K193" s="11"/>
      <c r="L193" s="11"/>
      <c r="M193" s="11"/>
    </row>
    <row r="194" spans="1:13" ht="12" customHeight="1" thickBot="1" x14ac:dyDescent="0.3">
      <c r="A194" s="800"/>
      <c r="B194" s="137" t="s">
        <v>57</v>
      </c>
      <c r="C194" s="150">
        <f>C186+C187+C188+C189+C192+C193</f>
        <v>5000</v>
      </c>
      <c r="D194" s="150">
        <f>D186+D187+D188+D189+D192+D193</f>
        <v>5000</v>
      </c>
      <c r="E194" s="1306">
        <f>E186+E187+E188+E189+E192+E193</f>
        <v>5000</v>
      </c>
      <c r="F194" s="174">
        <f>SUM(E194/D194)</f>
        <v>1</v>
      </c>
      <c r="G194" s="203"/>
      <c r="H194" s="11"/>
      <c r="I194" s="11"/>
      <c r="J194" s="11"/>
      <c r="K194" s="11"/>
      <c r="L194" s="11"/>
      <c r="M194" s="11"/>
    </row>
    <row r="195" spans="1:13" ht="12" customHeight="1" thickBot="1" x14ac:dyDescent="0.3">
      <c r="A195" s="740">
        <v>3140</v>
      </c>
      <c r="B195" s="48" t="s">
        <v>55</v>
      </c>
      <c r="C195" s="150">
        <f>SUM(C205+C215+C225+C235+C245)+C265</f>
        <v>46500</v>
      </c>
      <c r="D195" s="150">
        <f>SUM(D205+D215+D225+D235+D245)+D265</f>
        <v>46500</v>
      </c>
      <c r="E195" s="1306">
        <f>SUM(E205+E215+E225+E235+E245)+E265</f>
        <v>50567</v>
      </c>
      <c r="F195" s="174">
        <f>SUM(E195/D195)</f>
        <v>1.0874623655913978</v>
      </c>
      <c r="G195" s="155"/>
      <c r="H195" s="11"/>
      <c r="I195" s="11"/>
      <c r="J195" s="11"/>
      <c r="K195" s="11"/>
      <c r="L195" s="11"/>
      <c r="M195" s="11"/>
    </row>
    <row r="196" spans="1:13" ht="12" customHeight="1" x14ac:dyDescent="0.25">
      <c r="A196" s="740">
        <v>3141</v>
      </c>
      <c r="B196" s="48" t="s">
        <v>202</v>
      </c>
      <c r="C196" s="54"/>
      <c r="D196" s="54"/>
      <c r="E196" s="1303"/>
      <c r="F196" s="125"/>
      <c r="G196" s="861"/>
      <c r="H196" s="11"/>
      <c r="I196" s="11"/>
      <c r="J196" s="11"/>
      <c r="K196" s="11"/>
      <c r="L196" s="11"/>
      <c r="M196" s="11"/>
    </row>
    <row r="197" spans="1:13" ht="12" customHeight="1" x14ac:dyDescent="0.25">
      <c r="A197" s="762"/>
      <c r="B197" s="21" t="s">
        <v>45</v>
      </c>
      <c r="C197" s="51"/>
      <c r="D197" s="51"/>
      <c r="E197" s="1304"/>
      <c r="F197" s="125"/>
      <c r="G197" s="874"/>
      <c r="H197" s="11"/>
      <c r="I197" s="11"/>
      <c r="J197" s="11"/>
      <c r="K197" s="11"/>
      <c r="L197" s="11"/>
      <c r="M197" s="11"/>
    </row>
    <row r="198" spans="1:13" ht="12" customHeight="1" x14ac:dyDescent="0.25">
      <c r="A198" s="762"/>
      <c r="B198" s="3" t="s">
        <v>125</v>
      </c>
      <c r="C198" s="51"/>
      <c r="D198" s="51"/>
      <c r="E198" s="1304"/>
      <c r="F198" s="188"/>
      <c r="G198" s="862"/>
      <c r="H198" s="11"/>
      <c r="I198" s="11"/>
      <c r="J198" s="11"/>
      <c r="K198" s="11"/>
      <c r="L198" s="11"/>
      <c r="M198" s="11"/>
    </row>
    <row r="199" spans="1:13" ht="12" customHeight="1" x14ac:dyDescent="0.25">
      <c r="A199" s="762"/>
      <c r="B199" s="56" t="s">
        <v>117</v>
      </c>
      <c r="C199" s="51">
        <v>14000</v>
      </c>
      <c r="D199" s="51">
        <v>14000</v>
      </c>
      <c r="E199" s="1304">
        <v>14000</v>
      </c>
      <c r="F199" s="149">
        <f>SUM(E199/D199)</f>
        <v>1</v>
      </c>
      <c r="G199" s="843" t="s">
        <v>1049</v>
      </c>
      <c r="H199" s="11"/>
      <c r="I199" s="11"/>
      <c r="J199" s="11"/>
      <c r="K199" s="11"/>
      <c r="L199" s="11"/>
      <c r="M199" s="11"/>
    </row>
    <row r="200" spans="1:13" ht="12" customHeight="1" x14ac:dyDescent="0.25">
      <c r="A200" s="762"/>
      <c r="B200" s="135" t="s">
        <v>49</v>
      </c>
      <c r="C200" s="51">
        <v>3000</v>
      </c>
      <c r="D200" s="51">
        <v>3000</v>
      </c>
      <c r="E200" s="1304">
        <v>3000</v>
      </c>
      <c r="F200" s="149">
        <f>SUM(E200/D200)</f>
        <v>1</v>
      </c>
      <c r="G200" s="842" t="s">
        <v>1054</v>
      </c>
      <c r="H200" s="11"/>
      <c r="I200" s="11"/>
      <c r="J200" s="11"/>
      <c r="K200" s="11"/>
      <c r="L200" s="11"/>
      <c r="M200" s="11"/>
    </row>
    <row r="201" spans="1:13" ht="12" customHeight="1" x14ac:dyDescent="0.25">
      <c r="A201" s="762"/>
      <c r="B201" s="135" t="s">
        <v>122</v>
      </c>
      <c r="C201" s="51"/>
      <c r="D201" s="51"/>
      <c r="E201" s="1304"/>
      <c r="F201" s="149"/>
      <c r="G201" s="862"/>
      <c r="H201" s="11"/>
      <c r="I201" s="11"/>
      <c r="J201" s="11"/>
      <c r="K201" s="11"/>
      <c r="L201" s="11"/>
      <c r="M201" s="11"/>
    </row>
    <row r="202" spans="1:13" ht="12" customHeight="1" x14ac:dyDescent="0.25">
      <c r="A202" s="762"/>
      <c r="B202" s="4" t="s">
        <v>97</v>
      </c>
      <c r="C202" s="51"/>
      <c r="D202" s="51"/>
      <c r="E202" s="1304"/>
      <c r="F202" s="149"/>
      <c r="G202" s="862"/>
      <c r="H202" s="11"/>
      <c r="I202" s="11"/>
      <c r="J202" s="11"/>
      <c r="K202" s="11"/>
      <c r="L202" s="11"/>
      <c r="M202" s="11"/>
    </row>
    <row r="203" spans="1:13" ht="12" customHeight="1" x14ac:dyDescent="0.25">
      <c r="A203" s="762"/>
      <c r="B203" s="135" t="s">
        <v>185</v>
      </c>
      <c r="C203" s="152"/>
      <c r="D203" s="152"/>
      <c r="E203" s="1342"/>
      <c r="F203" s="149"/>
      <c r="G203" s="862"/>
      <c r="H203" s="11"/>
      <c r="I203" s="11"/>
      <c r="J203" s="11"/>
      <c r="K203" s="11"/>
      <c r="L203" s="11"/>
      <c r="M203" s="11"/>
    </row>
    <row r="204" spans="1:13" ht="12" customHeight="1" thickBot="1" x14ac:dyDescent="0.3">
      <c r="A204" s="762"/>
      <c r="B204" s="136" t="s">
        <v>112</v>
      </c>
      <c r="C204" s="154"/>
      <c r="D204" s="154"/>
      <c r="E204" s="1344"/>
      <c r="F204" s="189"/>
      <c r="G204" s="875"/>
      <c r="H204" s="11"/>
      <c r="I204" s="11"/>
      <c r="J204" s="11"/>
      <c r="K204" s="11"/>
      <c r="L204" s="11"/>
      <c r="M204" s="11"/>
    </row>
    <row r="205" spans="1:13" ht="12" customHeight="1" thickBot="1" x14ac:dyDescent="0.3">
      <c r="A205" s="800"/>
      <c r="B205" s="137" t="s">
        <v>57</v>
      </c>
      <c r="C205" s="150">
        <f t="shared" ref="C205" si="30">SUM(C197:C204)</f>
        <v>17000</v>
      </c>
      <c r="D205" s="150">
        <f t="shared" ref="D205:E205" si="31">SUM(D197:D204)</f>
        <v>17000</v>
      </c>
      <c r="E205" s="1306">
        <f t="shared" si="31"/>
        <v>17000</v>
      </c>
      <c r="F205" s="174">
        <f>SUM(E205/D205)</f>
        <v>1</v>
      </c>
      <c r="G205" s="203"/>
      <c r="H205" s="11"/>
      <c r="I205" s="11"/>
      <c r="J205" s="11"/>
      <c r="K205" s="11"/>
      <c r="L205" s="11"/>
      <c r="M205" s="11"/>
    </row>
    <row r="206" spans="1:13" ht="12" customHeight="1" x14ac:dyDescent="0.25">
      <c r="A206" s="740">
        <v>3142</v>
      </c>
      <c r="B206" s="156" t="s">
        <v>6</v>
      </c>
      <c r="C206" s="54"/>
      <c r="D206" s="54"/>
      <c r="E206" s="1303"/>
      <c r="F206" s="125"/>
      <c r="G206" s="869"/>
      <c r="H206" s="11"/>
      <c r="I206" s="11"/>
      <c r="J206" s="11"/>
      <c r="K206" s="11"/>
      <c r="L206" s="11"/>
      <c r="M206" s="11"/>
    </row>
    <row r="207" spans="1:13" ht="12" customHeight="1" x14ac:dyDescent="0.25">
      <c r="A207" s="740"/>
      <c r="B207" s="21" t="s">
        <v>45</v>
      </c>
      <c r="C207" s="51">
        <v>2169</v>
      </c>
      <c r="D207" s="51">
        <v>2169</v>
      </c>
      <c r="E207" s="1304">
        <v>2169</v>
      </c>
      <c r="F207" s="149">
        <f>SUM(E207/D207)</f>
        <v>1</v>
      </c>
      <c r="G207" s="876"/>
      <c r="H207" s="11"/>
      <c r="I207" s="11"/>
      <c r="J207" s="11"/>
      <c r="K207" s="11"/>
      <c r="L207" s="11"/>
      <c r="M207" s="11"/>
    </row>
    <row r="208" spans="1:13" ht="12" customHeight="1" x14ac:dyDescent="0.25">
      <c r="A208" s="740"/>
      <c r="B208" s="3" t="s">
        <v>125</v>
      </c>
      <c r="C208" s="51">
        <v>850</v>
      </c>
      <c r="D208" s="51">
        <v>850</v>
      </c>
      <c r="E208" s="1304">
        <v>850</v>
      </c>
      <c r="F208" s="149">
        <f>SUM(E208/D208)</f>
        <v>1</v>
      </c>
      <c r="G208" s="874"/>
      <c r="H208" s="11"/>
      <c r="I208" s="11"/>
      <c r="J208" s="11"/>
      <c r="K208" s="11"/>
      <c r="L208" s="11"/>
      <c r="M208" s="11"/>
    </row>
    <row r="209" spans="1:13" ht="12" customHeight="1" x14ac:dyDescent="0.25">
      <c r="A209" s="740"/>
      <c r="B209" s="56" t="s">
        <v>117</v>
      </c>
      <c r="C209" s="152">
        <v>3481</v>
      </c>
      <c r="D209" s="152">
        <v>3481</v>
      </c>
      <c r="E209" s="1342">
        <v>3481</v>
      </c>
      <c r="F209" s="149">
        <f>SUM(E209/D209)</f>
        <v>1</v>
      </c>
      <c r="G209" s="843" t="s">
        <v>1049</v>
      </c>
      <c r="H209" s="11"/>
      <c r="I209" s="11"/>
      <c r="J209" s="11"/>
      <c r="K209" s="11"/>
      <c r="L209" s="11"/>
      <c r="M209" s="11"/>
    </row>
    <row r="210" spans="1:13" ht="12" customHeight="1" x14ac:dyDescent="0.25">
      <c r="A210" s="740"/>
      <c r="B210" s="135" t="s">
        <v>49</v>
      </c>
      <c r="C210" s="152"/>
      <c r="D210" s="152"/>
      <c r="E210" s="1342"/>
      <c r="F210" s="149"/>
      <c r="G210" s="842" t="s">
        <v>1054</v>
      </c>
      <c r="H210" s="11"/>
      <c r="I210" s="11"/>
      <c r="J210" s="11"/>
      <c r="K210" s="11"/>
      <c r="L210" s="11"/>
      <c r="M210" s="11"/>
    </row>
    <row r="211" spans="1:13" ht="12" customHeight="1" x14ac:dyDescent="0.25">
      <c r="A211" s="740"/>
      <c r="B211" s="135" t="s">
        <v>122</v>
      </c>
      <c r="C211" s="152">
        <v>1000</v>
      </c>
      <c r="D211" s="152">
        <v>1000</v>
      </c>
      <c r="E211" s="1342">
        <v>1000</v>
      </c>
      <c r="F211" s="149">
        <f>SUM(E211/D211)</f>
        <v>1</v>
      </c>
      <c r="G211" s="877"/>
      <c r="H211" s="11"/>
      <c r="I211" s="11"/>
      <c r="J211" s="11"/>
      <c r="K211" s="11"/>
      <c r="L211" s="11"/>
      <c r="M211" s="11"/>
    </row>
    <row r="212" spans="1:13" ht="12" customHeight="1" x14ac:dyDescent="0.25">
      <c r="A212" s="740"/>
      <c r="B212" s="4" t="s">
        <v>97</v>
      </c>
      <c r="C212" s="152"/>
      <c r="D212" s="152"/>
      <c r="E212" s="1342"/>
      <c r="F212" s="149"/>
      <c r="G212" s="877"/>
      <c r="H212" s="11"/>
      <c r="I212" s="11"/>
      <c r="J212" s="11"/>
      <c r="K212" s="11"/>
      <c r="L212" s="11"/>
      <c r="M212" s="11"/>
    </row>
    <row r="213" spans="1:13" ht="12" customHeight="1" x14ac:dyDescent="0.25">
      <c r="A213" s="740"/>
      <c r="B213" s="135" t="s">
        <v>185</v>
      </c>
      <c r="C213" s="152"/>
      <c r="D213" s="152"/>
      <c r="E213" s="1342"/>
      <c r="F213" s="149"/>
      <c r="G213" s="877"/>
      <c r="H213" s="11"/>
      <c r="I213" s="11"/>
      <c r="J213" s="11"/>
      <c r="K213" s="11"/>
      <c r="L213" s="11"/>
      <c r="M213" s="11"/>
    </row>
    <row r="214" spans="1:13" ht="12.6" thickBot="1" x14ac:dyDescent="0.3">
      <c r="A214" s="740"/>
      <c r="B214" s="136" t="s">
        <v>112</v>
      </c>
      <c r="C214" s="157"/>
      <c r="D214" s="157"/>
      <c r="E214" s="1345"/>
      <c r="F214" s="189"/>
      <c r="G214" s="783"/>
      <c r="H214" s="11"/>
      <c r="I214" s="11"/>
      <c r="J214" s="11"/>
      <c r="K214" s="11"/>
      <c r="L214" s="11"/>
      <c r="M214" s="11"/>
    </row>
    <row r="215" spans="1:13" ht="12" customHeight="1" thickBot="1" x14ac:dyDescent="0.3">
      <c r="A215" s="800"/>
      <c r="B215" s="137" t="s">
        <v>57</v>
      </c>
      <c r="C215" s="150">
        <f t="shared" ref="C215" si="32">SUM(C207:C214)</f>
        <v>7500</v>
      </c>
      <c r="D215" s="150">
        <f t="shared" ref="D215:E215" si="33">SUM(D207:D214)</f>
        <v>7500</v>
      </c>
      <c r="E215" s="1306">
        <f t="shared" si="33"/>
        <v>7500</v>
      </c>
      <c r="F215" s="174">
        <f>SUM(E215/D215)</f>
        <v>1</v>
      </c>
      <c r="G215" s="203"/>
      <c r="H215" s="11"/>
      <c r="I215" s="11"/>
      <c r="J215" s="11"/>
      <c r="K215" s="11"/>
      <c r="L215" s="11"/>
      <c r="M215" s="11"/>
    </row>
    <row r="216" spans="1:13" ht="12" customHeight="1" x14ac:dyDescent="0.25">
      <c r="A216" s="836">
        <v>3143</v>
      </c>
      <c r="B216" s="148" t="s">
        <v>219</v>
      </c>
      <c r="C216" s="54"/>
      <c r="D216" s="54"/>
      <c r="E216" s="1303"/>
      <c r="F216" s="125"/>
      <c r="G216" s="878"/>
      <c r="H216" s="11"/>
      <c r="I216" s="11"/>
      <c r="J216" s="11"/>
      <c r="K216" s="11"/>
      <c r="L216" s="11"/>
      <c r="M216" s="11"/>
    </row>
    <row r="217" spans="1:13" ht="12" customHeight="1" x14ac:dyDescent="0.25">
      <c r="A217" s="762"/>
      <c r="B217" s="21" t="s">
        <v>45</v>
      </c>
      <c r="C217" s="51">
        <v>1500</v>
      </c>
      <c r="D217" s="51">
        <v>1500</v>
      </c>
      <c r="E217" s="1304">
        <v>1500</v>
      </c>
      <c r="F217" s="149"/>
      <c r="G217" s="863"/>
      <c r="H217" s="11"/>
      <c r="I217" s="11"/>
      <c r="J217" s="11"/>
      <c r="K217" s="11"/>
      <c r="L217" s="11"/>
      <c r="M217" s="11"/>
    </row>
    <row r="218" spans="1:13" ht="12" customHeight="1" x14ac:dyDescent="0.25">
      <c r="A218" s="762"/>
      <c r="B218" s="3" t="s">
        <v>125</v>
      </c>
      <c r="C218" s="51">
        <v>195</v>
      </c>
      <c r="D218" s="51">
        <v>195</v>
      </c>
      <c r="E218" s="1304">
        <v>195</v>
      </c>
      <c r="F218" s="149"/>
      <c r="G218" s="876"/>
      <c r="H218" s="11"/>
      <c r="I218" s="11"/>
      <c r="J218" s="11"/>
      <c r="K218" s="11"/>
      <c r="L218" s="11"/>
      <c r="M218" s="11"/>
    </row>
    <row r="219" spans="1:13" ht="12" customHeight="1" x14ac:dyDescent="0.25">
      <c r="A219" s="762"/>
      <c r="B219" s="56" t="s">
        <v>117</v>
      </c>
      <c r="C219" s="152">
        <v>1000</v>
      </c>
      <c r="D219" s="152">
        <v>1000</v>
      </c>
      <c r="E219" s="1342">
        <v>1000</v>
      </c>
      <c r="F219" s="149"/>
      <c r="G219" s="843" t="s">
        <v>1060</v>
      </c>
      <c r="H219" s="11"/>
      <c r="I219" s="11"/>
      <c r="J219" s="11"/>
      <c r="K219" s="11"/>
      <c r="L219" s="11"/>
      <c r="M219" s="11"/>
    </row>
    <row r="220" spans="1:13" ht="12" customHeight="1" x14ac:dyDescent="0.25">
      <c r="A220" s="762"/>
      <c r="B220" s="135" t="s">
        <v>49</v>
      </c>
      <c r="C220" s="152"/>
      <c r="D220" s="152"/>
      <c r="E220" s="1342"/>
      <c r="F220" s="149"/>
      <c r="G220" s="862"/>
      <c r="H220" s="11"/>
      <c r="I220" s="11"/>
      <c r="J220" s="11"/>
      <c r="K220" s="11"/>
      <c r="L220" s="11"/>
      <c r="M220" s="11"/>
    </row>
    <row r="221" spans="1:13" ht="12" customHeight="1" x14ac:dyDescent="0.25">
      <c r="A221" s="762"/>
      <c r="B221" s="135" t="s">
        <v>122</v>
      </c>
      <c r="C221" s="51">
        <v>3305</v>
      </c>
      <c r="D221" s="51">
        <v>3305</v>
      </c>
      <c r="E221" s="1304">
        <v>3305</v>
      </c>
      <c r="F221" s="149">
        <f>SUM(E221/D221)</f>
        <v>1</v>
      </c>
      <c r="G221" s="862"/>
      <c r="H221" s="11"/>
      <c r="I221" s="11"/>
      <c r="J221" s="11"/>
      <c r="K221" s="11"/>
      <c r="L221" s="11"/>
      <c r="M221" s="11"/>
    </row>
    <row r="222" spans="1:13" ht="12" customHeight="1" x14ac:dyDescent="0.25">
      <c r="A222" s="762"/>
      <c r="B222" s="4" t="s">
        <v>97</v>
      </c>
      <c r="C222" s="152"/>
      <c r="D222" s="152"/>
      <c r="E222" s="1342"/>
      <c r="F222" s="149"/>
      <c r="G222" s="862"/>
      <c r="H222" s="11"/>
      <c r="I222" s="11"/>
      <c r="J222" s="11"/>
      <c r="K222" s="11"/>
      <c r="L222" s="11"/>
      <c r="M222" s="11"/>
    </row>
    <row r="223" spans="1:13" ht="12" customHeight="1" x14ac:dyDescent="0.25">
      <c r="A223" s="762"/>
      <c r="B223" s="135" t="s">
        <v>185</v>
      </c>
      <c r="C223" s="51"/>
      <c r="D223" s="51"/>
      <c r="E223" s="1304"/>
      <c r="F223" s="149"/>
      <c r="G223" s="861"/>
      <c r="H223" s="11"/>
      <c r="I223" s="11"/>
      <c r="J223" s="11"/>
      <c r="K223" s="11"/>
      <c r="L223" s="11"/>
      <c r="M223" s="11"/>
    </row>
    <row r="224" spans="1:13" ht="12" customHeight="1" thickBot="1" x14ac:dyDescent="0.3">
      <c r="A224" s="762"/>
      <c r="B224" s="136" t="s">
        <v>112</v>
      </c>
      <c r="C224" s="154"/>
      <c r="D224" s="154"/>
      <c r="E224" s="1344"/>
      <c r="F224" s="189"/>
      <c r="G224" s="744"/>
      <c r="H224" s="11"/>
      <c r="I224" s="11"/>
      <c r="J224" s="11"/>
      <c r="K224" s="11"/>
      <c r="L224" s="11"/>
      <c r="M224" s="11"/>
    </row>
    <row r="225" spans="1:13" ht="12" customHeight="1" thickBot="1" x14ac:dyDescent="0.3">
      <c r="A225" s="800"/>
      <c r="B225" s="137" t="s">
        <v>57</v>
      </c>
      <c r="C225" s="150">
        <f t="shared" ref="C225" si="34">SUM(C217:C224)</f>
        <v>6000</v>
      </c>
      <c r="D225" s="150">
        <f t="shared" ref="D225:E225" si="35">SUM(D217:D224)</f>
        <v>6000</v>
      </c>
      <c r="E225" s="1306">
        <f t="shared" si="35"/>
        <v>6000</v>
      </c>
      <c r="F225" s="174">
        <f>SUM(E225/D225)</f>
        <v>1</v>
      </c>
      <c r="G225" s="203"/>
      <c r="H225" s="11"/>
      <c r="I225" s="11"/>
      <c r="J225" s="11"/>
      <c r="K225" s="11"/>
      <c r="L225" s="11"/>
      <c r="M225" s="11"/>
    </row>
    <row r="226" spans="1:13" ht="12" customHeight="1" x14ac:dyDescent="0.25">
      <c r="A226" s="825">
        <v>3145</v>
      </c>
      <c r="B226" s="143" t="s">
        <v>145</v>
      </c>
      <c r="C226" s="139"/>
      <c r="D226" s="139"/>
      <c r="E226" s="1330"/>
      <c r="F226" s="125"/>
      <c r="G226" s="879"/>
      <c r="H226" s="11"/>
      <c r="I226" s="11"/>
      <c r="J226" s="11"/>
      <c r="K226" s="11"/>
      <c r="L226" s="11"/>
      <c r="M226" s="11"/>
    </row>
    <row r="227" spans="1:13" ht="12" customHeight="1" x14ac:dyDescent="0.25">
      <c r="A227" s="790"/>
      <c r="B227" s="21" t="s">
        <v>45</v>
      </c>
      <c r="C227" s="140">
        <v>830</v>
      </c>
      <c r="D227" s="140">
        <v>830</v>
      </c>
      <c r="E227" s="1331">
        <f>830+21</f>
        <v>851</v>
      </c>
      <c r="F227" s="149">
        <f>SUM(E227/D227)</f>
        <v>1.0253012048192771</v>
      </c>
      <c r="G227" s="880"/>
      <c r="H227" s="11"/>
      <c r="I227" s="11"/>
      <c r="J227" s="11"/>
      <c r="K227" s="11"/>
      <c r="L227" s="11"/>
      <c r="M227" s="11"/>
    </row>
    <row r="228" spans="1:13" ht="12" customHeight="1" x14ac:dyDescent="0.25">
      <c r="A228" s="790"/>
      <c r="B228" s="3" t="s">
        <v>125</v>
      </c>
      <c r="C228" s="140">
        <v>288</v>
      </c>
      <c r="D228" s="140">
        <v>288</v>
      </c>
      <c r="E228" s="1331">
        <v>288</v>
      </c>
      <c r="F228" s="149">
        <f>SUM(E228/D228)</f>
        <v>1</v>
      </c>
      <c r="G228" s="869"/>
      <c r="H228" s="11"/>
      <c r="I228" s="11"/>
      <c r="J228" s="11"/>
      <c r="K228" s="11"/>
      <c r="L228" s="11"/>
      <c r="M228" s="11"/>
    </row>
    <row r="229" spans="1:13" ht="12" customHeight="1" x14ac:dyDescent="0.25">
      <c r="A229" s="790"/>
      <c r="B229" s="56" t="s">
        <v>117</v>
      </c>
      <c r="C229" s="140">
        <v>7882</v>
      </c>
      <c r="D229" s="140">
        <v>7882</v>
      </c>
      <c r="E229" s="1331">
        <v>7882</v>
      </c>
      <c r="F229" s="149">
        <f>SUM(E229/D229)</f>
        <v>1</v>
      </c>
      <c r="G229" s="843" t="s">
        <v>1060</v>
      </c>
      <c r="H229" s="11"/>
      <c r="I229" s="11"/>
      <c r="J229" s="11"/>
      <c r="K229" s="11"/>
      <c r="L229" s="11"/>
      <c r="M229" s="11"/>
    </row>
    <row r="230" spans="1:13" ht="12" customHeight="1" x14ac:dyDescent="0.25">
      <c r="A230" s="790"/>
      <c r="B230" s="135" t="s">
        <v>49</v>
      </c>
      <c r="C230" s="140"/>
      <c r="D230" s="140"/>
      <c r="E230" s="1331"/>
      <c r="F230" s="149"/>
      <c r="G230" s="879"/>
      <c r="H230" s="11"/>
      <c r="I230" s="11"/>
      <c r="J230" s="11"/>
      <c r="K230" s="11"/>
      <c r="L230" s="11"/>
      <c r="M230" s="11"/>
    </row>
    <row r="231" spans="1:13" ht="12" customHeight="1" x14ac:dyDescent="0.25">
      <c r="A231" s="790"/>
      <c r="B231" s="135" t="s">
        <v>122</v>
      </c>
      <c r="C231" s="140">
        <v>1000</v>
      </c>
      <c r="D231" s="140">
        <v>1000</v>
      </c>
      <c r="E231" s="1331">
        <f>1000+2800</f>
        <v>3800</v>
      </c>
      <c r="F231" s="149">
        <f>SUM(E231/D231)</f>
        <v>3.8</v>
      </c>
      <c r="G231" s="879"/>
      <c r="H231" s="11"/>
      <c r="I231" s="11"/>
      <c r="J231" s="11"/>
      <c r="K231" s="11"/>
      <c r="L231" s="11"/>
      <c r="M231" s="11"/>
    </row>
    <row r="232" spans="1:13" ht="12" customHeight="1" x14ac:dyDescent="0.25">
      <c r="A232" s="790"/>
      <c r="B232" s="4" t="s">
        <v>97</v>
      </c>
      <c r="C232" s="140"/>
      <c r="D232" s="140"/>
      <c r="E232" s="1331"/>
      <c r="F232" s="149"/>
      <c r="G232" s="881"/>
      <c r="H232" s="11"/>
      <c r="I232" s="11"/>
      <c r="J232" s="11"/>
      <c r="K232" s="11"/>
      <c r="L232" s="11"/>
      <c r="M232" s="11"/>
    </row>
    <row r="233" spans="1:13" ht="12" customHeight="1" x14ac:dyDescent="0.25">
      <c r="A233" s="790"/>
      <c r="B233" s="135" t="s">
        <v>185</v>
      </c>
      <c r="C233" s="140"/>
      <c r="D233" s="140"/>
      <c r="E233" s="1331"/>
      <c r="F233" s="149"/>
      <c r="G233" s="879"/>
      <c r="H233" s="11"/>
      <c r="I233" s="11"/>
      <c r="J233" s="11"/>
      <c r="K233" s="11"/>
      <c r="L233" s="11"/>
      <c r="M233" s="11"/>
    </row>
    <row r="234" spans="1:13" ht="12" customHeight="1" thickBot="1" x14ac:dyDescent="0.3">
      <c r="A234" s="790"/>
      <c r="B234" s="136" t="s">
        <v>112</v>
      </c>
      <c r="C234" s="147"/>
      <c r="D234" s="147"/>
      <c r="E234" s="1341"/>
      <c r="F234" s="189"/>
      <c r="G234" s="882"/>
      <c r="H234" s="11"/>
      <c r="I234" s="11"/>
      <c r="J234" s="11"/>
      <c r="K234" s="11"/>
      <c r="L234" s="11"/>
      <c r="M234" s="11"/>
    </row>
    <row r="235" spans="1:13" ht="12" customHeight="1" thickBot="1" x14ac:dyDescent="0.3">
      <c r="A235" s="883"/>
      <c r="B235" s="137" t="s">
        <v>57</v>
      </c>
      <c r="C235" s="138">
        <f>SUM(C227:C234)</f>
        <v>10000</v>
      </c>
      <c r="D235" s="138">
        <f>SUM(D227:D234)</f>
        <v>10000</v>
      </c>
      <c r="E235" s="1333">
        <f>SUM(E227:E234)</f>
        <v>12821</v>
      </c>
      <c r="F235" s="174">
        <f>SUM(E235/D235)</f>
        <v>1.2821</v>
      </c>
      <c r="G235" s="884"/>
      <c r="H235" s="11"/>
      <c r="I235" s="11"/>
      <c r="J235" s="11"/>
      <c r="K235" s="11"/>
      <c r="L235" s="11"/>
      <c r="M235" s="11"/>
    </row>
    <row r="236" spans="1:13" ht="12" customHeight="1" x14ac:dyDescent="0.25">
      <c r="A236" s="825">
        <v>3146</v>
      </c>
      <c r="B236" s="143" t="s">
        <v>214</v>
      </c>
      <c r="C236" s="139"/>
      <c r="D236" s="139"/>
      <c r="E236" s="1330"/>
      <c r="F236" s="125"/>
      <c r="G236" s="885"/>
      <c r="H236" s="11"/>
      <c r="I236" s="11"/>
      <c r="J236" s="11"/>
      <c r="K236" s="11"/>
      <c r="L236" s="11"/>
      <c r="M236" s="11"/>
    </row>
    <row r="237" spans="1:13" ht="12" customHeight="1" x14ac:dyDescent="0.25">
      <c r="A237" s="790"/>
      <c r="B237" s="21" t="s">
        <v>45</v>
      </c>
      <c r="C237" s="140">
        <v>1252</v>
      </c>
      <c r="D237" s="140">
        <v>1252</v>
      </c>
      <c r="E237" s="1331">
        <v>1252</v>
      </c>
      <c r="F237" s="149">
        <f>SUM(E237/D237)</f>
        <v>1</v>
      </c>
      <c r="G237" s="885"/>
      <c r="H237" s="11"/>
      <c r="I237" s="11"/>
      <c r="J237" s="11"/>
      <c r="K237" s="11"/>
      <c r="L237" s="11"/>
      <c r="M237" s="11"/>
    </row>
    <row r="238" spans="1:13" ht="12" customHeight="1" x14ac:dyDescent="0.25">
      <c r="A238" s="790"/>
      <c r="B238" s="3" t="s">
        <v>125</v>
      </c>
      <c r="C238" s="140">
        <v>314</v>
      </c>
      <c r="D238" s="140">
        <v>314</v>
      </c>
      <c r="E238" s="1331">
        <v>314</v>
      </c>
      <c r="F238" s="149">
        <f>SUM(E238/D238)</f>
        <v>1</v>
      </c>
      <c r="G238" s="879"/>
      <c r="H238" s="11"/>
      <c r="I238" s="11"/>
      <c r="J238" s="11"/>
      <c r="K238" s="11"/>
      <c r="L238" s="11"/>
      <c r="M238" s="11"/>
    </row>
    <row r="239" spans="1:13" ht="12" customHeight="1" x14ac:dyDescent="0.25">
      <c r="A239" s="790"/>
      <c r="B239" s="56" t="s">
        <v>117</v>
      </c>
      <c r="C239" s="140">
        <v>1734</v>
      </c>
      <c r="D239" s="140">
        <v>1734</v>
      </c>
      <c r="E239" s="1331">
        <v>1734</v>
      </c>
      <c r="F239" s="149">
        <f>SUM(E239/D239)</f>
        <v>1</v>
      </c>
      <c r="G239" s="843" t="s">
        <v>1049</v>
      </c>
      <c r="H239" s="11"/>
      <c r="I239" s="11"/>
      <c r="J239" s="11"/>
      <c r="K239" s="11"/>
      <c r="L239" s="11"/>
      <c r="M239" s="11"/>
    </row>
    <row r="240" spans="1:13" ht="12" customHeight="1" x14ac:dyDescent="0.25">
      <c r="A240" s="790"/>
      <c r="B240" s="135" t="s">
        <v>49</v>
      </c>
      <c r="C240" s="140"/>
      <c r="D240" s="140"/>
      <c r="E240" s="1331"/>
      <c r="F240" s="149"/>
      <c r="G240" s="879"/>
      <c r="H240" s="11"/>
      <c r="I240" s="11"/>
      <c r="J240" s="11"/>
      <c r="K240" s="11"/>
      <c r="L240" s="11"/>
      <c r="M240" s="11"/>
    </row>
    <row r="241" spans="1:13" ht="12" customHeight="1" x14ac:dyDescent="0.25">
      <c r="A241" s="790"/>
      <c r="B241" s="135" t="s">
        <v>122</v>
      </c>
      <c r="C241" s="140">
        <v>1700</v>
      </c>
      <c r="D241" s="140">
        <v>1700</v>
      </c>
      <c r="E241" s="1331">
        <v>1700</v>
      </c>
      <c r="F241" s="149">
        <f>SUM(E241/D241)</f>
        <v>1</v>
      </c>
      <c r="G241" s="879"/>
      <c r="H241" s="11"/>
      <c r="I241" s="11"/>
      <c r="J241" s="11"/>
      <c r="K241" s="11"/>
      <c r="L241" s="11"/>
      <c r="M241" s="11"/>
    </row>
    <row r="242" spans="1:13" ht="12" customHeight="1" x14ac:dyDescent="0.25">
      <c r="A242" s="790"/>
      <c r="B242" s="4" t="s">
        <v>97</v>
      </c>
      <c r="C242" s="140"/>
      <c r="D242" s="140"/>
      <c r="E242" s="1331">
        <v>262</v>
      </c>
      <c r="F242" s="149"/>
      <c r="G242" s="886"/>
      <c r="H242" s="11"/>
      <c r="I242" s="11"/>
      <c r="J242" s="11"/>
      <c r="K242" s="11"/>
      <c r="L242" s="11"/>
      <c r="M242" s="11"/>
    </row>
    <row r="243" spans="1:13" ht="12" customHeight="1" x14ac:dyDescent="0.25">
      <c r="A243" s="790"/>
      <c r="B243" s="133" t="s">
        <v>185</v>
      </c>
      <c r="C243" s="197"/>
      <c r="D243" s="197"/>
      <c r="E243" s="1338"/>
      <c r="F243" s="188"/>
      <c r="G243" s="886"/>
      <c r="H243" s="11"/>
      <c r="I243" s="11"/>
      <c r="J243" s="11"/>
      <c r="K243" s="11"/>
      <c r="L243" s="11"/>
      <c r="M243" s="11"/>
    </row>
    <row r="244" spans="1:13" ht="12" customHeight="1" thickBot="1" x14ac:dyDescent="0.3">
      <c r="A244" s="790"/>
      <c r="B244" s="132" t="s">
        <v>112</v>
      </c>
      <c r="C244" s="144"/>
      <c r="D244" s="144"/>
      <c r="E244" s="1340"/>
      <c r="F244" s="189"/>
      <c r="G244" s="882"/>
      <c r="H244" s="11"/>
      <c r="I244" s="11"/>
      <c r="J244" s="11"/>
      <c r="K244" s="11"/>
      <c r="L244" s="11"/>
      <c r="M244" s="11"/>
    </row>
    <row r="245" spans="1:13" ht="12" customHeight="1" thickBot="1" x14ac:dyDescent="0.3">
      <c r="A245" s="883"/>
      <c r="B245" s="137" t="s">
        <v>57</v>
      </c>
      <c r="C245" s="138">
        <f t="shared" ref="C245" si="36">SUM(C237:C244)</f>
        <v>5000</v>
      </c>
      <c r="D245" s="138">
        <f t="shared" ref="D245:E245" si="37">SUM(D237:D244)</f>
        <v>5000</v>
      </c>
      <c r="E245" s="1333">
        <f t="shared" si="37"/>
        <v>5262</v>
      </c>
      <c r="F245" s="174">
        <f>SUM(E245/D245)</f>
        <v>1.0524</v>
      </c>
      <c r="G245" s="884"/>
      <c r="H245" s="11"/>
      <c r="I245" s="11"/>
      <c r="J245" s="11"/>
      <c r="K245" s="11"/>
      <c r="L245" s="11"/>
      <c r="M245" s="11"/>
    </row>
    <row r="246" spans="1:13" ht="12" customHeight="1" x14ac:dyDescent="0.25">
      <c r="A246" s="825">
        <v>3147</v>
      </c>
      <c r="B246" s="143" t="s">
        <v>949</v>
      </c>
      <c r="C246" s="139"/>
      <c r="D246" s="139"/>
      <c r="E246" s="1330"/>
      <c r="F246" s="139"/>
      <c r="G246" s="887"/>
      <c r="H246" s="11"/>
      <c r="I246" s="11"/>
      <c r="J246" s="11"/>
      <c r="K246" s="11"/>
      <c r="L246" s="11"/>
      <c r="M246" s="11"/>
    </row>
    <row r="247" spans="1:13" ht="12" customHeight="1" x14ac:dyDescent="0.25">
      <c r="A247" s="790"/>
      <c r="B247" s="21" t="s">
        <v>45</v>
      </c>
      <c r="C247" s="140"/>
      <c r="D247" s="140"/>
      <c r="E247" s="1331"/>
      <c r="F247" s="140"/>
      <c r="G247" s="888"/>
      <c r="H247" s="11"/>
      <c r="I247" s="11"/>
      <c r="J247" s="11"/>
      <c r="K247" s="11"/>
      <c r="L247" s="11"/>
      <c r="M247" s="11"/>
    </row>
    <row r="248" spans="1:13" ht="12" customHeight="1" x14ac:dyDescent="0.25">
      <c r="A248" s="790"/>
      <c r="B248" s="3" t="s">
        <v>125</v>
      </c>
      <c r="C248" s="140"/>
      <c r="D248" s="140"/>
      <c r="E248" s="1331"/>
      <c r="F248" s="140"/>
      <c r="G248" s="888"/>
      <c r="H248" s="11"/>
      <c r="I248" s="11"/>
      <c r="J248" s="11"/>
      <c r="K248" s="11"/>
      <c r="L248" s="11"/>
      <c r="M248" s="11"/>
    </row>
    <row r="249" spans="1:13" ht="12" customHeight="1" x14ac:dyDescent="0.25">
      <c r="A249" s="790"/>
      <c r="B249" s="56" t="s">
        <v>117</v>
      </c>
      <c r="C249" s="140"/>
      <c r="D249" s="140"/>
      <c r="E249" s="1331"/>
      <c r="F249" s="597"/>
      <c r="G249" s="843" t="s">
        <v>1049</v>
      </c>
      <c r="H249" s="11"/>
      <c r="I249" s="11"/>
      <c r="J249" s="11"/>
      <c r="K249" s="11"/>
      <c r="L249" s="11"/>
      <c r="M249" s="11"/>
    </row>
    <row r="250" spans="1:13" ht="12" customHeight="1" x14ac:dyDescent="0.25">
      <c r="A250" s="790"/>
      <c r="B250" s="135" t="s">
        <v>49</v>
      </c>
      <c r="C250" s="140"/>
      <c r="D250" s="140"/>
      <c r="E250" s="1331"/>
      <c r="F250" s="140"/>
      <c r="G250" s="842" t="s">
        <v>1054</v>
      </c>
      <c r="H250" s="11"/>
      <c r="I250" s="11"/>
      <c r="J250" s="11"/>
      <c r="K250" s="11"/>
      <c r="L250" s="11"/>
      <c r="M250" s="11"/>
    </row>
    <row r="251" spans="1:13" ht="12" customHeight="1" x14ac:dyDescent="0.25">
      <c r="A251" s="790"/>
      <c r="B251" s="135" t="s">
        <v>122</v>
      </c>
      <c r="C251" s="140"/>
      <c r="D251" s="140"/>
      <c r="E251" s="1331"/>
      <c r="F251" s="140"/>
      <c r="G251" s="888"/>
      <c r="H251" s="11"/>
      <c r="I251" s="11"/>
      <c r="J251" s="11"/>
      <c r="K251" s="11"/>
      <c r="L251" s="11"/>
      <c r="M251" s="11"/>
    </row>
    <row r="252" spans="1:13" ht="12" customHeight="1" x14ac:dyDescent="0.25">
      <c r="A252" s="790"/>
      <c r="B252" s="4" t="s">
        <v>97</v>
      </c>
      <c r="C252" s="140"/>
      <c r="D252" s="140"/>
      <c r="E252" s="1331"/>
      <c r="F252" s="140"/>
      <c r="G252" s="888"/>
      <c r="H252" s="11"/>
      <c r="I252" s="11"/>
      <c r="J252" s="11"/>
      <c r="K252" s="11"/>
      <c r="L252" s="11"/>
      <c r="M252" s="11"/>
    </row>
    <row r="253" spans="1:13" ht="12" customHeight="1" x14ac:dyDescent="0.25">
      <c r="A253" s="790"/>
      <c r="B253" s="133" t="s">
        <v>185</v>
      </c>
      <c r="C253" s="140"/>
      <c r="D253" s="140"/>
      <c r="E253" s="1331"/>
      <c r="F253" s="140"/>
      <c r="G253" s="888"/>
      <c r="H253" s="11"/>
      <c r="I253" s="11"/>
      <c r="J253" s="11"/>
      <c r="K253" s="11"/>
      <c r="L253" s="11"/>
      <c r="M253" s="11"/>
    </row>
    <row r="254" spans="1:13" ht="12" customHeight="1" thickBot="1" x14ac:dyDescent="0.3">
      <c r="A254" s="790"/>
      <c r="B254" s="132" t="s">
        <v>112</v>
      </c>
      <c r="C254" s="144"/>
      <c r="D254" s="144"/>
      <c r="E254" s="1340"/>
      <c r="F254" s="144"/>
      <c r="G254" s="889"/>
      <c r="H254" s="11"/>
      <c r="I254" s="11"/>
      <c r="J254" s="11"/>
      <c r="K254" s="11"/>
      <c r="L254" s="11"/>
      <c r="M254" s="11"/>
    </row>
    <row r="255" spans="1:13" ht="12" customHeight="1" thickBot="1" x14ac:dyDescent="0.3">
      <c r="A255" s="883"/>
      <c r="B255" s="137" t="s">
        <v>57</v>
      </c>
      <c r="C255" s="138">
        <f t="shared" ref="C255:D255" si="38">SUM(C247:C254)</f>
        <v>0</v>
      </c>
      <c r="D255" s="138">
        <f t="shared" si="38"/>
        <v>0</v>
      </c>
      <c r="E255" s="1333">
        <f t="shared" ref="E255" si="39">SUM(E247:E254)</f>
        <v>0</v>
      </c>
      <c r="F255" s="138"/>
      <c r="G255" s="890"/>
      <c r="H255" s="11"/>
      <c r="I255" s="11"/>
      <c r="J255" s="11"/>
      <c r="K255" s="11"/>
      <c r="L255" s="11"/>
      <c r="M255" s="11"/>
    </row>
    <row r="256" spans="1:13" ht="12" customHeight="1" x14ac:dyDescent="0.25">
      <c r="A256" s="825">
        <v>3148</v>
      </c>
      <c r="B256" s="143" t="s">
        <v>256</v>
      </c>
      <c r="C256" s="139"/>
      <c r="D256" s="139"/>
      <c r="E256" s="1330"/>
      <c r="F256" s="139"/>
      <c r="G256" s="887"/>
      <c r="H256" s="11"/>
      <c r="I256" s="11"/>
      <c r="J256" s="11"/>
      <c r="K256" s="11"/>
      <c r="L256" s="11"/>
      <c r="M256" s="11"/>
    </row>
    <row r="257" spans="1:13" ht="12" customHeight="1" x14ac:dyDescent="0.25">
      <c r="A257" s="790"/>
      <c r="B257" s="21" t="s">
        <v>45</v>
      </c>
      <c r="C257" s="140"/>
      <c r="D257" s="140"/>
      <c r="E257" s="1331"/>
      <c r="F257" s="125"/>
      <c r="G257" s="879"/>
      <c r="H257" s="11"/>
      <c r="I257" s="11"/>
      <c r="J257" s="11"/>
      <c r="K257" s="11"/>
      <c r="L257" s="11"/>
      <c r="M257" s="11"/>
    </row>
    <row r="258" spans="1:13" ht="12" customHeight="1" x14ac:dyDescent="0.25">
      <c r="A258" s="790"/>
      <c r="B258" s="3" t="s">
        <v>125</v>
      </c>
      <c r="C258" s="140"/>
      <c r="D258" s="140"/>
      <c r="E258" s="1331"/>
      <c r="F258" s="188"/>
      <c r="G258" s="879"/>
      <c r="H258" s="11"/>
      <c r="I258" s="11"/>
      <c r="J258" s="11"/>
      <c r="K258" s="11"/>
      <c r="L258" s="11"/>
      <c r="M258" s="11"/>
    </row>
    <row r="259" spans="1:13" ht="12" customHeight="1" x14ac:dyDescent="0.25">
      <c r="A259" s="790"/>
      <c r="B259" s="56" t="s">
        <v>117</v>
      </c>
      <c r="C259" s="140">
        <v>1000</v>
      </c>
      <c r="D259" s="140">
        <v>1000</v>
      </c>
      <c r="E259" s="1331">
        <f>1000+984</f>
        <v>1984</v>
      </c>
      <c r="F259" s="149">
        <f>SUM(E259/D259)</f>
        <v>1.984</v>
      </c>
      <c r="G259" s="876"/>
      <c r="H259" s="11"/>
      <c r="I259" s="11"/>
      <c r="J259" s="11"/>
      <c r="K259" s="11"/>
      <c r="L259" s="11"/>
      <c r="M259" s="11"/>
    </row>
    <row r="260" spans="1:13" ht="12" customHeight="1" x14ac:dyDescent="0.25">
      <c r="A260" s="790"/>
      <c r="B260" s="135" t="s">
        <v>49</v>
      </c>
      <c r="C260" s="140"/>
      <c r="D260" s="140"/>
      <c r="E260" s="1331"/>
      <c r="F260" s="149"/>
      <c r="G260" s="885"/>
      <c r="H260" s="11"/>
      <c r="I260" s="11"/>
      <c r="J260" s="11"/>
      <c r="K260" s="11"/>
      <c r="L260" s="11"/>
      <c r="M260" s="11"/>
    </row>
    <row r="261" spans="1:13" ht="12" customHeight="1" x14ac:dyDescent="0.25">
      <c r="A261" s="790"/>
      <c r="B261" s="135" t="s">
        <v>122</v>
      </c>
      <c r="C261" s="140"/>
      <c r="D261" s="140"/>
      <c r="E261" s="1331"/>
      <c r="F261" s="149"/>
      <c r="G261" s="879"/>
      <c r="H261" s="11"/>
      <c r="I261" s="11"/>
      <c r="J261" s="11"/>
      <c r="K261" s="11"/>
      <c r="L261" s="11"/>
      <c r="M261" s="11"/>
    </row>
    <row r="262" spans="1:13" ht="12" customHeight="1" x14ac:dyDescent="0.25">
      <c r="A262" s="790"/>
      <c r="B262" s="4" t="s">
        <v>97</v>
      </c>
      <c r="C262" s="140"/>
      <c r="D262" s="140"/>
      <c r="E262" s="1331"/>
      <c r="F262" s="149"/>
      <c r="G262" s="879"/>
      <c r="H262" s="11"/>
      <c r="I262" s="11"/>
      <c r="J262" s="11"/>
      <c r="K262" s="11"/>
      <c r="L262" s="11"/>
      <c r="M262" s="11"/>
    </row>
    <row r="263" spans="1:13" ht="12" customHeight="1" x14ac:dyDescent="0.25">
      <c r="A263" s="790"/>
      <c r="B263" s="135" t="s">
        <v>185</v>
      </c>
      <c r="C263" s="140"/>
      <c r="D263" s="140"/>
      <c r="E263" s="1331"/>
      <c r="F263" s="149"/>
      <c r="G263" s="880"/>
      <c r="H263" s="11"/>
      <c r="I263" s="11"/>
      <c r="J263" s="11"/>
      <c r="K263" s="11"/>
      <c r="L263" s="11"/>
      <c r="M263" s="11"/>
    </row>
    <row r="264" spans="1:13" ht="12" customHeight="1" thickBot="1" x14ac:dyDescent="0.3">
      <c r="A264" s="790"/>
      <c r="B264" s="136" t="s">
        <v>112</v>
      </c>
      <c r="C264" s="144"/>
      <c r="D264" s="144"/>
      <c r="E264" s="1340"/>
      <c r="F264" s="189"/>
      <c r="G264" s="891"/>
      <c r="H264" s="11"/>
      <c r="I264" s="11"/>
      <c r="J264" s="11"/>
      <c r="K264" s="11"/>
      <c r="L264" s="11"/>
      <c r="M264" s="11"/>
    </row>
    <row r="265" spans="1:13" ht="12" customHeight="1" thickBot="1" x14ac:dyDescent="0.3">
      <c r="A265" s="825"/>
      <c r="B265" s="160" t="s">
        <v>57</v>
      </c>
      <c r="C265" s="139">
        <f>SUM(C257:C264)</f>
        <v>1000</v>
      </c>
      <c r="D265" s="139">
        <f>SUM(D257:D264)</f>
        <v>1000</v>
      </c>
      <c r="E265" s="1330">
        <f>SUM(E257:E264)</f>
        <v>1984</v>
      </c>
      <c r="F265" s="174">
        <f>SUM(E265/D265)</f>
        <v>1.984</v>
      </c>
      <c r="G265" s="885"/>
      <c r="H265" s="11"/>
      <c r="I265" s="11"/>
      <c r="J265" s="11"/>
      <c r="K265" s="11"/>
      <c r="L265" s="11"/>
      <c r="M265" s="11"/>
    </row>
    <row r="266" spans="1:13" ht="12.6" thickBot="1" x14ac:dyDescent="0.3">
      <c r="A266" s="209"/>
      <c r="B266" s="18" t="s">
        <v>11</v>
      </c>
      <c r="C266" s="150">
        <f>SUM(C299+C319+C339+C370+C349+C359+C383+C289+C394+C276+C309+C404+C329)</f>
        <v>4341972</v>
      </c>
      <c r="D266" s="150">
        <f>SUM(D299+D319+D339+D370+D349+D359+D383+D289+D394+D276+D309+D404+D329)</f>
        <v>4341972</v>
      </c>
      <c r="E266" s="1306">
        <f>SUM(E299+E319+E339+E370+E349+E359+E383+E289+E394+E276+E309+E404+E329)</f>
        <v>4639463</v>
      </c>
      <c r="F266" s="174">
        <f>SUM(E266/D266)</f>
        <v>1.068515181581088</v>
      </c>
      <c r="G266" s="203"/>
      <c r="H266" s="11"/>
      <c r="I266" s="11"/>
      <c r="J266" s="11"/>
      <c r="K266" s="11"/>
      <c r="L266" s="11"/>
      <c r="M266" s="11"/>
    </row>
    <row r="267" spans="1:13" ht="12" x14ac:dyDescent="0.25">
      <c r="A267" s="740">
        <v>3200</v>
      </c>
      <c r="B267" s="161" t="s">
        <v>156</v>
      </c>
      <c r="C267" s="54"/>
      <c r="D267" s="54"/>
      <c r="E267" s="1303"/>
      <c r="F267" s="125"/>
      <c r="G267" s="878"/>
      <c r="H267" s="11"/>
      <c r="I267" s="11"/>
      <c r="J267" s="11"/>
      <c r="K267" s="11"/>
      <c r="L267" s="11"/>
      <c r="M267" s="11"/>
    </row>
    <row r="268" spans="1:13" ht="12" x14ac:dyDescent="0.25">
      <c r="A268" s="799"/>
      <c r="B268" s="21" t="s">
        <v>45</v>
      </c>
      <c r="C268" s="51">
        <f>326495-6928</f>
        <v>319567</v>
      </c>
      <c r="D268" s="51">
        <f>326495-6928</f>
        <v>319567</v>
      </c>
      <c r="E268" s="1304">
        <f>326495-6928+3742</f>
        <v>323309</v>
      </c>
      <c r="F268" s="149">
        <f>SUM(E268/D268)</f>
        <v>1.0117095945451189</v>
      </c>
      <c r="G268" s="746"/>
      <c r="H268" s="11"/>
      <c r="I268" s="11"/>
      <c r="J268" s="11"/>
      <c r="K268" s="11"/>
      <c r="L268" s="11"/>
      <c r="M268" s="11"/>
    </row>
    <row r="269" spans="1:13" ht="12" x14ac:dyDescent="0.25">
      <c r="A269" s="799"/>
      <c r="B269" s="3" t="s">
        <v>125</v>
      </c>
      <c r="C269" s="51">
        <f>42484-901</f>
        <v>41583</v>
      </c>
      <c r="D269" s="51">
        <f>42484-901</f>
        <v>41583</v>
      </c>
      <c r="E269" s="1304">
        <f>42484-901+507</f>
        <v>42090</v>
      </c>
      <c r="F269" s="149">
        <f>SUM(E269/D269)</f>
        <v>1.0121924825048698</v>
      </c>
      <c r="G269" s="876"/>
      <c r="H269" s="11"/>
      <c r="I269" s="11"/>
      <c r="J269" s="11"/>
      <c r="K269" s="11"/>
      <c r="L269" s="11"/>
      <c r="M269" s="11"/>
    </row>
    <row r="270" spans="1:13" ht="12" x14ac:dyDescent="0.25">
      <c r="A270" s="762"/>
      <c r="B270" s="56" t="s">
        <v>117</v>
      </c>
      <c r="C270" s="51">
        <v>255</v>
      </c>
      <c r="D270" s="51">
        <v>255</v>
      </c>
      <c r="E270" s="1304">
        <v>255</v>
      </c>
      <c r="F270" s="149">
        <f>SUM(E270/D270)</f>
        <v>1</v>
      </c>
      <c r="G270" s="876"/>
      <c r="H270" s="11"/>
      <c r="I270" s="11"/>
      <c r="J270" s="11"/>
      <c r="K270" s="11"/>
      <c r="L270" s="11"/>
      <c r="M270" s="11"/>
    </row>
    <row r="271" spans="1:13" ht="12" x14ac:dyDescent="0.25">
      <c r="A271" s="762"/>
      <c r="B271" s="135" t="s">
        <v>49</v>
      </c>
      <c r="C271" s="51"/>
      <c r="D271" s="51"/>
      <c r="E271" s="1304"/>
      <c r="F271" s="149"/>
      <c r="G271" s="876"/>
      <c r="H271" s="11"/>
      <c r="I271" s="11"/>
      <c r="J271" s="11"/>
      <c r="K271" s="11"/>
      <c r="L271" s="11"/>
      <c r="M271" s="11"/>
    </row>
    <row r="272" spans="1:13" ht="12" x14ac:dyDescent="0.25">
      <c r="A272" s="762"/>
      <c r="B272" s="135" t="s">
        <v>122</v>
      </c>
      <c r="C272" s="51"/>
      <c r="D272" s="51"/>
      <c r="E272" s="1304"/>
      <c r="F272" s="149"/>
      <c r="G272" s="876"/>
      <c r="H272" s="11"/>
      <c r="I272" s="11"/>
      <c r="J272" s="11"/>
      <c r="K272" s="11"/>
      <c r="L272" s="11"/>
      <c r="M272" s="11"/>
    </row>
    <row r="273" spans="1:13" ht="12" x14ac:dyDescent="0.25">
      <c r="A273" s="762"/>
      <c r="B273" s="4" t="s">
        <v>97</v>
      </c>
      <c r="C273" s="51"/>
      <c r="D273" s="51"/>
      <c r="E273" s="1304"/>
      <c r="F273" s="149"/>
      <c r="G273" s="876"/>
      <c r="H273" s="11"/>
      <c r="I273" s="11"/>
      <c r="J273" s="11"/>
      <c r="K273" s="11"/>
      <c r="L273" s="11"/>
      <c r="M273" s="11"/>
    </row>
    <row r="274" spans="1:13" ht="12" x14ac:dyDescent="0.25">
      <c r="A274" s="799"/>
      <c r="B274" s="135" t="s">
        <v>185</v>
      </c>
      <c r="C274" s="51"/>
      <c r="D274" s="51"/>
      <c r="E274" s="1304"/>
      <c r="F274" s="149"/>
      <c r="G274" s="892"/>
      <c r="H274" s="11"/>
      <c r="I274" s="11"/>
      <c r="J274" s="11"/>
      <c r="K274" s="11"/>
      <c r="L274" s="11"/>
      <c r="M274" s="11"/>
    </row>
    <row r="275" spans="1:13" ht="12.6" thickBot="1" x14ac:dyDescent="0.3">
      <c r="A275" s="762"/>
      <c r="B275" s="136" t="s">
        <v>112</v>
      </c>
      <c r="C275" s="154"/>
      <c r="D275" s="154"/>
      <c r="E275" s="1344"/>
      <c r="F275" s="189"/>
      <c r="G275" s="780"/>
      <c r="H275" s="11"/>
      <c r="I275" s="11"/>
      <c r="J275" s="11"/>
      <c r="K275" s="11"/>
      <c r="L275" s="11"/>
      <c r="M275" s="11"/>
    </row>
    <row r="276" spans="1:13" ht="12.6" thickBot="1" x14ac:dyDescent="0.3">
      <c r="A276" s="755"/>
      <c r="B276" s="137" t="s">
        <v>57</v>
      </c>
      <c r="C276" s="150">
        <f>SUM(C268:C275)</f>
        <v>361405</v>
      </c>
      <c r="D276" s="150">
        <f>SUM(D268:D275)</f>
        <v>361405</v>
      </c>
      <c r="E276" s="1306">
        <f>SUM(E268:E275)</f>
        <v>365654</v>
      </c>
      <c r="F276" s="174">
        <f>SUM(E276/D276)</f>
        <v>1.0117568932361201</v>
      </c>
      <c r="G276" s="203"/>
      <c r="H276" s="11"/>
      <c r="I276" s="11"/>
      <c r="J276" s="11"/>
      <c r="K276" s="11"/>
      <c r="L276" s="11"/>
      <c r="M276" s="11"/>
    </row>
    <row r="277" spans="1:13" ht="12" x14ac:dyDescent="0.25">
      <c r="A277" s="755"/>
      <c r="B277" s="162" t="s">
        <v>230</v>
      </c>
      <c r="C277" s="163"/>
      <c r="D277" s="163"/>
      <c r="E277" s="1346"/>
      <c r="F277" s="192"/>
      <c r="G277" s="878"/>
      <c r="H277" s="11"/>
      <c r="I277" s="11"/>
      <c r="J277" s="11"/>
      <c r="K277" s="11"/>
      <c r="L277" s="11"/>
      <c r="M277" s="11"/>
    </row>
    <row r="278" spans="1:13" ht="12" x14ac:dyDescent="0.25">
      <c r="A278" s="740"/>
      <c r="B278" s="164" t="s">
        <v>231</v>
      </c>
      <c r="C278" s="163"/>
      <c r="D278" s="163"/>
      <c r="E278" s="1346"/>
      <c r="F278" s="192"/>
      <c r="G278" s="744"/>
      <c r="H278" s="11"/>
      <c r="I278" s="11"/>
      <c r="J278" s="11"/>
      <c r="K278" s="11"/>
      <c r="L278" s="11"/>
      <c r="M278" s="11"/>
    </row>
    <row r="279" spans="1:13" ht="12.6" thickBot="1" x14ac:dyDescent="0.3">
      <c r="A279" s="868"/>
      <c r="B279" s="165" t="s">
        <v>232</v>
      </c>
      <c r="C279" s="166"/>
      <c r="D279" s="166"/>
      <c r="E279" s="1347"/>
      <c r="F279" s="193"/>
      <c r="G279" s="893"/>
      <c r="H279" s="11"/>
      <c r="I279" s="11"/>
      <c r="J279" s="11"/>
      <c r="K279" s="11"/>
      <c r="L279" s="11"/>
      <c r="M279" s="11"/>
    </row>
    <row r="280" spans="1:13" ht="12" x14ac:dyDescent="0.25">
      <c r="A280" s="740">
        <v>3201</v>
      </c>
      <c r="B280" s="145" t="s">
        <v>132</v>
      </c>
      <c r="C280" s="54"/>
      <c r="D280" s="54"/>
      <c r="E280" s="1303"/>
      <c r="F280" s="125"/>
      <c r="G280" s="878"/>
      <c r="H280" s="11"/>
      <c r="I280" s="11"/>
      <c r="J280" s="11"/>
      <c r="K280" s="11"/>
      <c r="L280" s="11"/>
      <c r="M280" s="11"/>
    </row>
    <row r="281" spans="1:13" ht="12" x14ac:dyDescent="0.25">
      <c r="A281" s="740"/>
      <c r="B281" s="21" t="s">
        <v>45</v>
      </c>
      <c r="C281" s="152">
        <v>16500</v>
      </c>
      <c r="D281" s="152">
        <v>16500</v>
      </c>
      <c r="E281" s="1342">
        <f>16500+310</f>
        <v>16810</v>
      </c>
      <c r="F281" s="149">
        <f>SUM(E281/D281)</f>
        <v>1.0187878787878788</v>
      </c>
      <c r="G281" s="876"/>
      <c r="H281" s="11"/>
      <c r="I281" s="11"/>
      <c r="J281" s="11"/>
      <c r="K281" s="11"/>
      <c r="L281" s="11"/>
      <c r="M281" s="11"/>
    </row>
    <row r="282" spans="1:13" ht="12" x14ac:dyDescent="0.25">
      <c r="A282" s="740"/>
      <c r="B282" s="3" t="s">
        <v>125</v>
      </c>
      <c r="C282" s="152">
        <v>2145</v>
      </c>
      <c r="D282" s="152">
        <v>2145</v>
      </c>
      <c r="E282" s="1342">
        <f>2145+132</f>
        <v>2277</v>
      </c>
      <c r="F282" s="149">
        <f>SUM(E282/D282)</f>
        <v>1.0615384615384615</v>
      </c>
      <c r="G282" s="876"/>
      <c r="H282" s="11"/>
      <c r="I282" s="11"/>
      <c r="J282" s="11"/>
      <c r="K282" s="11"/>
      <c r="L282" s="11"/>
      <c r="M282" s="11"/>
    </row>
    <row r="283" spans="1:13" ht="12" x14ac:dyDescent="0.25">
      <c r="A283" s="740"/>
      <c r="B283" s="56" t="s">
        <v>117</v>
      </c>
      <c r="C283" s="152">
        <v>111355</v>
      </c>
      <c r="D283" s="152">
        <v>111355</v>
      </c>
      <c r="E283" s="1342">
        <f>111355</f>
        <v>111355</v>
      </c>
      <c r="F283" s="149">
        <f>SUM(E283/D283)</f>
        <v>1</v>
      </c>
      <c r="G283" s="876"/>
      <c r="H283" s="11"/>
      <c r="I283" s="11"/>
      <c r="J283" s="11"/>
      <c r="K283" s="11"/>
      <c r="L283" s="11"/>
      <c r="M283" s="11"/>
    </row>
    <row r="284" spans="1:13" ht="12" x14ac:dyDescent="0.25">
      <c r="A284" s="740"/>
      <c r="B284" s="135" t="s">
        <v>49</v>
      </c>
      <c r="C284" s="152"/>
      <c r="D284" s="152"/>
      <c r="E284" s="1342"/>
      <c r="F284" s="149"/>
      <c r="G284" s="876"/>
      <c r="H284" s="11"/>
      <c r="I284" s="11"/>
      <c r="J284" s="11"/>
      <c r="K284" s="11"/>
      <c r="L284" s="11"/>
      <c r="M284" s="11"/>
    </row>
    <row r="285" spans="1:13" ht="12" x14ac:dyDescent="0.25">
      <c r="A285" s="740"/>
      <c r="B285" s="135" t="s">
        <v>122</v>
      </c>
      <c r="C285" s="152"/>
      <c r="D285" s="152"/>
      <c r="E285" s="1342"/>
      <c r="F285" s="149"/>
      <c r="G285" s="876"/>
      <c r="H285" s="11"/>
      <c r="I285" s="11"/>
      <c r="J285" s="11"/>
      <c r="K285" s="11"/>
      <c r="L285" s="11"/>
      <c r="M285" s="11"/>
    </row>
    <row r="286" spans="1:13" ht="12" x14ac:dyDescent="0.25">
      <c r="A286" s="740"/>
      <c r="B286" s="4" t="s">
        <v>97</v>
      </c>
      <c r="C286" s="152">
        <v>20000</v>
      </c>
      <c r="D286" s="152">
        <v>20000</v>
      </c>
      <c r="E286" s="1342">
        <f>20000+10000</f>
        <v>30000</v>
      </c>
      <c r="F286" s="149"/>
      <c r="G286" s="876"/>
      <c r="H286" s="11"/>
      <c r="I286" s="11"/>
      <c r="J286" s="11"/>
      <c r="K286" s="11"/>
      <c r="L286" s="11"/>
      <c r="M286" s="11"/>
    </row>
    <row r="287" spans="1:13" ht="12" x14ac:dyDescent="0.25">
      <c r="A287" s="740"/>
      <c r="B287" s="135" t="s">
        <v>185</v>
      </c>
      <c r="C287" s="152"/>
      <c r="D287" s="152"/>
      <c r="E287" s="1342"/>
      <c r="F287" s="149"/>
      <c r="G287" s="876"/>
      <c r="H287" s="11"/>
      <c r="I287" s="11"/>
      <c r="J287" s="11"/>
      <c r="K287" s="11"/>
      <c r="L287" s="11"/>
      <c r="M287" s="11"/>
    </row>
    <row r="288" spans="1:13" ht="12.6" thickBot="1" x14ac:dyDescent="0.3">
      <c r="A288" s="740"/>
      <c r="B288" s="136" t="s">
        <v>112</v>
      </c>
      <c r="C288" s="111"/>
      <c r="D288" s="111"/>
      <c r="E288" s="1348"/>
      <c r="F288" s="189"/>
      <c r="G288" s="744"/>
      <c r="H288" s="11"/>
      <c r="I288" s="11"/>
      <c r="J288" s="11"/>
      <c r="K288" s="11"/>
      <c r="L288" s="11"/>
      <c r="M288" s="11"/>
    </row>
    <row r="289" spans="1:13" ht="12.6" thickBot="1" x14ac:dyDescent="0.3">
      <c r="A289" s="868"/>
      <c r="B289" s="137" t="s">
        <v>57</v>
      </c>
      <c r="C289" s="150">
        <f>SUM(C281:C288)</f>
        <v>150000</v>
      </c>
      <c r="D289" s="150">
        <f>SUM(D281:D288)</f>
        <v>150000</v>
      </c>
      <c r="E289" s="1306">
        <f>SUM(E281:E288)</f>
        <v>160442</v>
      </c>
      <c r="F289" s="174">
        <f>SUM(E289/D289)</f>
        <v>1.0696133333333333</v>
      </c>
      <c r="G289" s="203"/>
      <c r="H289" s="11"/>
      <c r="I289" s="11"/>
      <c r="J289" s="11"/>
      <c r="K289" s="11"/>
      <c r="L289" s="11"/>
      <c r="M289" s="11"/>
    </row>
    <row r="290" spans="1:13" ht="12" x14ac:dyDescent="0.25">
      <c r="A290" s="755">
        <v>3202</v>
      </c>
      <c r="B290" s="156" t="s">
        <v>215</v>
      </c>
      <c r="C290" s="54"/>
      <c r="D290" s="54"/>
      <c r="E290" s="1303"/>
      <c r="F290" s="125"/>
      <c r="G290" s="885"/>
      <c r="H290" s="11"/>
      <c r="I290" s="11"/>
      <c r="J290" s="11"/>
      <c r="K290" s="11"/>
      <c r="L290" s="11"/>
      <c r="M290" s="11"/>
    </row>
    <row r="291" spans="1:13" ht="12" x14ac:dyDescent="0.25">
      <c r="A291" s="755"/>
      <c r="B291" s="21" t="s">
        <v>45</v>
      </c>
      <c r="C291" s="152">
        <v>1394</v>
      </c>
      <c r="D291" s="152">
        <v>1394</v>
      </c>
      <c r="E291" s="1342">
        <f>1394+276</f>
        <v>1670</v>
      </c>
      <c r="F291" s="149">
        <f>SUM(E291/D291)</f>
        <v>1.1979913916786227</v>
      </c>
      <c r="G291" s="744"/>
      <c r="H291" s="11"/>
      <c r="I291" s="11"/>
      <c r="J291" s="11"/>
      <c r="K291" s="11"/>
      <c r="L291" s="11"/>
      <c r="M291" s="11"/>
    </row>
    <row r="292" spans="1:13" ht="12" x14ac:dyDescent="0.25">
      <c r="A292" s="755"/>
      <c r="B292" s="3" t="s">
        <v>125</v>
      </c>
      <c r="C292" s="152">
        <v>283</v>
      </c>
      <c r="D292" s="152">
        <v>283</v>
      </c>
      <c r="E292" s="1342">
        <f>283+50</f>
        <v>333</v>
      </c>
      <c r="F292" s="149">
        <f>SUM(E292/D292)</f>
        <v>1.1766784452296819</v>
      </c>
      <c r="G292" s="877"/>
      <c r="H292" s="11"/>
      <c r="I292" s="11"/>
      <c r="J292" s="11"/>
      <c r="K292" s="11"/>
      <c r="L292" s="11"/>
      <c r="M292" s="11"/>
    </row>
    <row r="293" spans="1:13" ht="12" x14ac:dyDescent="0.25">
      <c r="A293" s="755"/>
      <c r="B293" s="56" t="s">
        <v>117</v>
      </c>
      <c r="C293" s="152">
        <v>5823</v>
      </c>
      <c r="D293" s="152">
        <v>5823</v>
      </c>
      <c r="E293" s="1342">
        <f>5823+254</f>
        <v>6077</v>
      </c>
      <c r="F293" s="149">
        <f>SUM(E293/D293)</f>
        <v>1.04362012708226</v>
      </c>
      <c r="G293" s="843" t="s">
        <v>1049</v>
      </c>
      <c r="H293" s="11"/>
      <c r="I293" s="11"/>
      <c r="J293" s="11"/>
      <c r="K293" s="11"/>
      <c r="L293" s="11"/>
      <c r="M293" s="11"/>
    </row>
    <row r="294" spans="1:13" ht="12" x14ac:dyDescent="0.25">
      <c r="A294" s="755"/>
      <c r="B294" s="135" t="s">
        <v>49</v>
      </c>
      <c r="C294" s="152"/>
      <c r="D294" s="152"/>
      <c r="E294" s="1342"/>
      <c r="F294" s="149"/>
      <c r="G294" s="843"/>
      <c r="H294" s="11"/>
      <c r="I294" s="11"/>
      <c r="J294" s="11"/>
      <c r="K294" s="11"/>
      <c r="L294" s="11"/>
      <c r="M294" s="11"/>
    </row>
    <row r="295" spans="1:13" ht="12" x14ac:dyDescent="0.25">
      <c r="A295" s="755"/>
      <c r="B295" s="135" t="s">
        <v>122</v>
      </c>
      <c r="C295" s="152">
        <v>1500</v>
      </c>
      <c r="D295" s="152">
        <v>1500</v>
      </c>
      <c r="E295" s="1342">
        <v>1500</v>
      </c>
      <c r="F295" s="149">
        <f>SUM(E295/D295)</f>
        <v>1</v>
      </c>
      <c r="G295" s="843" t="s">
        <v>1061</v>
      </c>
      <c r="H295" s="11"/>
      <c r="I295" s="11"/>
      <c r="J295" s="11"/>
      <c r="K295" s="11"/>
      <c r="L295" s="11"/>
      <c r="M295" s="11"/>
    </row>
    <row r="296" spans="1:13" ht="12" x14ac:dyDescent="0.25">
      <c r="A296" s="755"/>
      <c r="B296" s="3" t="s">
        <v>97</v>
      </c>
      <c r="C296" s="550"/>
      <c r="D296" s="550"/>
      <c r="E296" s="1309"/>
      <c r="F296" s="188"/>
      <c r="G296" s="894"/>
      <c r="H296" s="11"/>
      <c r="I296" s="11"/>
      <c r="J296" s="11"/>
      <c r="K296" s="11"/>
      <c r="L296" s="11"/>
      <c r="M296" s="11"/>
    </row>
    <row r="297" spans="1:13" ht="12" x14ac:dyDescent="0.25">
      <c r="A297" s="755"/>
      <c r="B297" s="133" t="s">
        <v>185</v>
      </c>
      <c r="C297" s="550"/>
      <c r="D297" s="550"/>
      <c r="E297" s="1309"/>
      <c r="F297" s="188"/>
      <c r="G297" s="894"/>
      <c r="H297" s="11"/>
      <c r="I297" s="11"/>
      <c r="J297" s="11"/>
      <c r="K297" s="11"/>
      <c r="L297" s="11"/>
      <c r="M297" s="11"/>
    </row>
    <row r="298" spans="1:13" ht="12.6" thickBot="1" x14ac:dyDescent="0.3">
      <c r="A298" s="755"/>
      <c r="B298" s="159" t="s">
        <v>112</v>
      </c>
      <c r="C298" s="551"/>
      <c r="D298" s="551"/>
      <c r="E298" s="1349"/>
      <c r="F298" s="548"/>
      <c r="G298" s="893"/>
      <c r="H298" s="11"/>
      <c r="I298" s="11"/>
      <c r="J298" s="11"/>
      <c r="K298" s="11"/>
      <c r="L298" s="11"/>
      <c r="M298" s="11"/>
    </row>
    <row r="299" spans="1:13" ht="12.6" thickBot="1" x14ac:dyDescent="0.3">
      <c r="A299" s="800"/>
      <c r="B299" s="202" t="s">
        <v>57</v>
      </c>
      <c r="C299" s="150">
        <f t="shared" ref="C299" si="40">SUM(C291:C298)</f>
        <v>9000</v>
      </c>
      <c r="D299" s="150">
        <f t="shared" ref="D299:E299" si="41">SUM(D291:D298)</f>
        <v>9000</v>
      </c>
      <c r="E299" s="1306">
        <f t="shared" si="41"/>
        <v>9580</v>
      </c>
      <c r="F299" s="174">
        <f>SUM(E299/D299)</f>
        <v>1.0644444444444445</v>
      </c>
      <c r="G299" s="203"/>
      <c r="H299" s="11"/>
      <c r="I299" s="11"/>
      <c r="J299" s="11"/>
      <c r="K299" s="11"/>
      <c r="L299" s="11"/>
      <c r="M299" s="11"/>
    </row>
    <row r="300" spans="1:13" ht="12" customHeight="1" x14ac:dyDescent="0.25">
      <c r="A300" s="755">
        <v>3204</v>
      </c>
      <c r="B300" s="148" t="s">
        <v>148</v>
      </c>
      <c r="C300" s="54"/>
      <c r="D300" s="54"/>
      <c r="E300" s="1303"/>
      <c r="F300" s="125"/>
      <c r="G300" s="869"/>
      <c r="H300" s="11"/>
      <c r="I300" s="11"/>
      <c r="J300" s="11"/>
      <c r="K300" s="11"/>
      <c r="L300" s="11"/>
      <c r="M300" s="11"/>
    </row>
    <row r="301" spans="1:13" ht="12" customHeight="1" x14ac:dyDescent="0.25">
      <c r="A301" s="799"/>
      <c r="B301" s="21" t="s">
        <v>45</v>
      </c>
      <c r="C301" s="51"/>
      <c r="D301" s="51"/>
      <c r="E301" s="1304"/>
      <c r="F301" s="125"/>
      <c r="G301" s="744"/>
      <c r="H301" s="11"/>
      <c r="I301" s="11"/>
      <c r="J301" s="11"/>
      <c r="K301" s="11"/>
      <c r="L301" s="11"/>
      <c r="M301" s="11"/>
    </row>
    <row r="302" spans="1:13" ht="12" customHeight="1" x14ac:dyDescent="0.25">
      <c r="A302" s="799"/>
      <c r="B302" s="3" t="s">
        <v>125</v>
      </c>
      <c r="C302" s="51"/>
      <c r="D302" s="51"/>
      <c r="E302" s="1304"/>
      <c r="F302" s="188"/>
      <c r="G302" s="843"/>
      <c r="H302" s="11"/>
      <c r="I302" s="11"/>
      <c r="J302" s="11"/>
      <c r="K302" s="11"/>
      <c r="L302" s="11"/>
      <c r="M302" s="11"/>
    </row>
    <row r="303" spans="1:13" ht="12" customHeight="1" x14ac:dyDescent="0.25">
      <c r="A303" s="799"/>
      <c r="B303" s="56" t="s">
        <v>117</v>
      </c>
      <c r="C303" s="51">
        <v>35000</v>
      </c>
      <c r="D303" s="51">
        <v>35000</v>
      </c>
      <c r="E303" s="1304">
        <f>35000+8391</f>
        <v>43391</v>
      </c>
      <c r="F303" s="149">
        <f>SUM(E303/D303)</f>
        <v>1.239742857142857</v>
      </c>
      <c r="G303" s="843" t="s">
        <v>1062</v>
      </c>
      <c r="H303" s="11"/>
      <c r="I303" s="11"/>
      <c r="J303" s="11"/>
      <c r="K303" s="11"/>
      <c r="L303" s="11"/>
      <c r="M303" s="11"/>
    </row>
    <row r="304" spans="1:13" ht="12" customHeight="1" x14ac:dyDescent="0.25">
      <c r="A304" s="799"/>
      <c r="B304" s="135" t="s">
        <v>49</v>
      </c>
      <c r="C304" s="51"/>
      <c r="D304" s="51"/>
      <c r="E304" s="1304"/>
      <c r="F304" s="149"/>
      <c r="G304" s="842" t="s">
        <v>1054</v>
      </c>
      <c r="H304" s="11"/>
      <c r="I304" s="11"/>
      <c r="J304" s="11"/>
      <c r="K304" s="11"/>
      <c r="L304" s="11"/>
      <c r="M304" s="11"/>
    </row>
    <row r="305" spans="1:13" ht="12" customHeight="1" x14ac:dyDescent="0.25">
      <c r="A305" s="799"/>
      <c r="B305" s="135" t="s">
        <v>122</v>
      </c>
      <c r="C305" s="51"/>
      <c r="D305" s="51"/>
      <c r="E305" s="1304"/>
      <c r="F305" s="149"/>
      <c r="G305" s="895"/>
      <c r="H305" s="11"/>
      <c r="I305" s="11"/>
      <c r="J305" s="11"/>
      <c r="K305" s="11"/>
      <c r="L305" s="11"/>
      <c r="M305" s="11"/>
    </row>
    <row r="306" spans="1:13" ht="12" customHeight="1" x14ac:dyDescent="0.25">
      <c r="A306" s="799"/>
      <c r="B306" s="3" t="s">
        <v>97</v>
      </c>
      <c r="C306" s="51"/>
      <c r="D306" s="51"/>
      <c r="E306" s="1304">
        <v>1930</v>
      </c>
      <c r="F306" s="149"/>
      <c r="G306" s="895"/>
      <c r="H306" s="11"/>
      <c r="I306" s="11"/>
      <c r="J306" s="11"/>
      <c r="K306" s="11"/>
      <c r="L306" s="11"/>
      <c r="M306" s="11"/>
    </row>
    <row r="307" spans="1:13" ht="12" customHeight="1" x14ac:dyDescent="0.25">
      <c r="A307" s="799"/>
      <c r="B307" s="133" t="s">
        <v>185</v>
      </c>
      <c r="C307" s="51"/>
      <c r="D307" s="51"/>
      <c r="E307" s="1304"/>
      <c r="F307" s="149"/>
      <c r="G307" s="876"/>
      <c r="H307" s="11"/>
      <c r="I307" s="11"/>
      <c r="J307" s="11"/>
      <c r="K307" s="11"/>
      <c r="L307" s="11"/>
      <c r="M307" s="11"/>
    </row>
    <row r="308" spans="1:13" ht="12" customHeight="1" thickBot="1" x14ac:dyDescent="0.3">
      <c r="A308" s="799"/>
      <c r="B308" s="159" t="s">
        <v>112</v>
      </c>
      <c r="C308" s="154"/>
      <c r="D308" s="154"/>
      <c r="E308" s="1344"/>
      <c r="F308" s="189"/>
      <c r="G308" s="896"/>
      <c r="H308" s="11"/>
      <c r="I308" s="11"/>
      <c r="J308" s="11"/>
      <c r="K308" s="11"/>
      <c r="L308" s="11"/>
      <c r="M308" s="11"/>
    </row>
    <row r="309" spans="1:13" ht="12" customHeight="1" thickBot="1" x14ac:dyDescent="0.3">
      <c r="A309" s="868"/>
      <c r="B309" s="137" t="s">
        <v>57</v>
      </c>
      <c r="C309" s="150">
        <f t="shared" ref="C309" si="42">SUM(C301:C308)</f>
        <v>35000</v>
      </c>
      <c r="D309" s="150">
        <f t="shared" ref="D309:E309" si="43">SUM(D301:D308)</f>
        <v>35000</v>
      </c>
      <c r="E309" s="1306">
        <f t="shared" si="43"/>
        <v>45321</v>
      </c>
      <c r="F309" s="174">
        <f>SUM(E309/D309)</f>
        <v>1.2948857142857142</v>
      </c>
      <c r="G309" s="203"/>
      <c r="H309" s="11"/>
      <c r="I309" s="11"/>
      <c r="J309" s="11"/>
      <c r="K309" s="11"/>
      <c r="L309" s="11"/>
      <c r="M309" s="11"/>
    </row>
    <row r="310" spans="1:13" ht="12" customHeight="1" x14ac:dyDescent="0.25">
      <c r="A310" s="755">
        <v>3205</v>
      </c>
      <c r="B310" s="148" t="s">
        <v>133</v>
      </c>
      <c r="C310" s="54"/>
      <c r="D310" s="54"/>
      <c r="E310" s="1303"/>
      <c r="F310" s="125"/>
      <c r="G310" s="869"/>
      <c r="H310" s="11"/>
      <c r="I310" s="11"/>
      <c r="J310" s="11"/>
      <c r="K310" s="11"/>
      <c r="L310" s="11"/>
      <c r="M310" s="11"/>
    </row>
    <row r="311" spans="1:13" ht="12" customHeight="1" x14ac:dyDescent="0.25">
      <c r="A311" s="799"/>
      <c r="B311" s="21" t="s">
        <v>45</v>
      </c>
      <c r="C311" s="51">
        <v>7000</v>
      </c>
      <c r="D311" s="51">
        <v>7000</v>
      </c>
      <c r="E311" s="1304">
        <f>7000+1220</f>
        <v>8220</v>
      </c>
      <c r="F311" s="149">
        <f>SUM(E311/D311)</f>
        <v>1.1742857142857144</v>
      </c>
      <c r="G311" s="843"/>
      <c r="H311" s="11"/>
      <c r="I311" s="11"/>
      <c r="J311" s="11"/>
      <c r="K311" s="11"/>
      <c r="L311" s="11"/>
      <c r="M311" s="11"/>
    </row>
    <row r="312" spans="1:13" ht="12" customHeight="1" x14ac:dyDescent="0.25">
      <c r="A312" s="799"/>
      <c r="B312" s="3" t="s">
        <v>125</v>
      </c>
      <c r="C312" s="51">
        <v>1300</v>
      </c>
      <c r="D312" s="51">
        <v>1300</v>
      </c>
      <c r="E312" s="1304">
        <f>1300+234</f>
        <v>1534</v>
      </c>
      <c r="F312" s="149">
        <f>SUM(E312/D312)</f>
        <v>1.18</v>
      </c>
      <c r="G312" s="861"/>
      <c r="H312" s="11"/>
      <c r="I312" s="11"/>
      <c r="J312" s="11"/>
      <c r="K312" s="11"/>
      <c r="L312" s="11"/>
      <c r="M312" s="11"/>
    </row>
    <row r="313" spans="1:13" ht="12" customHeight="1" x14ac:dyDescent="0.25">
      <c r="A313" s="762"/>
      <c r="B313" s="56" t="s">
        <v>117</v>
      </c>
      <c r="C313" s="51">
        <v>37700</v>
      </c>
      <c r="D313" s="51">
        <v>37700</v>
      </c>
      <c r="E313" s="1304">
        <f>37700</f>
        <v>37700</v>
      </c>
      <c r="F313" s="149">
        <f>SUM(E313/D313)</f>
        <v>1</v>
      </c>
      <c r="G313" s="843" t="s">
        <v>1062</v>
      </c>
      <c r="H313" s="11"/>
      <c r="I313" s="11"/>
      <c r="J313" s="11"/>
      <c r="K313" s="11"/>
      <c r="L313" s="11"/>
      <c r="M313" s="11"/>
    </row>
    <row r="314" spans="1:13" ht="12" customHeight="1" x14ac:dyDescent="0.25">
      <c r="A314" s="762"/>
      <c r="B314" s="135" t="s">
        <v>49</v>
      </c>
      <c r="C314" s="51"/>
      <c r="D314" s="51"/>
      <c r="E314" s="1304"/>
      <c r="F314" s="149"/>
      <c r="G314" s="862"/>
      <c r="H314" s="11"/>
      <c r="I314" s="11"/>
      <c r="J314" s="11"/>
      <c r="K314" s="11"/>
      <c r="L314" s="11"/>
      <c r="M314" s="11"/>
    </row>
    <row r="315" spans="1:13" ht="12" customHeight="1" x14ac:dyDescent="0.25">
      <c r="A315" s="762"/>
      <c r="B315" s="135" t="s">
        <v>122</v>
      </c>
      <c r="C315" s="51">
        <v>27000</v>
      </c>
      <c r="D315" s="51">
        <v>27000</v>
      </c>
      <c r="E315" s="1304">
        <v>27000</v>
      </c>
      <c r="F315" s="149">
        <f>SUM(E315/D315)</f>
        <v>1</v>
      </c>
      <c r="G315" s="866"/>
      <c r="H315" s="11"/>
      <c r="I315" s="11"/>
      <c r="J315" s="11"/>
      <c r="K315" s="11"/>
      <c r="L315" s="11"/>
      <c r="M315" s="11"/>
    </row>
    <row r="316" spans="1:13" ht="12" customHeight="1" x14ac:dyDescent="0.25">
      <c r="A316" s="762"/>
      <c r="B316" s="3" t="s">
        <v>97</v>
      </c>
      <c r="C316" s="51"/>
      <c r="D316" s="51"/>
      <c r="E316" s="1304"/>
      <c r="F316" s="149"/>
      <c r="G316" s="866"/>
      <c r="H316" s="11"/>
      <c r="I316" s="11"/>
      <c r="J316" s="11"/>
      <c r="K316" s="11"/>
      <c r="L316" s="11"/>
      <c r="M316" s="11"/>
    </row>
    <row r="317" spans="1:13" ht="12" customHeight="1" x14ac:dyDescent="0.25">
      <c r="A317" s="762"/>
      <c r="B317" s="133" t="s">
        <v>185</v>
      </c>
      <c r="C317" s="51"/>
      <c r="D317" s="51"/>
      <c r="E317" s="1304"/>
      <c r="F317" s="149"/>
      <c r="G317" s="866"/>
      <c r="H317" s="11"/>
      <c r="I317" s="11"/>
      <c r="J317" s="11"/>
      <c r="K317" s="11"/>
      <c r="L317" s="11"/>
      <c r="M317" s="11"/>
    </row>
    <row r="318" spans="1:13" ht="12" customHeight="1" thickBot="1" x14ac:dyDescent="0.3">
      <c r="A318" s="762"/>
      <c r="B318" s="159" t="s">
        <v>112</v>
      </c>
      <c r="C318" s="154">
        <v>37000</v>
      </c>
      <c r="D318" s="154">
        <v>37000</v>
      </c>
      <c r="E318" s="1344">
        <f>37000+6122</f>
        <v>43122</v>
      </c>
      <c r="F318" s="149">
        <f>SUM(E318/D318)</f>
        <v>1.1654594594594594</v>
      </c>
      <c r="G318" s="897"/>
      <c r="H318" s="11"/>
      <c r="I318" s="11"/>
      <c r="J318" s="11"/>
      <c r="K318" s="11"/>
      <c r="L318" s="11"/>
      <c r="M318" s="11"/>
    </row>
    <row r="319" spans="1:13" ht="12" customHeight="1" thickBot="1" x14ac:dyDescent="0.3">
      <c r="A319" s="868"/>
      <c r="B319" s="137" t="s">
        <v>57</v>
      </c>
      <c r="C319" s="150">
        <f>SUM(C311:C318)</f>
        <v>110000</v>
      </c>
      <c r="D319" s="150">
        <f>SUM(D311:D318)</f>
        <v>110000</v>
      </c>
      <c r="E319" s="1306">
        <f>SUM(E311:E318)</f>
        <v>117576</v>
      </c>
      <c r="F319" s="174">
        <f>SUM(E319/D319)</f>
        <v>1.0688727272727272</v>
      </c>
      <c r="G319" s="898"/>
      <c r="H319" s="11"/>
      <c r="I319" s="11"/>
      <c r="J319" s="11"/>
      <c r="K319" s="11"/>
      <c r="L319" s="11"/>
      <c r="M319" s="11"/>
    </row>
    <row r="320" spans="1:13" ht="12" customHeight="1" x14ac:dyDescent="0.25">
      <c r="A320" s="755">
        <v>3206</v>
      </c>
      <c r="B320" s="148" t="s">
        <v>220</v>
      </c>
      <c r="C320" s="54"/>
      <c r="D320" s="54"/>
      <c r="E320" s="1303"/>
      <c r="F320" s="125"/>
      <c r="G320" s="869"/>
      <c r="H320" s="11"/>
      <c r="I320" s="11"/>
      <c r="J320" s="11"/>
      <c r="K320" s="11"/>
      <c r="L320" s="11"/>
      <c r="M320" s="11"/>
    </row>
    <row r="321" spans="1:13" ht="12" customHeight="1" x14ac:dyDescent="0.25">
      <c r="A321" s="799"/>
      <c r="B321" s="21" t="s">
        <v>45</v>
      </c>
      <c r="C321" s="51">
        <v>500</v>
      </c>
      <c r="D321" s="51">
        <v>500</v>
      </c>
      <c r="E321" s="1304">
        <f>500+101</f>
        <v>601</v>
      </c>
      <c r="F321" s="125"/>
      <c r="G321" s="744"/>
      <c r="H321" s="11"/>
      <c r="I321" s="11"/>
      <c r="J321" s="11"/>
      <c r="K321" s="11"/>
      <c r="L321" s="11"/>
      <c r="M321" s="11"/>
    </row>
    <row r="322" spans="1:13" ht="12" customHeight="1" x14ac:dyDescent="0.25">
      <c r="A322" s="799"/>
      <c r="B322" s="3" t="s">
        <v>125</v>
      </c>
      <c r="C322" s="51">
        <v>80</v>
      </c>
      <c r="D322" s="51">
        <v>80</v>
      </c>
      <c r="E322" s="1304">
        <f>80+42</f>
        <v>122</v>
      </c>
      <c r="F322" s="125"/>
      <c r="G322" s="861"/>
      <c r="H322" s="11"/>
      <c r="I322" s="11"/>
      <c r="J322" s="11"/>
      <c r="K322" s="11"/>
      <c r="L322" s="11"/>
      <c r="M322" s="11"/>
    </row>
    <row r="323" spans="1:13" ht="12" customHeight="1" x14ac:dyDescent="0.25">
      <c r="A323" s="762"/>
      <c r="B323" s="56" t="s">
        <v>117</v>
      </c>
      <c r="C323" s="51">
        <v>2000</v>
      </c>
      <c r="D323" s="51">
        <v>2000</v>
      </c>
      <c r="E323" s="1304">
        <f>2000+1450</f>
        <v>3450</v>
      </c>
      <c r="F323" s="125"/>
      <c r="G323" s="862"/>
      <c r="H323" s="11"/>
      <c r="I323" s="11"/>
      <c r="J323" s="11"/>
      <c r="K323" s="11"/>
      <c r="L323" s="11"/>
      <c r="M323" s="11"/>
    </row>
    <row r="324" spans="1:13" ht="12" customHeight="1" x14ac:dyDescent="0.25">
      <c r="A324" s="762"/>
      <c r="B324" s="135" t="s">
        <v>49</v>
      </c>
      <c r="C324" s="51"/>
      <c r="D324" s="51"/>
      <c r="E324" s="1304"/>
      <c r="F324" s="125"/>
      <c r="G324" s="862"/>
      <c r="H324" s="11"/>
      <c r="I324" s="11"/>
      <c r="J324" s="11"/>
      <c r="K324" s="11"/>
      <c r="L324" s="11"/>
      <c r="M324" s="11"/>
    </row>
    <row r="325" spans="1:13" ht="12" customHeight="1" x14ac:dyDescent="0.25">
      <c r="A325" s="762"/>
      <c r="B325" s="135" t="s">
        <v>122</v>
      </c>
      <c r="C325" s="51">
        <v>5000</v>
      </c>
      <c r="D325" s="51">
        <v>5000</v>
      </c>
      <c r="E325" s="1304">
        <v>5000</v>
      </c>
      <c r="F325" s="149">
        <f>SUM(E325/D325)</f>
        <v>1</v>
      </c>
      <c r="G325" s="866"/>
      <c r="H325" s="11"/>
      <c r="I325" s="11"/>
      <c r="J325" s="11"/>
      <c r="K325" s="11"/>
      <c r="L325" s="11"/>
      <c r="M325" s="11"/>
    </row>
    <row r="326" spans="1:13" ht="12" customHeight="1" x14ac:dyDescent="0.25">
      <c r="A326" s="762"/>
      <c r="B326" s="3" t="s">
        <v>97</v>
      </c>
      <c r="C326" s="51">
        <v>9000</v>
      </c>
      <c r="D326" s="51">
        <v>9000</v>
      </c>
      <c r="E326" s="1304">
        <f>9000+889</f>
        <v>9889</v>
      </c>
      <c r="F326" s="149">
        <f>SUM(E326/D326)</f>
        <v>1.0987777777777779</v>
      </c>
      <c r="G326" s="866"/>
      <c r="H326" s="11"/>
      <c r="I326" s="11"/>
      <c r="J326" s="11"/>
      <c r="K326" s="11"/>
      <c r="L326" s="11"/>
      <c r="M326" s="11"/>
    </row>
    <row r="327" spans="1:13" ht="12" customHeight="1" x14ac:dyDescent="0.25">
      <c r="A327" s="762"/>
      <c r="B327" s="133" t="s">
        <v>185</v>
      </c>
      <c r="C327" s="51"/>
      <c r="D327" s="51"/>
      <c r="E327" s="1304"/>
      <c r="F327" s="149"/>
      <c r="G327" s="866"/>
      <c r="H327" s="11"/>
      <c r="I327" s="11"/>
      <c r="J327" s="11"/>
      <c r="K327" s="11"/>
      <c r="L327" s="11"/>
      <c r="M327" s="11"/>
    </row>
    <row r="328" spans="1:13" ht="12" customHeight="1" thickBot="1" x14ac:dyDescent="0.3">
      <c r="A328" s="762"/>
      <c r="B328" s="159" t="s">
        <v>112</v>
      </c>
      <c r="C328" s="108">
        <v>3420</v>
      </c>
      <c r="D328" s="108">
        <v>3420</v>
      </c>
      <c r="E328" s="1305">
        <v>3420</v>
      </c>
      <c r="F328" s="149">
        <f>SUM(E328/D328)</f>
        <v>1</v>
      </c>
      <c r="G328" s="897"/>
      <c r="H328" s="11"/>
      <c r="I328" s="11"/>
      <c r="J328" s="11"/>
      <c r="K328" s="11"/>
      <c r="L328" s="11"/>
      <c r="M328" s="11"/>
    </row>
    <row r="329" spans="1:13" ht="12" customHeight="1" thickBot="1" x14ac:dyDescent="0.3">
      <c r="A329" s="868"/>
      <c r="B329" s="137" t="s">
        <v>57</v>
      </c>
      <c r="C329" s="150">
        <f t="shared" ref="C329" si="44">SUM(C321:C328)</f>
        <v>20000</v>
      </c>
      <c r="D329" s="150">
        <f t="shared" ref="D329:E329" si="45">SUM(D321:D328)</f>
        <v>20000</v>
      </c>
      <c r="E329" s="1306">
        <f t="shared" si="45"/>
        <v>22482</v>
      </c>
      <c r="F329" s="174">
        <f>SUM(E329/D329)</f>
        <v>1.1241000000000001</v>
      </c>
      <c r="G329" s="898"/>
      <c r="H329" s="11"/>
      <c r="I329" s="11"/>
      <c r="J329" s="11"/>
      <c r="K329" s="11"/>
      <c r="L329" s="11"/>
      <c r="M329" s="11"/>
    </row>
    <row r="330" spans="1:13" ht="12" customHeight="1" x14ac:dyDescent="0.25">
      <c r="A330" s="740">
        <v>3207</v>
      </c>
      <c r="B330" s="148" t="s">
        <v>119</v>
      </c>
      <c r="C330" s="54"/>
      <c r="D330" s="54"/>
      <c r="E330" s="1303"/>
      <c r="F330" s="125"/>
      <c r="G330" s="861"/>
      <c r="H330" s="11"/>
      <c r="I330" s="11"/>
      <c r="J330" s="11"/>
      <c r="K330" s="11"/>
      <c r="L330" s="11"/>
      <c r="M330" s="11"/>
    </row>
    <row r="331" spans="1:13" ht="12" customHeight="1" x14ac:dyDescent="0.25">
      <c r="A331" s="762"/>
      <c r="B331" s="21" t="s">
        <v>45</v>
      </c>
      <c r="C331" s="51"/>
      <c r="D331" s="51"/>
      <c r="E331" s="1304"/>
      <c r="F331" s="125"/>
      <c r="G331" s="861"/>
      <c r="H331" s="11"/>
      <c r="I331" s="11"/>
      <c r="J331" s="11"/>
      <c r="K331" s="11"/>
      <c r="L331" s="11"/>
      <c r="M331" s="11"/>
    </row>
    <row r="332" spans="1:13" ht="12" customHeight="1" x14ac:dyDescent="0.25">
      <c r="A332" s="762"/>
      <c r="B332" s="3" t="s">
        <v>125</v>
      </c>
      <c r="C332" s="51"/>
      <c r="D332" s="51"/>
      <c r="E332" s="1304"/>
      <c r="F332" s="188"/>
      <c r="G332" s="851"/>
      <c r="H332" s="11"/>
      <c r="I332" s="11"/>
      <c r="J332" s="11"/>
      <c r="K332" s="11"/>
      <c r="L332" s="11"/>
      <c r="M332" s="11"/>
    </row>
    <row r="333" spans="1:13" ht="12" customHeight="1" x14ac:dyDescent="0.25">
      <c r="A333" s="762"/>
      <c r="B333" s="56" t="s">
        <v>117</v>
      </c>
      <c r="C333" s="51">
        <v>43575</v>
      </c>
      <c r="D333" s="51">
        <v>43575</v>
      </c>
      <c r="E333" s="1304">
        <f>43575+123</f>
        <v>43698</v>
      </c>
      <c r="F333" s="149">
        <f>SUM(E333/D333)</f>
        <v>1.0028227194492254</v>
      </c>
      <c r="G333" s="862"/>
      <c r="H333" s="11"/>
      <c r="I333" s="11"/>
      <c r="J333" s="11"/>
      <c r="K333" s="11"/>
      <c r="L333" s="11"/>
      <c r="M333" s="11"/>
    </row>
    <row r="334" spans="1:13" ht="12" customHeight="1" x14ac:dyDescent="0.25">
      <c r="A334" s="762"/>
      <c r="B334" s="135" t="s">
        <v>49</v>
      </c>
      <c r="C334" s="51"/>
      <c r="D334" s="51"/>
      <c r="E334" s="1304"/>
      <c r="F334" s="149"/>
      <c r="G334" s="862"/>
      <c r="H334" s="11"/>
      <c r="I334" s="11"/>
      <c r="J334" s="11"/>
      <c r="K334" s="11"/>
      <c r="L334" s="11"/>
      <c r="M334" s="11"/>
    </row>
    <row r="335" spans="1:13" ht="12" customHeight="1" x14ac:dyDescent="0.25">
      <c r="A335" s="762"/>
      <c r="B335" s="135" t="s">
        <v>122</v>
      </c>
      <c r="C335" s="51"/>
      <c r="D335" s="51"/>
      <c r="E335" s="1304"/>
      <c r="F335" s="149"/>
      <c r="G335" s="862"/>
      <c r="H335" s="11"/>
      <c r="I335" s="11"/>
      <c r="J335" s="11"/>
      <c r="K335" s="11"/>
      <c r="L335" s="11"/>
      <c r="M335" s="11"/>
    </row>
    <row r="336" spans="1:13" ht="12" customHeight="1" x14ac:dyDescent="0.25">
      <c r="A336" s="762"/>
      <c r="B336" s="3" t="s">
        <v>97</v>
      </c>
      <c r="C336" s="51"/>
      <c r="D336" s="51"/>
      <c r="E336" s="1304"/>
      <c r="F336" s="149"/>
      <c r="G336" s="862"/>
      <c r="H336" s="11"/>
      <c r="I336" s="11"/>
      <c r="J336" s="11"/>
      <c r="K336" s="11"/>
      <c r="L336" s="11"/>
      <c r="M336" s="11"/>
    </row>
    <row r="337" spans="1:13" ht="12" customHeight="1" x14ac:dyDescent="0.25">
      <c r="A337" s="762"/>
      <c r="B337" s="133" t="s">
        <v>185</v>
      </c>
      <c r="C337" s="51"/>
      <c r="D337" s="51"/>
      <c r="E337" s="1304"/>
      <c r="F337" s="149"/>
      <c r="G337" s="861"/>
      <c r="H337" s="11"/>
      <c r="I337" s="11"/>
      <c r="J337" s="11"/>
      <c r="K337" s="11"/>
      <c r="L337" s="11"/>
      <c r="M337" s="11"/>
    </row>
    <row r="338" spans="1:13" ht="12" customHeight="1" thickBot="1" x14ac:dyDescent="0.3">
      <c r="A338" s="762"/>
      <c r="B338" s="159" t="s">
        <v>112</v>
      </c>
      <c r="C338" s="154"/>
      <c r="D338" s="154"/>
      <c r="E338" s="1344"/>
      <c r="F338" s="189"/>
      <c r="G338" s="741"/>
      <c r="H338" s="11"/>
      <c r="I338" s="11"/>
      <c r="J338" s="11"/>
      <c r="K338" s="11"/>
      <c r="L338" s="11"/>
      <c r="M338" s="11"/>
    </row>
    <row r="339" spans="1:13" ht="12.6" thickBot="1" x14ac:dyDescent="0.3">
      <c r="A339" s="800"/>
      <c r="B339" s="137" t="s">
        <v>57</v>
      </c>
      <c r="C339" s="150">
        <f t="shared" ref="C339" si="46">SUM(C331:C338)</f>
        <v>43575</v>
      </c>
      <c r="D339" s="150">
        <f t="shared" ref="D339:E339" si="47">SUM(D331:D338)</f>
        <v>43575</v>
      </c>
      <c r="E339" s="1306">
        <f t="shared" si="47"/>
        <v>43698</v>
      </c>
      <c r="F339" s="174">
        <f>SUM(E339/D339)</f>
        <v>1.0028227194492254</v>
      </c>
      <c r="G339" s="203"/>
      <c r="H339" s="11"/>
      <c r="I339" s="11"/>
      <c r="J339" s="11"/>
      <c r="K339" s="11"/>
      <c r="L339" s="11"/>
      <c r="M339" s="11"/>
    </row>
    <row r="340" spans="1:13" ht="12" x14ac:dyDescent="0.25">
      <c r="A340" s="740">
        <v>3208</v>
      </c>
      <c r="B340" s="148" t="s">
        <v>90</v>
      </c>
      <c r="C340" s="54"/>
      <c r="D340" s="54"/>
      <c r="E340" s="1303"/>
      <c r="F340" s="125"/>
      <c r="G340" s="861"/>
      <c r="H340" s="11"/>
      <c r="I340" s="11"/>
      <c r="J340" s="11"/>
      <c r="K340" s="11"/>
      <c r="L340" s="11"/>
      <c r="M340" s="11"/>
    </row>
    <row r="341" spans="1:13" ht="12" x14ac:dyDescent="0.25">
      <c r="A341" s="762"/>
      <c r="B341" s="21" t="s">
        <v>45</v>
      </c>
      <c r="C341" s="51"/>
      <c r="D341" s="51"/>
      <c r="E341" s="1304"/>
      <c r="F341" s="125"/>
      <c r="G341" s="861"/>
      <c r="H341" s="11"/>
      <c r="I341" s="11"/>
      <c r="J341" s="11"/>
      <c r="K341" s="11"/>
      <c r="L341" s="11"/>
      <c r="M341" s="11"/>
    </row>
    <row r="342" spans="1:13" ht="12" x14ac:dyDescent="0.25">
      <c r="A342" s="762"/>
      <c r="B342" s="3" t="s">
        <v>125</v>
      </c>
      <c r="C342" s="51"/>
      <c r="D342" s="51"/>
      <c r="E342" s="1304"/>
      <c r="F342" s="188"/>
      <c r="G342" s="862"/>
      <c r="H342" s="11"/>
      <c r="I342" s="11"/>
      <c r="J342" s="11"/>
      <c r="K342" s="11"/>
      <c r="L342" s="11"/>
      <c r="M342" s="11"/>
    </row>
    <row r="343" spans="1:13" ht="12" x14ac:dyDescent="0.25">
      <c r="A343" s="762"/>
      <c r="B343" s="56" t="s">
        <v>117</v>
      </c>
      <c r="C343" s="51">
        <v>18000</v>
      </c>
      <c r="D343" s="51">
        <v>18000</v>
      </c>
      <c r="E343" s="1304">
        <f>18000+9178</f>
        <v>27178</v>
      </c>
      <c r="F343" s="149">
        <f>SUM(E343/D343)</f>
        <v>1.5098888888888888</v>
      </c>
      <c r="G343" s="862"/>
      <c r="H343" s="11"/>
      <c r="I343" s="11"/>
      <c r="J343" s="11"/>
      <c r="K343" s="11"/>
      <c r="L343" s="11"/>
      <c r="M343" s="11"/>
    </row>
    <row r="344" spans="1:13" ht="12" x14ac:dyDescent="0.25">
      <c r="A344" s="762"/>
      <c r="B344" s="135" t="s">
        <v>49</v>
      </c>
      <c r="C344" s="51"/>
      <c r="D344" s="51"/>
      <c r="E344" s="1304"/>
      <c r="F344" s="149"/>
      <c r="G344" s="861"/>
      <c r="H344" s="11"/>
      <c r="I344" s="11"/>
      <c r="J344" s="11"/>
      <c r="K344" s="11"/>
      <c r="L344" s="11"/>
      <c r="M344" s="11"/>
    </row>
    <row r="345" spans="1:13" ht="12" x14ac:dyDescent="0.25">
      <c r="A345" s="762"/>
      <c r="B345" s="135" t="s">
        <v>122</v>
      </c>
      <c r="C345" s="51"/>
      <c r="D345" s="51"/>
      <c r="E345" s="1304"/>
      <c r="F345" s="149"/>
      <c r="G345" s="861"/>
      <c r="H345" s="11"/>
      <c r="I345" s="11"/>
      <c r="J345" s="11"/>
      <c r="K345" s="11"/>
      <c r="L345" s="11"/>
      <c r="M345" s="11"/>
    </row>
    <row r="346" spans="1:13" ht="12" x14ac:dyDescent="0.25">
      <c r="A346" s="762"/>
      <c r="B346" s="3" t="s">
        <v>97</v>
      </c>
      <c r="C346" s="51"/>
      <c r="D346" s="51"/>
      <c r="E346" s="1304"/>
      <c r="F346" s="149"/>
      <c r="G346" s="861"/>
      <c r="H346" s="11"/>
      <c r="I346" s="11"/>
      <c r="J346" s="11"/>
      <c r="K346" s="11"/>
      <c r="L346" s="11"/>
      <c r="M346" s="11"/>
    </row>
    <row r="347" spans="1:13" ht="12" x14ac:dyDescent="0.25">
      <c r="A347" s="762"/>
      <c r="B347" s="133" t="s">
        <v>185</v>
      </c>
      <c r="C347" s="51"/>
      <c r="D347" s="51"/>
      <c r="E347" s="1304"/>
      <c r="F347" s="149"/>
      <c r="G347" s="861"/>
      <c r="H347" s="11"/>
      <c r="I347" s="11"/>
      <c r="J347" s="11"/>
      <c r="K347" s="11"/>
      <c r="L347" s="11"/>
      <c r="M347" s="11"/>
    </row>
    <row r="348" spans="1:13" ht="12.6" customHeight="1" thickBot="1" x14ac:dyDescent="0.3">
      <c r="A348" s="762"/>
      <c r="B348" s="159" t="s">
        <v>112</v>
      </c>
      <c r="C348" s="154"/>
      <c r="D348" s="154"/>
      <c r="E348" s="1344"/>
      <c r="F348" s="189"/>
      <c r="G348" s="741"/>
      <c r="H348" s="11"/>
      <c r="I348" s="11"/>
      <c r="J348" s="11"/>
      <c r="K348" s="11"/>
      <c r="L348" s="11"/>
      <c r="M348" s="11"/>
    </row>
    <row r="349" spans="1:13" ht="12.6" customHeight="1" thickBot="1" x14ac:dyDescent="0.3">
      <c r="A349" s="800"/>
      <c r="B349" s="137" t="s">
        <v>57</v>
      </c>
      <c r="C349" s="150">
        <f t="shared" ref="C349" si="48">SUM(C341:C348)</f>
        <v>18000</v>
      </c>
      <c r="D349" s="150">
        <f t="shared" ref="D349:E349" si="49">SUM(D341:D348)</f>
        <v>18000</v>
      </c>
      <c r="E349" s="1306">
        <f t="shared" si="49"/>
        <v>27178</v>
      </c>
      <c r="F349" s="174">
        <f>SUM(E349/D349)</f>
        <v>1.5098888888888888</v>
      </c>
      <c r="G349" s="203"/>
      <c r="H349" s="11"/>
      <c r="I349" s="11"/>
      <c r="J349" s="11"/>
      <c r="K349" s="11"/>
      <c r="L349" s="11"/>
      <c r="M349" s="11"/>
    </row>
    <row r="350" spans="1:13" ht="12.6" customHeight="1" x14ac:dyDescent="0.25">
      <c r="A350" s="755">
        <v>3209</v>
      </c>
      <c r="B350" s="60" t="s">
        <v>23</v>
      </c>
      <c r="C350" s="54"/>
      <c r="D350" s="54"/>
      <c r="E350" s="1303"/>
      <c r="F350" s="125"/>
      <c r="G350" s="869"/>
      <c r="H350" s="11"/>
      <c r="I350" s="11"/>
      <c r="J350" s="11"/>
      <c r="K350" s="11"/>
      <c r="L350" s="11"/>
      <c r="M350" s="11"/>
    </row>
    <row r="351" spans="1:13" ht="12.6" customHeight="1" x14ac:dyDescent="0.25">
      <c r="A351" s="899"/>
      <c r="B351" s="21" t="s">
        <v>45</v>
      </c>
      <c r="C351" s="152"/>
      <c r="D351" s="152"/>
      <c r="E351" s="1342"/>
      <c r="F351" s="125"/>
      <c r="G351" s="744"/>
      <c r="H351" s="11"/>
      <c r="I351" s="11"/>
      <c r="J351" s="11"/>
      <c r="K351" s="11"/>
      <c r="L351" s="11"/>
      <c r="M351" s="11"/>
    </row>
    <row r="352" spans="1:13" ht="12.6" customHeight="1" x14ac:dyDescent="0.25">
      <c r="A352" s="899"/>
      <c r="B352" s="3" t="s">
        <v>125</v>
      </c>
      <c r="C352" s="152"/>
      <c r="D352" s="152"/>
      <c r="E352" s="1342"/>
      <c r="F352" s="188"/>
      <c r="G352" s="862"/>
      <c r="H352" s="11"/>
      <c r="I352" s="11"/>
      <c r="J352" s="11"/>
      <c r="K352" s="11"/>
      <c r="L352" s="11"/>
      <c r="M352" s="11"/>
    </row>
    <row r="353" spans="1:13" ht="12.6" customHeight="1" x14ac:dyDescent="0.25">
      <c r="A353" s="899"/>
      <c r="B353" s="56" t="s">
        <v>117</v>
      </c>
      <c r="C353" s="152">
        <v>5000</v>
      </c>
      <c r="D353" s="152">
        <v>5000</v>
      </c>
      <c r="E353" s="1342">
        <v>5000</v>
      </c>
      <c r="F353" s="149">
        <f>SUM(E353/D353)</f>
        <v>1</v>
      </c>
      <c r="G353" s="862"/>
      <c r="H353" s="11"/>
      <c r="I353" s="11"/>
      <c r="J353" s="11"/>
      <c r="K353" s="11"/>
      <c r="L353" s="11"/>
      <c r="M353" s="11"/>
    </row>
    <row r="354" spans="1:13" ht="12" x14ac:dyDescent="0.25">
      <c r="A354" s="899"/>
      <c r="B354" s="135" t="s">
        <v>49</v>
      </c>
      <c r="C354" s="152"/>
      <c r="D354" s="152"/>
      <c r="E354" s="1342"/>
      <c r="F354" s="149"/>
      <c r="G354" s="877"/>
      <c r="H354" s="11"/>
      <c r="I354" s="11"/>
      <c r="J354" s="11"/>
      <c r="K354" s="11"/>
      <c r="L354" s="11"/>
      <c r="M354" s="11"/>
    </row>
    <row r="355" spans="1:13" ht="12" x14ac:dyDescent="0.25">
      <c r="A355" s="899"/>
      <c r="B355" s="135" t="s">
        <v>122</v>
      </c>
      <c r="C355" s="152"/>
      <c r="D355" s="152"/>
      <c r="E355" s="1342"/>
      <c r="F355" s="149"/>
      <c r="G355" s="744"/>
      <c r="H355" s="11"/>
      <c r="I355" s="11"/>
      <c r="J355" s="11"/>
      <c r="K355" s="11"/>
      <c r="L355" s="11"/>
      <c r="M355" s="11"/>
    </row>
    <row r="356" spans="1:13" ht="12" x14ac:dyDescent="0.25">
      <c r="A356" s="899"/>
      <c r="B356" s="3" t="s">
        <v>97</v>
      </c>
      <c r="C356" s="152"/>
      <c r="D356" s="152"/>
      <c r="E356" s="1342"/>
      <c r="F356" s="149"/>
      <c r="G356" s="744"/>
      <c r="H356" s="11"/>
      <c r="I356" s="11"/>
      <c r="J356" s="11"/>
      <c r="K356" s="11"/>
      <c r="L356" s="11"/>
      <c r="M356" s="11"/>
    </row>
    <row r="357" spans="1:13" ht="12" x14ac:dyDescent="0.25">
      <c r="A357" s="899"/>
      <c r="B357" s="133" t="s">
        <v>185</v>
      </c>
      <c r="C357" s="152"/>
      <c r="D357" s="152"/>
      <c r="E357" s="1342"/>
      <c r="F357" s="149"/>
      <c r="G357" s="744"/>
      <c r="H357" s="11"/>
      <c r="I357" s="11"/>
      <c r="J357" s="11"/>
      <c r="K357" s="11"/>
      <c r="L357" s="11"/>
      <c r="M357" s="11"/>
    </row>
    <row r="358" spans="1:13" ht="12.6" thickBot="1" x14ac:dyDescent="0.3">
      <c r="A358" s="899"/>
      <c r="B358" s="159" t="s">
        <v>112</v>
      </c>
      <c r="C358" s="157"/>
      <c r="D358" s="157"/>
      <c r="E358" s="1345"/>
      <c r="F358" s="189"/>
      <c r="G358" s="783"/>
      <c r="H358" s="11"/>
      <c r="I358" s="11"/>
      <c r="J358" s="11"/>
      <c r="K358" s="11"/>
      <c r="L358" s="11"/>
      <c r="M358" s="11"/>
    </row>
    <row r="359" spans="1:13" ht="12.6" customHeight="1" thickBot="1" x14ac:dyDescent="0.3">
      <c r="A359" s="900"/>
      <c r="B359" s="137" t="s">
        <v>57</v>
      </c>
      <c r="C359" s="150">
        <f t="shared" ref="C359:D359" si="50">SUM(C351:C358)</f>
        <v>5000</v>
      </c>
      <c r="D359" s="150">
        <f t="shared" si="50"/>
        <v>5000</v>
      </c>
      <c r="E359" s="1306">
        <f t="shared" ref="E359" si="51">SUM(E351:E358)</f>
        <v>5000</v>
      </c>
      <c r="F359" s="174">
        <f>SUM(E359/D359)</f>
        <v>1</v>
      </c>
      <c r="G359" s="203"/>
      <c r="H359" s="11"/>
      <c r="I359" s="11"/>
      <c r="J359" s="11"/>
      <c r="K359" s="11"/>
      <c r="L359" s="11"/>
      <c r="M359" s="11"/>
    </row>
    <row r="360" spans="1:13" ht="12" x14ac:dyDescent="0.25">
      <c r="A360" s="740"/>
      <c r="B360" s="156" t="s">
        <v>30</v>
      </c>
      <c r="C360" s="54">
        <f>SUM(C370+C383+C394+C404+C416)</f>
        <v>3845992</v>
      </c>
      <c r="D360" s="54">
        <f>SUM(D370+D383+D394+D404+D416)</f>
        <v>3678892</v>
      </c>
      <c r="E360" s="1303">
        <f>SUM(E370+E383+E394+E404+E416)</f>
        <v>3946959</v>
      </c>
      <c r="F360" s="198">
        <f>SUM(E360/D360)</f>
        <v>1.0728662325504528</v>
      </c>
      <c r="G360" s="878"/>
      <c r="H360" s="11"/>
      <c r="I360" s="11"/>
      <c r="J360" s="11"/>
      <c r="K360" s="11"/>
      <c r="L360" s="11"/>
      <c r="M360" s="11"/>
    </row>
    <row r="361" spans="1:13" ht="12" x14ac:dyDescent="0.25">
      <c r="A361" s="740">
        <v>3211</v>
      </c>
      <c r="B361" s="63" t="s">
        <v>190</v>
      </c>
      <c r="C361" s="54"/>
      <c r="D361" s="54"/>
      <c r="E361" s="1303"/>
      <c r="F361" s="125"/>
      <c r="G361" s="869"/>
      <c r="H361" s="11"/>
      <c r="I361" s="11"/>
      <c r="J361" s="11"/>
      <c r="K361" s="11"/>
      <c r="L361" s="11"/>
      <c r="M361" s="11"/>
    </row>
    <row r="362" spans="1:13" ht="12" x14ac:dyDescent="0.25">
      <c r="A362" s="740"/>
      <c r="B362" s="21" t="s">
        <v>45</v>
      </c>
      <c r="C362" s="54"/>
      <c r="D362" s="54"/>
      <c r="E362" s="1303"/>
      <c r="F362" s="125"/>
      <c r="G362" s="744"/>
      <c r="H362" s="11"/>
      <c r="I362" s="11"/>
      <c r="J362" s="11"/>
      <c r="K362" s="11"/>
      <c r="L362" s="11"/>
      <c r="M362" s="11"/>
    </row>
    <row r="363" spans="1:13" ht="12" x14ac:dyDescent="0.25">
      <c r="A363" s="740"/>
      <c r="B363" s="3" t="s">
        <v>125</v>
      </c>
      <c r="C363" s="54"/>
      <c r="D363" s="54"/>
      <c r="E363" s="1303"/>
      <c r="F363" s="125"/>
      <c r="G363" s="874"/>
      <c r="H363" s="11"/>
      <c r="I363" s="11"/>
      <c r="J363" s="11"/>
      <c r="K363" s="11"/>
      <c r="L363" s="11"/>
      <c r="M363" s="11"/>
    </row>
    <row r="364" spans="1:13" ht="12" x14ac:dyDescent="0.25">
      <c r="A364" s="740"/>
      <c r="B364" s="56" t="s">
        <v>117</v>
      </c>
      <c r="C364" s="152">
        <f>901178+14773</f>
        <v>915951</v>
      </c>
      <c r="D364" s="152">
        <f>901178+14773</f>
        <v>915951</v>
      </c>
      <c r="E364" s="1342">
        <f>901178+14773+85464</f>
        <v>1001415</v>
      </c>
      <c r="F364" s="149">
        <f>SUM(E364/D364)</f>
        <v>1.093306301319612</v>
      </c>
      <c r="G364" s="843" t="s">
        <v>1063</v>
      </c>
      <c r="H364" s="11"/>
      <c r="I364" s="11"/>
      <c r="J364" s="11"/>
      <c r="K364" s="11"/>
      <c r="L364" s="11"/>
      <c r="M364" s="11"/>
    </row>
    <row r="365" spans="1:13" ht="12" x14ac:dyDescent="0.25">
      <c r="A365" s="740"/>
      <c r="B365" s="135" t="s">
        <v>49</v>
      </c>
      <c r="C365" s="152"/>
      <c r="D365" s="152"/>
      <c r="E365" s="1342"/>
      <c r="F365" s="125"/>
      <c r="G365" s="901"/>
      <c r="H365" s="11"/>
      <c r="I365" s="11"/>
      <c r="J365" s="11"/>
      <c r="K365" s="11"/>
      <c r="L365" s="11"/>
      <c r="M365" s="11"/>
    </row>
    <row r="366" spans="1:13" ht="12" x14ac:dyDescent="0.25">
      <c r="A366" s="740"/>
      <c r="B366" s="135" t="s">
        <v>122</v>
      </c>
      <c r="C366" s="152"/>
      <c r="D366" s="152"/>
      <c r="E366" s="1342"/>
      <c r="F366" s="125"/>
      <c r="G366" s="901"/>
      <c r="H366" s="11"/>
      <c r="I366" s="11"/>
      <c r="J366" s="11"/>
      <c r="K366" s="11"/>
      <c r="L366" s="11"/>
      <c r="M366" s="11"/>
    </row>
    <row r="367" spans="1:13" ht="12" x14ac:dyDescent="0.25">
      <c r="A367" s="740"/>
      <c r="B367" s="3" t="s">
        <v>97</v>
      </c>
      <c r="C367" s="152"/>
      <c r="D367" s="152"/>
      <c r="E367" s="1342"/>
      <c r="F367" s="125"/>
      <c r="G367" s="865"/>
      <c r="H367" s="11"/>
      <c r="I367" s="11"/>
      <c r="J367" s="11"/>
      <c r="K367" s="11"/>
      <c r="L367" s="11"/>
      <c r="M367" s="11"/>
    </row>
    <row r="368" spans="1:13" ht="12" x14ac:dyDescent="0.25">
      <c r="A368" s="740"/>
      <c r="B368" s="133" t="s">
        <v>185</v>
      </c>
      <c r="C368" s="54"/>
      <c r="D368" s="54"/>
      <c r="E368" s="1303"/>
      <c r="F368" s="125"/>
      <c r="G368" s="876"/>
      <c r="H368" s="11"/>
      <c r="I368" s="11"/>
      <c r="J368" s="11"/>
      <c r="K368" s="11"/>
      <c r="L368" s="11"/>
      <c r="M368" s="11"/>
    </row>
    <row r="369" spans="1:13" ht="12.6" thickBot="1" x14ac:dyDescent="0.3">
      <c r="A369" s="755"/>
      <c r="B369" s="159" t="s">
        <v>112</v>
      </c>
      <c r="C369" s="153"/>
      <c r="D369" s="153"/>
      <c r="E369" s="1343"/>
      <c r="F369" s="186"/>
      <c r="G369" s="876"/>
      <c r="H369" s="11"/>
      <c r="I369" s="11"/>
      <c r="J369" s="11"/>
      <c r="K369" s="11"/>
      <c r="L369" s="11"/>
      <c r="M369" s="11"/>
    </row>
    <row r="370" spans="1:13" ht="12.6" thickBot="1" x14ac:dyDescent="0.3">
      <c r="A370" s="755"/>
      <c r="B370" s="137" t="s">
        <v>57</v>
      </c>
      <c r="C370" s="150">
        <f t="shared" ref="C370:D370" si="52">SUM(C364:C369)</f>
        <v>915951</v>
      </c>
      <c r="D370" s="150">
        <f t="shared" si="52"/>
        <v>915951</v>
      </c>
      <c r="E370" s="1306">
        <f t="shared" ref="E370" si="53">SUM(E364:E369)</f>
        <v>1001415</v>
      </c>
      <c r="F370" s="174">
        <f>SUM(E370/D370)</f>
        <v>1.093306301319612</v>
      </c>
      <c r="G370" s="203"/>
      <c r="H370" s="11"/>
      <c r="I370" s="11"/>
      <c r="J370" s="11"/>
      <c r="K370" s="11"/>
      <c r="L370" s="11"/>
      <c r="M370" s="11"/>
    </row>
    <row r="371" spans="1:13" ht="12" x14ac:dyDescent="0.25">
      <c r="A371" s="755"/>
      <c r="B371" s="167" t="s">
        <v>227</v>
      </c>
      <c r="C371" s="163">
        <v>865151</v>
      </c>
      <c r="D371" s="163">
        <v>865151</v>
      </c>
      <c r="E371" s="1346">
        <f>865151+81654</f>
        <v>946805</v>
      </c>
      <c r="F371" s="149">
        <f>SUM(E371/D371)</f>
        <v>1.0943812120658707</v>
      </c>
      <c r="G371" s="878"/>
      <c r="H371" s="11"/>
      <c r="I371" s="11"/>
      <c r="J371" s="11"/>
      <c r="K371" s="11"/>
      <c r="L371" s="11"/>
      <c r="M371" s="11"/>
    </row>
    <row r="372" spans="1:13" ht="12.6" thickBot="1" x14ac:dyDescent="0.3">
      <c r="A372" s="755"/>
      <c r="B372" s="168" t="s">
        <v>228</v>
      </c>
      <c r="C372" s="112">
        <v>50800</v>
      </c>
      <c r="D372" s="112">
        <v>50800</v>
      </c>
      <c r="E372" s="1350">
        <f>50800+3810</f>
        <v>54610</v>
      </c>
      <c r="F372" s="149">
        <f>SUM(E372/D372)</f>
        <v>1.075</v>
      </c>
      <c r="G372" s="783"/>
      <c r="H372" s="11"/>
      <c r="I372" s="11"/>
      <c r="J372" s="11"/>
      <c r="K372" s="11"/>
      <c r="L372" s="11"/>
      <c r="M372" s="11"/>
    </row>
    <row r="373" spans="1:13" ht="12.6" thickBot="1" x14ac:dyDescent="0.3">
      <c r="A373" s="868"/>
      <c r="B373" s="137" t="s">
        <v>206</v>
      </c>
      <c r="C373" s="150">
        <f>SUM(C370)</f>
        <v>915951</v>
      </c>
      <c r="D373" s="150">
        <f>SUM(D370)</f>
        <v>915951</v>
      </c>
      <c r="E373" s="1306">
        <f>SUM(E370)</f>
        <v>1001415</v>
      </c>
      <c r="F373" s="174">
        <f>SUM(E373/D373)</f>
        <v>1.093306301319612</v>
      </c>
      <c r="G373" s="203"/>
      <c r="H373" s="11"/>
      <c r="I373" s="11"/>
      <c r="J373" s="11"/>
      <c r="K373" s="11"/>
      <c r="L373" s="11"/>
      <c r="M373" s="11"/>
    </row>
    <row r="374" spans="1:13" ht="12" x14ac:dyDescent="0.25">
      <c r="A374" s="740">
        <v>3212</v>
      </c>
      <c r="B374" s="63" t="s">
        <v>157</v>
      </c>
      <c r="C374" s="54"/>
      <c r="D374" s="54"/>
      <c r="E374" s="1303"/>
      <c r="F374" s="125"/>
      <c r="G374" s="869"/>
      <c r="H374" s="11"/>
      <c r="I374" s="11"/>
      <c r="J374" s="11"/>
      <c r="K374" s="11"/>
      <c r="L374" s="11"/>
      <c r="M374" s="11"/>
    </row>
    <row r="375" spans="1:13" ht="12" x14ac:dyDescent="0.25">
      <c r="A375" s="740"/>
      <c r="B375" s="21" t="s">
        <v>45</v>
      </c>
      <c r="C375" s="152"/>
      <c r="D375" s="152"/>
      <c r="E375" s="1342"/>
      <c r="F375" s="125"/>
      <c r="G375" s="744"/>
      <c r="H375" s="11"/>
      <c r="I375" s="11"/>
      <c r="J375" s="11"/>
      <c r="K375" s="11"/>
      <c r="L375" s="11"/>
      <c r="M375" s="11"/>
    </row>
    <row r="376" spans="1:13" ht="12" x14ac:dyDescent="0.25">
      <c r="A376" s="740"/>
      <c r="B376" s="3" t="s">
        <v>125</v>
      </c>
      <c r="C376" s="152"/>
      <c r="D376" s="152"/>
      <c r="E376" s="1342"/>
      <c r="F376" s="125"/>
      <c r="G376" s="874"/>
      <c r="H376" s="11"/>
      <c r="I376" s="11"/>
      <c r="J376" s="11"/>
      <c r="K376" s="11"/>
      <c r="L376" s="11"/>
      <c r="M376" s="11"/>
    </row>
    <row r="377" spans="1:13" ht="12" x14ac:dyDescent="0.25">
      <c r="A377" s="740"/>
      <c r="B377" s="56" t="s">
        <v>117</v>
      </c>
      <c r="C377" s="152">
        <v>1560204</v>
      </c>
      <c r="D377" s="152">
        <v>1560204</v>
      </c>
      <c r="E377" s="1342">
        <f>1560204+133080</f>
        <v>1693284</v>
      </c>
      <c r="F377" s="149">
        <f>SUM(E377/D377)</f>
        <v>1.0852965381450117</v>
      </c>
      <c r="G377" s="843" t="s">
        <v>1043</v>
      </c>
      <c r="H377" s="11"/>
      <c r="I377" s="11"/>
      <c r="J377" s="11"/>
      <c r="K377" s="11"/>
      <c r="L377" s="11"/>
      <c r="M377" s="11"/>
    </row>
    <row r="378" spans="1:13" ht="12" x14ac:dyDescent="0.25">
      <c r="A378" s="740"/>
      <c r="B378" s="135" t="s">
        <v>49</v>
      </c>
      <c r="C378" s="152"/>
      <c r="D378" s="152"/>
      <c r="E378" s="1342"/>
      <c r="F378" s="149"/>
      <c r="G378" s="843"/>
      <c r="H378" s="11"/>
      <c r="I378" s="11"/>
      <c r="J378" s="11"/>
      <c r="K378" s="11"/>
      <c r="L378" s="11"/>
      <c r="M378" s="11"/>
    </row>
    <row r="379" spans="1:13" ht="12" x14ac:dyDescent="0.25">
      <c r="A379" s="740"/>
      <c r="B379" s="135" t="s">
        <v>122</v>
      </c>
      <c r="C379" s="152"/>
      <c r="D379" s="152"/>
      <c r="E379" s="1342"/>
      <c r="F379" s="149"/>
      <c r="G379" s="843" t="s">
        <v>1059</v>
      </c>
      <c r="H379" s="11"/>
      <c r="I379" s="11"/>
      <c r="J379" s="11"/>
      <c r="K379" s="11"/>
      <c r="L379" s="11"/>
      <c r="M379" s="11"/>
    </row>
    <row r="380" spans="1:13" ht="12" x14ac:dyDescent="0.25">
      <c r="A380" s="740"/>
      <c r="B380" s="3" t="s">
        <v>97</v>
      </c>
      <c r="C380" s="152"/>
      <c r="D380" s="152"/>
      <c r="E380" s="1342"/>
      <c r="F380" s="149"/>
      <c r="G380" s="865"/>
      <c r="H380" s="11"/>
      <c r="I380" s="11"/>
      <c r="J380" s="11"/>
      <c r="K380" s="11"/>
      <c r="L380" s="11"/>
      <c r="M380" s="11"/>
    </row>
    <row r="381" spans="1:13" ht="12" x14ac:dyDescent="0.25">
      <c r="A381" s="740"/>
      <c r="B381" s="133" t="s">
        <v>185</v>
      </c>
      <c r="C381" s="54"/>
      <c r="D381" s="54"/>
      <c r="E381" s="1303"/>
      <c r="F381" s="188"/>
      <c r="G381" s="877"/>
      <c r="H381" s="11"/>
      <c r="I381" s="11"/>
      <c r="J381" s="11"/>
      <c r="K381" s="11"/>
      <c r="L381" s="11"/>
      <c r="M381" s="11"/>
    </row>
    <row r="382" spans="1:13" ht="12.6" thickBot="1" x14ac:dyDescent="0.3">
      <c r="A382" s="740"/>
      <c r="B382" s="159" t="s">
        <v>112</v>
      </c>
      <c r="C382" s="153"/>
      <c r="D382" s="153"/>
      <c r="E382" s="1343"/>
      <c r="F382" s="187"/>
      <c r="G382" s="780"/>
      <c r="H382" s="11"/>
      <c r="I382" s="11"/>
      <c r="J382" s="11"/>
      <c r="K382" s="11"/>
      <c r="L382" s="11"/>
      <c r="M382" s="11"/>
    </row>
    <row r="383" spans="1:13" ht="12.6" thickBot="1" x14ac:dyDescent="0.3">
      <c r="A383" s="755"/>
      <c r="B383" s="137" t="s">
        <v>57</v>
      </c>
      <c r="C383" s="150">
        <f t="shared" ref="C383:D383" si="54">SUM(C375:C382)</f>
        <v>1560204</v>
      </c>
      <c r="D383" s="150">
        <f t="shared" si="54"/>
        <v>1560204</v>
      </c>
      <c r="E383" s="1306">
        <f t="shared" ref="E383" si="55">SUM(E375:E382)</f>
        <v>1693284</v>
      </c>
      <c r="F383" s="174">
        <f>SUM(E383/D383)</f>
        <v>1.0852965381450117</v>
      </c>
      <c r="G383" s="203"/>
      <c r="H383" s="11"/>
      <c r="I383" s="11"/>
      <c r="J383" s="11"/>
      <c r="K383" s="11"/>
      <c r="L383" s="11"/>
      <c r="M383" s="11"/>
    </row>
    <row r="384" spans="1:13" ht="12.6" thickBot="1" x14ac:dyDescent="0.3">
      <c r="A384" s="868"/>
      <c r="B384" s="169" t="s">
        <v>229</v>
      </c>
      <c r="C384" s="170">
        <f>1022096+33147</f>
        <v>1055243</v>
      </c>
      <c r="D384" s="170">
        <f>1022096+33147</f>
        <v>1055243</v>
      </c>
      <c r="E384" s="1351">
        <f>1022096+33147+114125</f>
        <v>1169368</v>
      </c>
      <c r="F384" s="1097">
        <f>SUM(E384/D384)</f>
        <v>1.1081504449685997</v>
      </c>
      <c r="G384" s="783"/>
      <c r="H384" s="11"/>
      <c r="I384" s="11"/>
      <c r="J384" s="11"/>
      <c r="K384" s="11"/>
      <c r="L384" s="11"/>
      <c r="M384" s="11"/>
    </row>
    <row r="385" spans="1:13" ht="12" x14ac:dyDescent="0.25">
      <c r="A385" s="740">
        <v>3213</v>
      </c>
      <c r="B385" s="61" t="s">
        <v>198</v>
      </c>
      <c r="C385" s="54"/>
      <c r="D385" s="54"/>
      <c r="E385" s="1303"/>
      <c r="F385" s="125"/>
      <c r="G385" s="869"/>
      <c r="H385" s="11"/>
      <c r="I385" s="11"/>
      <c r="J385" s="11"/>
      <c r="K385" s="11"/>
      <c r="L385" s="11"/>
      <c r="M385" s="11"/>
    </row>
    <row r="386" spans="1:13" ht="12" x14ac:dyDescent="0.25">
      <c r="A386" s="740"/>
      <c r="B386" s="21" t="s">
        <v>45</v>
      </c>
      <c r="C386" s="54"/>
      <c r="D386" s="54"/>
      <c r="E386" s="1303"/>
      <c r="F386" s="125"/>
      <c r="G386" s="744"/>
      <c r="H386" s="11"/>
      <c r="I386" s="11"/>
      <c r="J386" s="11"/>
      <c r="K386" s="11"/>
      <c r="L386" s="11"/>
      <c r="M386" s="11"/>
    </row>
    <row r="387" spans="1:13" ht="12" x14ac:dyDescent="0.25">
      <c r="A387" s="740"/>
      <c r="B387" s="3" t="s">
        <v>125</v>
      </c>
      <c r="C387" s="54"/>
      <c r="D387" s="54"/>
      <c r="E387" s="1303"/>
      <c r="F387" s="125"/>
      <c r="G387" s="876"/>
      <c r="H387" s="11"/>
      <c r="I387" s="11"/>
      <c r="J387" s="11"/>
      <c r="K387" s="11"/>
      <c r="L387" s="11"/>
      <c r="M387" s="11"/>
    </row>
    <row r="388" spans="1:13" ht="12" x14ac:dyDescent="0.25">
      <c r="A388" s="740"/>
      <c r="B388" s="56" t="s">
        <v>117</v>
      </c>
      <c r="C388" s="152">
        <v>710000</v>
      </c>
      <c r="D388" s="152">
        <v>710000</v>
      </c>
      <c r="E388" s="1342">
        <f>710000</f>
        <v>710000</v>
      </c>
      <c r="F388" s="149">
        <f>SUM(E388/D388)</f>
        <v>1</v>
      </c>
      <c r="G388" s="877"/>
      <c r="H388" s="11"/>
      <c r="I388" s="11"/>
      <c r="J388" s="11"/>
      <c r="K388" s="11"/>
      <c r="L388" s="11"/>
      <c r="M388" s="11"/>
    </row>
    <row r="389" spans="1:13" ht="12" x14ac:dyDescent="0.25">
      <c r="A389" s="740"/>
      <c r="B389" s="135" t="s">
        <v>49</v>
      </c>
      <c r="C389" s="152"/>
      <c r="D389" s="152"/>
      <c r="E389" s="1342"/>
      <c r="F389" s="149"/>
      <c r="G389" s="877"/>
      <c r="H389" s="11"/>
      <c r="I389" s="11"/>
      <c r="J389" s="11"/>
      <c r="K389" s="11"/>
      <c r="L389" s="11"/>
      <c r="M389" s="11"/>
    </row>
    <row r="390" spans="1:13" ht="12" x14ac:dyDescent="0.25">
      <c r="A390" s="740"/>
      <c r="B390" s="135" t="s">
        <v>122</v>
      </c>
      <c r="C390" s="152"/>
      <c r="D390" s="152"/>
      <c r="E390" s="1342"/>
      <c r="F390" s="149"/>
      <c r="G390" s="877"/>
      <c r="H390" s="11"/>
      <c r="I390" s="11"/>
      <c r="J390" s="11"/>
      <c r="K390" s="11"/>
      <c r="L390" s="11"/>
      <c r="M390" s="11"/>
    </row>
    <row r="391" spans="1:13" ht="12" x14ac:dyDescent="0.25">
      <c r="A391" s="740"/>
      <c r="B391" s="3" t="s">
        <v>97</v>
      </c>
      <c r="C391" s="152"/>
      <c r="D391" s="152"/>
      <c r="E391" s="1342"/>
      <c r="F391" s="149"/>
      <c r="G391" s="877"/>
      <c r="H391" s="11"/>
      <c r="I391" s="11"/>
      <c r="J391" s="11"/>
      <c r="K391" s="11"/>
      <c r="L391" s="11"/>
      <c r="M391" s="11"/>
    </row>
    <row r="392" spans="1:13" ht="12" x14ac:dyDescent="0.25">
      <c r="A392" s="740"/>
      <c r="B392" s="133" t="s">
        <v>185</v>
      </c>
      <c r="C392" s="54"/>
      <c r="D392" s="54"/>
      <c r="E392" s="1303"/>
      <c r="F392" s="149"/>
      <c r="G392" s="744"/>
      <c r="H392" s="11"/>
      <c r="I392" s="11"/>
      <c r="J392" s="11"/>
      <c r="K392" s="11"/>
      <c r="L392" s="11"/>
      <c r="M392" s="11"/>
    </row>
    <row r="393" spans="1:13" ht="12.6" thickBot="1" x14ac:dyDescent="0.3">
      <c r="A393" s="740"/>
      <c r="B393" s="159" t="s">
        <v>112</v>
      </c>
      <c r="C393" s="153"/>
      <c r="D393" s="153"/>
      <c r="E393" s="1343"/>
      <c r="F393" s="189"/>
      <c r="G393" s="780"/>
      <c r="H393" s="11"/>
      <c r="I393" s="11"/>
      <c r="J393" s="11"/>
      <c r="K393" s="11"/>
      <c r="L393" s="11"/>
      <c r="M393" s="11"/>
    </row>
    <row r="394" spans="1:13" ht="12.6" thickBot="1" x14ac:dyDescent="0.3">
      <c r="A394" s="868"/>
      <c r="B394" s="137" t="s">
        <v>57</v>
      </c>
      <c r="C394" s="150">
        <f t="shared" ref="C394" si="56">SUM(C388:C393)</f>
        <v>710000</v>
      </c>
      <c r="D394" s="150">
        <f t="shared" ref="D394:E394" si="57">SUM(D388:D393)</f>
        <v>710000</v>
      </c>
      <c r="E394" s="1306">
        <f t="shared" si="57"/>
        <v>710000</v>
      </c>
      <c r="F394" s="174">
        <f>SUM(E394/D394)</f>
        <v>1</v>
      </c>
      <c r="G394" s="783"/>
      <c r="H394" s="11"/>
      <c r="I394" s="11"/>
      <c r="J394" s="11"/>
      <c r="K394" s="11"/>
      <c r="L394" s="11"/>
      <c r="M394" s="11"/>
    </row>
    <row r="395" spans="1:13" ht="12" x14ac:dyDescent="0.25">
      <c r="A395" s="840">
        <v>3216</v>
      </c>
      <c r="B395" s="145" t="s">
        <v>9</v>
      </c>
      <c r="C395" s="139"/>
      <c r="D395" s="139"/>
      <c r="E395" s="1330"/>
      <c r="F395" s="125"/>
      <c r="G395" s="902"/>
      <c r="H395" s="11"/>
      <c r="I395" s="11"/>
      <c r="J395" s="11"/>
      <c r="K395" s="11"/>
      <c r="L395" s="11"/>
      <c r="M395" s="11"/>
    </row>
    <row r="396" spans="1:13" ht="12" x14ac:dyDescent="0.25">
      <c r="A396" s="840"/>
      <c r="B396" s="21" t="s">
        <v>45</v>
      </c>
      <c r="C396" s="139"/>
      <c r="D396" s="139"/>
      <c r="E396" s="1330"/>
      <c r="F396" s="125"/>
      <c r="G396" s="886"/>
      <c r="H396" s="11"/>
      <c r="I396" s="11"/>
      <c r="J396" s="11"/>
      <c r="K396" s="11"/>
      <c r="L396" s="11"/>
      <c r="M396" s="11"/>
    </row>
    <row r="397" spans="1:13" ht="12" x14ac:dyDescent="0.25">
      <c r="A397" s="840"/>
      <c r="B397" s="3" t="s">
        <v>125</v>
      </c>
      <c r="C397" s="139"/>
      <c r="D397" s="139"/>
      <c r="E397" s="1330"/>
      <c r="F397" s="125"/>
      <c r="G397" s="843" t="s">
        <v>1043</v>
      </c>
      <c r="H397" s="11"/>
      <c r="I397" s="11"/>
      <c r="J397" s="11"/>
      <c r="K397" s="11"/>
      <c r="L397" s="11"/>
      <c r="M397" s="11"/>
    </row>
    <row r="398" spans="1:13" ht="12" x14ac:dyDescent="0.25">
      <c r="A398" s="840"/>
      <c r="B398" s="56" t="s">
        <v>117</v>
      </c>
      <c r="C398" s="140">
        <v>403837</v>
      </c>
      <c r="D398" s="140">
        <v>403837</v>
      </c>
      <c r="E398" s="1331">
        <f>403837+33996</f>
        <v>437833</v>
      </c>
      <c r="F398" s="149">
        <f>SUM(E398/D398)</f>
        <v>1.084182479564775</v>
      </c>
      <c r="G398" s="843"/>
      <c r="H398" s="11"/>
      <c r="I398" s="11"/>
      <c r="J398" s="11"/>
      <c r="K398" s="11"/>
      <c r="L398" s="11"/>
      <c r="M398" s="11"/>
    </row>
    <row r="399" spans="1:13" ht="12" x14ac:dyDescent="0.25">
      <c r="A399" s="840"/>
      <c r="B399" s="135" t="s">
        <v>49</v>
      </c>
      <c r="C399" s="140"/>
      <c r="D399" s="140"/>
      <c r="E399" s="1331"/>
      <c r="F399" s="149"/>
      <c r="G399" s="843"/>
      <c r="H399" s="11"/>
      <c r="I399" s="11"/>
      <c r="J399" s="11"/>
      <c r="K399" s="11"/>
      <c r="L399" s="11"/>
      <c r="M399" s="11"/>
    </row>
    <row r="400" spans="1:13" ht="12" x14ac:dyDescent="0.25">
      <c r="A400" s="840"/>
      <c r="B400" s="135" t="s">
        <v>122</v>
      </c>
      <c r="C400" s="140"/>
      <c r="D400" s="140"/>
      <c r="E400" s="1331"/>
      <c r="F400" s="149"/>
      <c r="G400" s="843" t="s">
        <v>1059</v>
      </c>
      <c r="H400" s="11"/>
      <c r="I400" s="11"/>
      <c r="J400" s="11"/>
      <c r="K400" s="11"/>
      <c r="L400" s="11"/>
      <c r="M400" s="11"/>
    </row>
    <row r="401" spans="1:13" ht="12" x14ac:dyDescent="0.25">
      <c r="A401" s="840"/>
      <c r="B401" s="3" t="s">
        <v>97</v>
      </c>
      <c r="C401" s="140">
        <f>63500-63500</f>
        <v>0</v>
      </c>
      <c r="D401" s="140">
        <f>63500-63500</f>
        <v>0</v>
      </c>
      <c r="E401" s="1331">
        <f>63500-63500</f>
        <v>0</v>
      </c>
      <c r="F401" s="149"/>
      <c r="G401" s="879"/>
      <c r="H401" s="11"/>
      <c r="I401" s="11"/>
      <c r="J401" s="11"/>
      <c r="K401" s="11"/>
      <c r="L401" s="11"/>
      <c r="M401" s="11"/>
    </row>
    <row r="402" spans="1:13" ht="12" x14ac:dyDescent="0.25">
      <c r="A402" s="840"/>
      <c r="B402" s="133" t="s">
        <v>185</v>
      </c>
      <c r="C402" s="140"/>
      <c r="D402" s="140"/>
      <c r="E402" s="1331"/>
      <c r="F402" s="149"/>
      <c r="G402" s="865"/>
      <c r="H402" s="11"/>
      <c r="I402" s="11"/>
      <c r="J402" s="11"/>
      <c r="K402" s="11"/>
      <c r="L402" s="11"/>
      <c r="M402" s="11"/>
    </row>
    <row r="403" spans="1:13" ht="12.6" thickBot="1" x14ac:dyDescent="0.3">
      <c r="A403" s="840"/>
      <c r="B403" s="159" t="s">
        <v>112</v>
      </c>
      <c r="C403" s="144"/>
      <c r="D403" s="144"/>
      <c r="E403" s="1340"/>
      <c r="F403" s="189"/>
      <c r="G403" s="903"/>
      <c r="H403" s="11"/>
      <c r="I403" s="11"/>
      <c r="J403" s="11"/>
      <c r="K403" s="11"/>
      <c r="L403" s="11"/>
      <c r="M403" s="11"/>
    </row>
    <row r="404" spans="1:13" ht="12.6" thickBot="1" x14ac:dyDescent="0.3">
      <c r="A404" s="825"/>
      <c r="B404" s="137" t="s">
        <v>57</v>
      </c>
      <c r="C404" s="171">
        <f>SUM(C398:C403)</f>
        <v>403837</v>
      </c>
      <c r="D404" s="171">
        <f>SUM(D398:D403)</f>
        <v>403837</v>
      </c>
      <c r="E404" s="1335">
        <f>SUM(E398:E403)</f>
        <v>437833</v>
      </c>
      <c r="F404" s="174">
        <f>SUM(E404/D404)</f>
        <v>1.084182479564775</v>
      </c>
      <c r="G404" s="884"/>
      <c r="H404" s="11"/>
      <c r="I404" s="11"/>
      <c r="J404" s="11"/>
      <c r="K404" s="11"/>
      <c r="L404" s="11"/>
      <c r="M404" s="11"/>
    </row>
    <row r="405" spans="1:13" ht="12" x14ac:dyDescent="0.25">
      <c r="A405" s="825"/>
      <c r="B405" s="162" t="s">
        <v>238</v>
      </c>
      <c r="C405" s="172">
        <f>C398+C401-20000</f>
        <v>383837</v>
      </c>
      <c r="D405" s="172">
        <f>D398+D401-20000</f>
        <v>383837</v>
      </c>
      <c r="E405" s="1352">
        <f>E398+E401-20000</f>
        <v>417833</v>
      </c>
      <c r="F405" s="149">
        <f>SUM(E405/D405)</f>
        <v>1.0885688456297855</v>
      </c>
      <c r="G405" s="904"/>
      <c r="H405" s="11"/>
      <c r="I405" s="11"/>
      <c r="J405" s="11"/>
      <c r="K405" s="11"/>
      <c r="L405" s="11"/>
      <c r="M405" s="11"/>
    </row>
    <row r="406" spans="1:13" ht="12.6" thickBot="1" x14ac:dyDescent="0.3">
      <c r="A406" s="883"/>
      <c r="B406" s="165" t="s">
        <v>239</v>
      </c>
      <c r="C406" s="173">
        <v>20000</v>
      </c>
      <c r="D406" s="173">
        <v>20000</v>
      </c>
      <c r="E406" s="1353">
        <v>20000</v>
      </c>
      <c r="F406" s="190">
        <f>SUM(E406/D406)</f>
        <v>1</v>
      </c>
      <c r="G406" s="886"/>
      <c r="H406" s="11"/>
      <c r="I406" s="11"/>
      <c r="J406" s="11"/>
      <c r="K406" s="11"/>
      <c r="L406" s="11"/>
      <c r="M406" s="11"/>
    </row>
    <row r="407" spans="1:13" ht="12" x14ac:dyDescent="0.25">
      <c r="A407" s="840">
        <v>3217</v>
      </c>
      <c r="B407" s="145" t="s">
        <v>249</v>
      </c>
      <c r="C407" s="205"/>
      <c r="D407" s="205"/>
      <c r="E407" s="1354"/>
      <c r="F407" s="125"/>
      <c r="G407" s="902"/>
      <c r="H407" s="11"/>
      <c r="I407" s="11"/>
      <c r="J407" s="11"/>
      <c r="K407" s="11"/>
      <c r="L407" s="11"/>
      <c r="M407" s="11"/>
    </row>
    <row r="408" spans="1:13" ht="12" x14ac:dyDescent="0.25">
      <c r="A408" s="840"/>
      <c r="B408" s="21" t="s">
        <v>45</v>
      </c>
      <c r="C408" s="205"/>
      <c r="D408" s="139"/>
      <c r="E408" s="1330"/>
      <c r="F408" s="125"/>
      <c r="G408" s="886"/>
      <c r="H408" s="11"/>
      <c r="I408" s="11"/>
      <c r="J408" s="11"/>
      <c r="K408" s="11"/>
      <c r="L408" s="11"/>
      <c r="M408" s="11"/>
    </row>
    <row r="409" spans="1:13" ht="12" x14ac:dyDescent="0.25">
      <c r="A409" s="840"/>
      <c r="B409" s="3" t="s">
        <v>125</v>
      </c>
      <c r="C409" s="205"/>
      <c r="D409" s="139"/>
      <c r="E409" s="1330"/>
      <c r="F409" s="125"/>
      <c r="G409" s="874"/>
      <c r="H409" s="11"/>
      <c r="I409" s="11"/>
      <c r="J409" s="11"/>
      <c r="K409" s="11"/>
      <c r="L409" s="11"/>
      <c r="M409" s="11"/>
    </row>
    <row r="410" spans="1:13" ht="12" x14ac:dyDescent="0.25">
      <c r="A410" s="840"/>
      <c r="B410" s="56" t="s">
        <v>117</v>
      </c>
      <c r="C410" s="140">
        <v>256000</v>
      </c>
      <c r="D410" s="140">
        <v>88900</v>
      </c>
      <c r="E410" s="1331">
        <f>88900+15527</f>
        <v>104427</v>
      </c>
      <c r="F410" s="149">
        <f>SUM(E410/D410)</f>
        <v>1.1746569178852644</v>
      </c>
      <c r="G410" s="843" t="s">
        <v>1043</v>
      </c>
      <c r="H410" s="11"/>
      <c r="I410" s="11"/>
      <c r="J410" s="11"/>
      <c r="K410" s="11"/>
      <c r="L410" s="11"/>
      <c r="M410" s="11"/>
    </row>
    <row r="411" spans="1:13" ht="12" x14ac:dyDescent="0.25">
      <c r="A411" s="840"/>
      <c r="B411" s="135" t="s">
        <v>49</v>
      </c>
      <c r="C411" s="140"/>
      <c r="D411" s="140"/>
      <c r="E411" s="1331"/>
      <c r="F411" s="149"/>
      <c r="G411" s="843"/>
      <c r="H411" s="11"/>
      <c r="I411" s="11"/>
      <c r="J411" s="11"/>
      <c r="K411" s="11"/>
      <c r="L411" s="11"/>
      <c r="M411" s="11"/>
    </row>
    <row r="412" spans="1:13" ht="12" x14ac:dyDescent="0.25">
      <c r="A412" s="840"/>
      <c r="B412" s="135" t="s">
        <v>122</v>
      </c>
      <c r="C412" s="140"/>
      <c r="D412" s="140"/>
      <c r="E412" s="1331"/>
      <c r="F412" s="149"/>
      <c r="G412" s="843"/>
      <c r="H412" s="11"/>
      <c r="I412" s="11"/>
      <c r="J412" s="11"/>
      <c r="K412" s="11"/>
      <c r="L412" s="11"/>
      <c r="M412" s="11"/>
    </row>
    <row r="413" spans="1:13" ht="12" x14ac:dyDescent="0.25">
      <c r="A413" s="840"/>
      <c r="B413" s="3" t="s">
        <v>97</v>
      </c>
      <c r="C413" s="140"/>
      <c r="D413" s="140"/>
      <c r="E413" s="1331"/>
      <c r="F413" s="149"/>
      <c r="G413" s="843" t="s">
        <v>1059</v>
      </c>
      <c r="H413" s="11"/>
      <c r="I413" s="11"/>
      <c r="J413" s="11"/>
      <c r="K413" s="11"/>
      <c r="L413" s="11"/>
      <c r="M413" s="11"/>
    </row>
    <row r="414" spans="1:13" ht="12" x14ac:dyDescent="0.25">
      <c r="A414" s="840"/>
      <c r="B414" s="133" t="s">
        <v>185</v>
      </c>
      <c r="C414" s="140"/>
      <c r="D414" s="140"/>
      <c r="E414" s="1331"/>
      <c r="F414" s="149"/>
      <c r="G414" s="865"/>
      <c r="H414" s="11"/>
      <c r="I414" s="11"/>
      <c r="J414" s="11"/>
      <c r="K414" s="11"/>
      <c r="L414" s="11"/>
      <c r="M414" s="11"/>
    </row>
    <row r="415" spans="1:13" ht="12.6" thickBot="1" x14ac:dyDescent="0.3">
      <c r="A415" s="840"/>
      <c r="B415" s="159" t="s">
        <v>112</v>
      </c>
      <c r="C415" s="144"/>
      <c r="D415" s="144"/>
      <c r="E415" s="1340"/>
      <c r="F415" s="189"/>
      <c r="G415" s="903"/>
      <c r="H415" s="11"/>
      <c r="I415" s="11"/>
      <c r="J415" s="11"/>
      <c r="K415" s="11"/>
      <c r="L415" s="11"/>
      <c r="M415" s="11"/>
    </row>
    <row r="416" spans="1:13" ht="12.6" thickBot="1" x14ac:dyDescent="0.3">
      <c r="A416" s="825"/>
      <c r="B416" s="137" t="s">
        <v>57</v>
      </c>
      <c r="C416" s="171">
        <f t="shared" ref="C416:D416" si="58">SUM(C410:C415)</f>
        <v>256000</v>
      </c>
      <c r="D416" s="171">
        <f t="shared" si="58"/>
        <v>88900</v>
      </c>
      <c r="E416" s="1335">
        <f t="shared" ref="E416" si="59">SUM(E410:E415)</f>
        <v>104427</v>
      </c>
      <c r="F416" s="174">
        <f>SUM(E416/D416)</f>
        <v>1.1746569178852644</v>
      </c>
      <c r="G416" s="884"/>
      <c r="H416" s="11"/>
      <c r="I416" s="11"/>
      <c r="J416" s="11"/>
      <c r="K416" s="11"/>
      <c r="L416" s="11"/>
      <c r="M416" s="11"/>
    </row>
    <row r="417" spans="1:13" ht="12" hidden="1" x14ac:dyDescent="0.25">
      <c r="A417" s="825"/>
      <c r="B417" s="162" t="s">
        <v>233</v>
      </c>
      <c r="C417" s="172"/>
      <c r="D417" s="172"/>
      <c r="E417" s="1352"/>
      <c r="F417" s="149"/>
      <c r="G417" s="904"/>
      <c r="H417" s="11"/>
      <c r="I417" s="11"/>
      <c r="J417" s="11"/>
      <c r="K417" s="11"/>
      <c r="L417" s="11"/>
      <c r="M417" s="11"/>
    </row>
    <row r="418" spans="1:13" ht="12" hidden="1" x14ac:dyDescent="0.25">
      <c r="A418" s="840"/>
      <c r="B418" s="164" t="s">
        <v>234</v>
      </c>
      <c r="C418" s="172"/>
      <c r="D418" s="172"/>
      <c r="E418" s="1352"/>
      <c r="F418" s="149"/>
      <c r="G418" s="886"/>
      <c r="H418" s="11"/>
      <c r="I418" s="11"/>
      <c r="J418" s="11"/>
      <c r="K418" s="11"/>
      <c r="L418" s="11"/>
      <c r="M418" s="11"/>
    </row>
    <row r="419" spans="1:13" ht="12" hidden="1" x14ac:dyDescent="0.25">
      <c r="A419" s="840"/>
      <c r="B419" s="164" t="s">
        <v>235</v>
      </c>
      <c r="C419" s="172"/>
      <c r="D419" s="172"/>
      <c r="E419" s="1352"/>
      <c r="F419" s="149"/>
      <c r="G419" s="886"/>
      <c r="H419" s="11"/>
      <c r="I419" s="11"/>
      <c r="J419" s="11"/>
      <c r="K419" s="11"/>
      <c r="L419" s="11"/>
      <c r="M419" s="11"/>
    </row>
    <row r="420" spans="1:13" ht="12" hidden="1" x14ac:dyDescent="0.25">
      <c r="A420" s="840"/>
      <c r="B420" s="164" t="s">
        <v>236</v>
      </c>
      <c r="C420" s="172"/>
      <c r="D420" s="172"/>
      <c r="E420" s="1352"/>
      <c r="F420" s="149"/>
      <c r="G420" s="886"/>
      <c r="H420" s="11"/>
      <c r="I420" s="11"/>
      <c r="J420" s="11"/>
      <c r="K420" s="11"/>
      <c r="L420" s="11"/>
      <c r="M420" s="11"/>
    </row>
    <row r="421" spans="1:13" ht="12" hidden="1" x14ac:dyDescent="0.25">
      <c r="A421" s="840"/>
      <c r="B421" s="164" t="s">
        <v>237</v>
      </c>
      <c r="C421" s="172"/>
      <c r="D421" s="172"/>
      <c r="E421" s="1352"/>
      <c r="F421" s="149"/>
      <c r="G421" s="886"/>
      <c r="H421" s="11"/>
      <c r="I421" s="11"/>
      <c r="J421" s="11"/>
      <c r="K421" s="11"/>
      <c r="L421" s="11"/>
      <c r="M421" s="11"/>
    </row>
    <row r="422" spans="1:13" ht="12" hidden="1" x14ac:dyDescent="0.25">
      <c r="A422" s="840"/>
      <c r="B422" s="164" t="s">
        <v>278</v>
      </c>
      <c r="C422" s="172"/>
      <c r="D422" s="172"/>
      <c r="E422" s="1352"/>
      <c r="F422" s="149"/>
      <c r="G422" s="886"/>
      <c r="H422" s="11"/>
      <c r="I422" s="11"/>
      <c r="J422" s="11"/>
      <c r="K422" s="11"/>
      <c r="L422" s="11"/>
      <c r="M422" s="11"/>
    </row>
    <row r="423" spans="1:13" ht="12.6" hidden="1" thickBot="1" x14ac:dyDescent="0.3">
      <c r="A423" s="883"/>
      <c r="B423" s="164" t="s">
        <v>248</v>
      </c>
      <c r="C423" s="172"/>
      <c r="D423" s="172"/>
      <c r="E423" s="1352"/>
      <c r="F423" s="149"/>
      <c r="G423" s="886"/>
      <c r="H423" s="11"/>
      <c r="I423" s="11"/>
      <c r="J423" s="11"/>
      <c r="K423" s="11"/>
      <c r="L423" s="11"/>
      <c r="M423" s="11"/>
    </row>
    <row r="424" spans="1:13" ht="11.25" customHeight="1" thickBot="1" x14ac:dyDescent="0.3">
      <c r="A424" s="740">
        <v>3220</v>
      </c>
      <c r="B424" s="57" t="s">
        <v>140</v>
      </c>
      <c r="C424" s="150">
        <f>SUM(C444+C434+C454+C464+C474)+C484+C494</f>
        <v>100140</v>
      </c>
      <c r="D424" s="150">
        <f>SUM(D444+D434+D454+D464+D474)+D484+D494</f>
        <v>100140</v>
      </c>
      <c r="E424" s="1306">
        <f>SUM(E444+E434+E454+E464+E474)+E484+E494</f>
        <v>110421</v>
      </c>
      <c r="F424" s="174">
        <f>SUM(E424/D424)</f>
        <v>1.1026662672258838</v>
      </c>
      <c r="G424" s="203"/>
      <c r="H424" s="11"/>
      <c r="I424" s="11"/>
      <c r="J424" s="11"/>
      <c r="K424" s="11"/>
      <c r="L424" s="11"/>
      <c r="M424" s="11"/>
    </row>
    <row r="425" spans="1:13" ht="12" customHeight="1" x14ac:dyDescent="0.25">
      <c r="A425" s="740">
        <v>3221</v>
      </c>
      <c r="B425" s="60" t="s">
        <v>282</v>
      </c>
      <c r="C425" s="54"/>
      <c r="D425" s="54"/>
      <c r="E425" s="1303"/>
      <c r="F425" s="149"/>
      <c r="G425" s="878"/>
      <c r="H425" s="11"/>
      <c r="I425" s="11"/>
      <c r="J425" s="11"/>
      <c r="K425" s="11"/>
      <c r="L425" s="11"/>
      <c r="M425" s="11"/>
    </row>
    <row r="426" spans="1:13" ht="12" x14ac:dyDescent="0.25">
      <c r="A426" s="740"/>
      <c r="B426" s="21" t="s">
        <v>45</v>
      </c>
      <c r="C426" s="140">
        <v>2076</v>
      </c>
      <c r="D426" s="140">
        <v>2076</v>
      </c>
      <c r="E426" s="1331">
        <v>2076</v>
      </c>
      <c r="F426" s="125"/>
      <c r="G426" s="869"/>
      <c r="H426" s="11"/>
      <c r="I426" s="11"/>
      <c r="J426" s="11"/>
      <c r="K426" s="11"/>
      <c r="L426" s="11"/>
      <c r="M426" s="11"/>
    </row>
    <row r="427" spans="1:13" ht="12" x14ac:dyDescent="0.25">
      <c r="A427" s="740"/>
      <c r="B427" s="3" t="s">
        <v>125</v>
      </c>
      <c r="C427" s="140">
        <v>270</v>
      </c>
      <c r="D427" s="140">
        <v>270</v>
      </c>
      <c r="E427" s="1331">
        <v>270</v>
      </c>
      <c r="F427" s="125"/>
      <c r="G427" s="862"/>
      <c r="H427" s="11"/>
      <c r="I427" s="11"/>
      <c r="J427" s="11"/>
      <c r="K427" s="11"/>
      <c r="L427" s="11"/>
      <c r="M427" s="11"/>
    </row>
    <row r="428" spans="1:13" ht="12" x14ac:dyDescent="0.25">
      <c r="A428" s="740"/>
      <c r="B428" s="56" t="s">
        <v>117</v>
      </c>
      <c r="C428" s="140">
        <v>578</v>
      </c>
      <c r="D428" s="140">
        <v>578</v>
      </c>
      <c r="E428" s="1331">
        <v>578</v>
      </c>
      <c r="F428" s="125"/>
      <c r="G428" s="877"/>
      <c r="H428" s="11"/>
      <c r="I428" s="11"/>
      <c r="J428" s="11"/>
      <c r="K428" s="11"/>
      <c r="L428" s="11"/>
      <c r="M428" s="11"/>
    </row>
    <row r="429" spans="1:13" ht="12" x14ac:dyDescent="0.25">
      <c r="A429" s="740"/>
      <c r="B429" s="135" t="s">
        <v>49</v>
      </c>
      <c r="C429" s="201"/>
      <c r="D429" s="201"/>
      <c r="E429" s="1355"/>
      <c r="F429" s="125"/>
      <c r="G429" s="877"/>
      <c r="H429" s="11"/>
      <c r="I429" s="11"/>
      <c r="J429" s="11"/>
      <c r="K429" s="11"/>
      <c r="L429" s="11"/>
      <c r="M429" s="11"/>
    </row>
    <row r="430" spans="1:13" ht="12" x14ac:dyDescent="0.25">
      <c r="A430" s="740"/>
      <c r="B430" s="135" t="s">
        <v>122</v>
      </c>
      <c r="C430" s="201"/>
      <c r="D430" s="201"/>
      <c r="E430" s="1355"/>
      <c r="F430" s="125"/>
      <c r="G430" s="877"/>
      <c r="H430" s="11"/>
      <c r="I430" s="11"/>
      <c r="J430" s="11"/>
      <c r="K430" s="11"/>
      <c r="L430" s="11"/>
      <c r="M430" s="11"/>
    </row>
    <row r="431" spans="1:13" ht="12" x14ac:dyDescent="0.25">
      <c r="A431" s="740"/>
      <c r="B431" s="3" t="s">
        <v>97</v>
      </c>
      <c r="C431" s="152"/>
      <c r="D431" s="152"/>
      <c r="E431" s="1342"/>
      <c r="F431" s="125"/>
      <c r="G431" s="877"/>
      <c r="H431" s="11"/>
      <c r="I431" s="11"/>
      <c r="J431" s="11"/>
      <c r="K431" s="11"/>
      <c r="L431" s="11"/>
      <c r="M431" s="11"/>
    </row>
    <row r="432" spans="1:13" ht="12" x14ac:dyDescent="0.25">
      <c r="A432" s="740"/>
      <c r="B432" s="133" t="s">
        <v>185</v>
      </c>
      <c r="C432" s="54"/>
      <c r="D432" s="54"/>
      <c r="E432" s="1303"/>
      <c r="F432" s="125"/>
      <c r="G432" s="744"/>
      <c r="H432" s="11"/>
      <c r="I432" s="11"/>
      <c r="J432" s="11"/>
      <c r="K432" s="11"/>
      <c r="L432" s="11"/>
      <c r="M432" s="11"/>
    </row>
    <row r="433" spans="1:13" ht="12.6" thickBot="1" x14ac:dyDescent="0.3">
      <c r="A433" s="740"/>
      <c r="B433" s="159" t="s">
        <v>112</v>
      </c>
      <c r="C433" s="111"/>
      <c r="D433" s="111"/>
      <c r="E433" s="1348"/>
      <c r="F433" s="185"/>
      <c r="G433" s="893"/>
      <c r="H433" s="11"/>
      <c r="I433" s="11"/>
      <c r="J433" s="11"/>
      <c r="K433" s="11"/>
      <c r="L433" s="11"/>
      <c r="M433" s="11"/>
    </row>
    <row r="434" spans="1:13" ht="12.6" thickBot="1" x14ac:dyDescent="0.3">
      <c r="A434" s="868"/>
      <c r="B434" s="137" t="s">
        <v>57</v>
      </c>
      <c r="C434" s="150">
        <f>SUM(C426:C433)</f>
        <v>2924</v>
      </c>
      <c r="D434" s="150">
        <f>SUM(D426:D433)</f>
        <v>2924</v>
      </c>
      <c r="E434" s="1306">
        <f>SUM(E426:E433)</f>
        <v>2924</v>
      </c>
      <c r="F434" s="174"/>
      <c r="G434" s="203"/>
      <c r="H434" s="11"/>
      <c r="I434" s="11"/>
      <c r="J434" s="11"/>
      <c r="K434" s="11"/>
      <c r="L434" s="11"/>
      <c r="M434" s="11"/>
    </row>
    <row r="435" spans="1:13" ht="12" x14ac:dyDescent="0.25">
      <c r="A435" s="740">
        <v>3223</v>
      </c>
      <c r="B435" s="61" t="s">
        <v>25</v>
      </c>
      <c r="C435" s="54"/>
      <c r="D435" s="54"/>
      <c r="E435" s="1303"/>
      <c r="F435" s="125"/>
      <c r="G435" s="869"/>
      <c r="H435" s="11"/>
      <c r="I435" s="11"/>
      <c r="J435" s="11"/>
      <c r="K435" s="11"/>
      <c r="L435" s="11"/>
      <c r="M435" s="11"/>
    </row>
    <row r="436" spans="1:13" ht="12" x14ac:dyDescent="0.25">
      <c r="A436" s="740"/>
      <c r="B436" s="21" t="s">
        <v>45</v>
      </c>
      <c r="C436" s="140">
        <v>1270</v>
      </c>
      <c r="D436" s="140">
        <v>1270</v>
      </c>
      <c r="E436" s="1331">
        <v>1270</v>
      </c>
      <c r="F436" s="149"/>
      <c r="G436" s="869"/>
      <c r="H436" s="11"/>
      <c r="I436" s="11"/>
      <c r="J436" s="11"/>
      <c r="K436" s="11"/>
      <c r="L436" s="11"/>
      <c r="M436" s="11"/>
    </row>
    <row r="437" spans="1:13" ht="12" x14ac:dyDescent="0.25">
      <c r="A437" s="740"/>
      <c r="B437" s="3" t="s">
        <v>125</v>
      </c>
      <c r="C437" s="140">
        <v>440</v>
      </c>
      <c r="D437" s="140">
        <v>440</v>
      </c>
      <c r="E437" s="1331">
        <f>440+102</f>
        <v>542</v>
      </c>
      <c r="F437" s="149"/>
      <c r="G437" s="862"/>
      <c r="H437" s="11"/>
      <c r="I437" s="11"/>
      <c r="J437" s="11"/>
      <c r="K437" s="11"/>
      <c r="L437" s="11"/>
      <c r="M437" s="11"/>
    </row>
    <row r="438" spans="1:13" ht="12" x14ac:dyDescent="0.25">
      <c r="A438" s="740"/>
      <c r="B438" s="56" t="s">
        <v>117</v>
      </c>
      <c r="C438" s="140">
        <v>18290</v>
      </c>
      <c r="D438" s="140">
        <v>18290</v>
      </c>
      <c r="E438" s="1331">
        <f>18290+1367</f>
        <v>19657</v>
      </c>
      <c r="F438" s="149">
        <f>SUM(E438/D438)</f>
        <v>1.0747402952433023</v>
      </c>
      <c r="G438" s="877"/>
      <c r="H438" s="11"/>
      <c r="I438" s="11"/>
      <c r="J438" s="11"/>
      <c r="K438" s="11"/>
      <c r="L438" s="11"/>
      <c r="M438" s="11"/>
    </row>
    <row r="439" spans="1:13" ht="12" x14ac:dyDescent="0.25">
      <c r="A439" s="740"/>
      <c r="B439" s="135" t="s">
        <v>49</v>
      </c>
      <c r="C439" s="140"/>
      <c r="D439" s="140"/>
      <c r="E439" s="1331"/>
      <c r="F439" s="149"/>
      <c r="G439" s="877"/>
      <c r="H439" s="11"/>
      <c r="I439" s="11"/>
      <c r="J439" s="11"/>
      <c r="K439" s="11"/>
      <c r="L439" s="11"/>
      <c r="M439" s="11"/>
    </row>
    <row r="440" spans="1:13" ht="12" x14ac:dyDescent="0.25">
      <c r="A440" s="740"/>
      <c r="B440" s="135" t="s">
        <v>122</v>
      </c>
      <c r="C440" s="152"/>
      <c r="D440" s="152"/>
      <c r="E440" s="1342"/>
      <c r="F440" s="149"/>
      <c r="G440" s="744"/>
      <c r="H440" s="11"/>
      <c r="I440" s="11"/>
      <c r="J440" s="11"/>
      <c r="K440" s="11"/>
      <c r="L440" s="11"/>
      <c r="M440" s="11"/>
    </row>
    <row r="441" spans="1:13" ht="12" x14ac:dyDescent="0.25">
      <c r="A441" s="740"/>
      <c r="B441" s="3" t="s">
        <v>97</v>
      </c>
      <c r="C441" s="152"/>
      <c r="D441" s="152"/>
      <c r="E441" s="1342"/>
      <c r="F441" s="149"/>
      <c r="G441" s="893"/>
      <c r="H441" s="11"/>
      <c r="I441" s="11"/>
      <c r="J441" s="11"/>
      <c r="K441" s="11"/>
      <c r="L441" s="11"/>
      <c r="M441" s="11"/>
    </row>
    <row r="442" spans="1:13" ht="12" x14ac:dyDescent="0.25">
      <c r="A442" s="740"/>
      <c r="B442" s="133" t="s">
        <v>185</v>
      </c>
      <c r="C442" s="152"/>
      <c r="D442" s="152"/>
      <c r="E442" s="1342"/>
      <c r="F442" s="149"/>
      <c r="G442" s="893"/>
      <c r="H442" s="11"/>
      <c r="I442" s="11"/>
      <c r="J442" s="11"/>
      <c r="K442" s="11"/>
      <c r="L442" s="11"/>
      <c r="M442" s="11"/>
    </row>
    <row r="443" spans="1:13" ht="12.6" thickBot="1" x14ac:dyDescent="0.3">
      <c r="A443" s="740"/>
      <c r="B443" s="159" t="s">
        <v>112</v>
      </c>
      <c r="C443" s="157"/>
      <c r="D443" s="157"/>
      <c r="E443" s="1345"/>
      <c r="F443" s="190"/>
      <c r="G443" s="905"/>
      <c r="H443" s="11"/>
      <c r="I443" s="11"/>
      <c r="J443" s="11"/>
      <c r="K443" s="11"/>
      <c r="L443" s="11"/>
      <c r="M443" s="11"/>
    </row>
    <row r="444" spans="1:13" ht="12.6" thickBot="1" x14ac:dyDescent="0.3">
      <c r="A444" s="868"/>
      <c r="B444" s="137" t="s">
        <v>57</v>
      </c>
      <c r="C444" s="150">
        <f t="shared" ref="C444" si="60">SUM(C436:C443)</f>
        <v>20000</v>
      </c>
      <c r="D444" s="150">
        <f t="shared" ref="D444:E444" si="61">SUM(D436:D443)</f>
        <v>20000</v>
      </c>
      <c r="E444" s="1306">
        <f t="shared" si="61"/>
        <v>21469</v>
      </c>
      <c r="F444" s="174">
        <f>SUM(E444/D444)</f>
        <v>1.07345</v>
      </c>
      <c r="G444" s="203"/>
      <c r="H444" s="11"/>
      <c r="I444" s="11"/>
      <c r="J444" s="11"/>
      <c r="K444" s="11"/>
      <c r="L444" s="11"/>
      <c r="M444" s="11"/>
    </row>
    <row r="445" spans="1:13" ht="12" x14ac:dyDescent="0.25">
      <c r="A445" s="740">
        <v>3227</v>
      </c>
      <c r="B445" s="60" t="s">
        <v>264</v>
      </c>
      <c r="C445" s="54"/>
      <c r="D445" s="54"/>
      <c r="E445" s="1303"/>
      <c r="F445" s="125"/>
      <c r="G445" s="878"/>
      <c r="H445" s="11"/>
      <c r="I445" s="11"/>
      <c r="J445" s="11"/>
      <c r="K445" s="11"/>
      <c r="L445" s="11"/>
      <c r="M445" s="11"/>
    </row>
    <row r="446" spans="1:13" ht="12" x14ac:dyDescent="0.25">
      <c r="A446" s="740"/>
      <c r="B446" s="21" t="s">
        <v>45</v>
      </c>
      <c r="C446" s="140">
        <v>7522</v>
      </c>
      <c r="D446" s="140">
        <v>7522</v>
      </c>
      <c r="E446" s="1331">
        <f>7522+1248</f>
        <v>8770</v>
      </c>
      <c r="F446" s="149"/>
      <c r="G446" s="869"/>
      <c r="H446" s="11"/>
      <c r="I446" s="11"/>
      <c r="J446" s="11"/>
      <c r="K446" s="11"/>
      <c r="L446" s="11"/>
      <c r="M446" s="11"/>
    </row>
    <row r="447" spans="1:13" ht="12" x14ac:dyDescent="0.25">
      <c r="A447" s="740"/>
      <c r="B447" s="3" t="s">
        <v>125</v>
      </c>
      <c r="C447" s="140">
        <v>978</v>
      </c>
      <c r="D447" s="140">
        <v>978</v>
      </c>
      <c r="E447" s="1331">
        <f>978+119</f>
        <v>1097</v>
      </c>
      <c r="F447" s="149"/>
      <c r="G447" s="862"/>
      <c r="H447" s="11"/>
      <c r="I447" s="11"/>
      <c r="J447" s="11"/>
      <c r="K447" s="11"/>
      <c r="L447" s="11"/>
      <c r="M447" s="11"/>
    </row>
    <row r="448" spans="1:13" ht="12" x14ac:dyDescent="0.25">
      <c r="A448" s="740"/>
      <c r="B448" s="56" t="s">
        <v>117</v>
      </c>
      <c r="C448" s="140">
        <v>7700</v>
      </c>
      <c r="D448" s="140">
        <v>7700</v>
      </c>
      <c r="E448" s="1331">
        <v>7700</v>
      </c>
      <c r="F448" s="149"/>
      <c r="G448" s="877"/>
      <c r="H448" s="11"/>
      <c r="I448" s="11"/>
      <c r="J448" s="11"/>
      <c r="K448" s="11"/>
      <c r="L448" s="11"/>
      <c r="M448" s="11"/>
    </row>
    <row r="449" spans="1:13" ht="12" x14ac:dyDescent="0.25">
      <c r="A449" s="740"/>
      <c r="B449" s="135" t="s">
        <v>49</v>
      </c>
      <c r="C449" s="140"/>
      <c r="D449" s="140"/>
      <c r="E449" s="1331"/>
      <c r="F449" s="149"/>
      <c r="G449" s="877"/>
      <c r="H449" s="11"/>
      <c r="I449" s="11"/>
      <c r="J449" s="11"/>
      <c r="K449" s="11"/>
      <c r="L449" s="11"/>
      <c r="M449" s="11"/>
    </row>
    <row r="450" spans="1:13" ht="12" x14ac:dyDescent="0.25">
      <c r="A450" s="740"/>
      <c r="B450" s="135" t="s">
        <v>122</v>
      </c>
      <c r="C450" s="152"/>
      <c r="D450" s="152"/>
      <c r="E450" s="1342"/>
      <c r="F450" s="149"/>
      <c r="G450" s="744"/>
      <c r="H450" s="11"/>
      <c r="I450" s="11"/>
      <c r="J450" s="11"/>
      <c r="K450" s="11"/>
      <c r="L450" s="11"/>
      <c r="M450" s="11"/>
    </row>
    <row r="451" spans="1:13" ht="12" x14ac:dyDescent="0.25">
      <c r="A451" s="740"/>
      <c r="B451" s="3" t="s">
        <v>97</v>
      </c>
      <c r="C451" s="152"/>
      <c r="D451" s="152"/>
      <c r="E451" s="1342">
        <f>3462</f>
        <v>3462</v>
      </c>
      <c r="F451" s="149"/>
      <c r="G451" s="893"/>
      <c r="H451" s="11"/>
      <c r="I451" s="11"/>
      <c r="J451" s="11"/>
      <c r="K451" s="11"/>
      <c r="L451" s="11"/>
      <c r="M451" s="11"/>
    </row>
    <row r="452" spans="1:13" ht="12" x14ac:dyDescent="0.25">
      <c r="A452" s="740"/>
      <c r="B452" s="133" t="s">
        <v>185</v>
      </c>
      <c r="C452" s="152"/>
      <c r="D452" s="152"/>
      <c r="E452" s="1342"/>
      <c r="F452" s="149"/>
      <c r="G452" s="893"/>
      <c r="H452" s="11"/>
      <c r="I452" s="11"/>
      <c r="J452" s="11"/>
      <c r="K452" s="11"/>
      <c r="L452" s="11"/>
      <c r="M452" s="11"/>
    </row>
    <row r="453" spans="1:13" ht="12.6" thickBot="1" x14ac:dyDescent="0.3">
      <c r="A453" s="740"/>
      <c r="B453" s="159" t="s">
        <v>112</v>
      </c>
      <c r="C453" s="157"/>
      <c r="D453" s="157"/>
      <c r="E453" s="1345"/>
      <c r="F453" s="149"/>
      <c r="G453" s="893"/>
      <c r="H453" s="11"/>
      <c r="I453" s="11"/>
      <c r="J453" s="11"/>
      <c r="K453" s="11"/>
      <c r="L453" s="11"/>
      <c r="M453" s="11"/>
    </row>
    <row r="454" spans="1:13" ht="12.6" thickBot="1" x14ac:dyDescent="0.3">
      <c r="A454" s="868"/>
      <c r="B454" s="137" t="s">
        <v>57</v>
      </c>
      <c r="C454" s="150">
        <f>SUM(C446:C453)</f>
        <v>16200</v>
      </c>
      <c r="D454" s="150">
        <f>SUM(D446:D453)</f>
        <v>16200</v>
      </c>
      <c r="E454" s="1306">
        <f>SUM(E446:E453)</f>
        <v>21029</v>
      </c>
      <c r="F454" s="174"/>
      <c r="G454" s="203"/>
      <c r="H454" s="11"/>
      <c r="I454" s="11"/>
      <c r="J454" s="11"/>
      <c r="K454" s="11"/>
      <c r="L454" s="11"/>
      <c r="M454" s="11"/>
    </row>
    <row r="455" spans="1:13" ht="12" x14ac:dyDescent="0.25">
      <c r="A455" s="740">
        <v>3228</v>
      </c>
      <c r="B455" s="60" t="s">
        <v>274</v>
      </c>
      <c r="C455" s="54"/>
      <c r="D455" s="54"/>
      <c r="E455" s="1303"/>
      <c r="F455" s="125"/>
      <c r="G455" s="878"/>
      <c r="H455" s="11"/>
      <c r="I455" s="11"/>
      <c r="J455" s="11"/>
      <c r="K455" s="11"/>
      <c r="L455" s="11"/>
      <c r="M455" s="11"/>
    </row>
    <row r="456" spans="1:13" ht="12" x14ac:dyDescent="0.25">
      <c r="A456" s="740"/>
      <c r="B456" s="21" t="s">
        <v>45</v>
      </c>
      <c r="C456" s="201"/>
      <c r="D456" s="201"/>
      <c r="E456" s="1355"/>
      <c r="F456" s="149"/>
      <c r="G456" s="869"/>
      <c r="H456" s="11"/>
      <c r="I456" s="11"/>
      <c r="J456" s="11"/>
      <c r="K456" s="11"/>
      <c r="L456" s="11"/>
      <c r="M456" s="11"/>
    </row>
    <row r="457" spans="1:13" ht="12" x14ac:dyDescent="0.25">
      <c r="A457" s="740"/>
      <c r="B457" s="3" t="s">
        <v>125</v>
      </c>
      <c r="C457" s="201"/>
      <c r="D457" s="201"/>
      <c r="E457" s="1355"/>
      <c r="F457" s="149"/>
      <c r="G457" s="862"/>
      <c r="H457" s="11"/>
      <c r="I457" s="11"/>
      <c r="J457" s="11"/>
      <c r="K457" s="11"/>
      <c r="L457" s="11"/>
      <c r="M457" s="11"/>
    </row>
    <row r="458" spans="1:13" ht="12" x14ac:dyDescent="0.25">
      <c r="A458" s="740"/>
      <c r="B458" s="56" t="s">
        <v>117</v>
      </c>
      <c r="C458" s="140">
        <v>1016</v>
      </c>
      <c r="D458" s="140">
        <v>1016</v>
      </c>
      <c r="E458" s="1331">
        <v>1016</v>
      </c>
      <c r="F458" s="149"/>
      <c r="G458" s="877"/>
      <c r="H458" s="11"/>
      <c r="I458" s="11"/>
      <c r="J458" s="11"/>
      <c r="K458" s="11"/>
      <c r="L458" s="11"/>
      <c r="M458" s="11"/>
    </row>
    <row r="459" spans="1:13" ht="12" x14ac:dyDescent="0.25">
      <c r="A459" s="740"/>
      <c r="B459" s="135" t="s">
        <v>49</v>
      </c>
      <c r="C459" s="140"/>
      <c r="D459" s="140"/>
      <c r="E459" s="1331"/>
      <c r="F459" s="149"/>
      <c r="G459" s="877"/>
      <c r="H459" s="11"/>
      <c r="I459" s="11"/>
      <c r="J459" s="11"/>
      <c r="K459" s="11"/>
      <c r="L459" s="11"/>
      <c r="M459" s="11"/>
    </row>
    <row r="460" spans="1:13" ht="12" x14ac:dyDescent="0.25">
      <c r="A460" s="740"/>
      <c r="B460" s="135" t="s">
        <v>122</v>
      </c>
      <c r="C460" s="140"/>
      <c r="D460" s="140"/>
      <c r="E460" s="1331"/>
      <c r="F460" s="149"/>
      <c r="G460" s="744"/>
      <c r="H460" s="11"/>
      <c r="I460" s="11"/>
      <c r="J460" s="11"/>
      <c r="K460" s="11"/>
      <c r="L460" s="11"/>
      <c r="M460" s="11"/>
    </row>
    <row r="461" spans="1:13" ht="12" x14ac:dyDescent="0.25">
      <c r="A461" s="740"/>
      <c r="B461" s="3" t="s">
        <v>97</v>
      </c>
      <c r="C461" s="140"/>
      <c r="D461" s="140"/>
      <c r="E461" s="1331"/>
      <c r="F461" s="149"/>
      <c r="G461" s="893"/>
      <c r="H461" s="11"/>
      <c r="I461" s="11"/>
      <c r="J461" s="11"/>
      <c r="K461" s="11"/>
      <c r="L461" s="11"/>
      <c r="M461" s="11"/>
    </row>
    <row r="462" spans="1:13" ht="12" x14ac:dyDescent="0.25">
      <c r="A462" s="740"/>
      <c r="B462" s="133" t="s">
        <v>185</v>
      </c>
      <c r="C462" s="152"/>
      <c r="D462" s="152"/>
      <c r="E462" s="1342"/>
      <c r="F462" s="149"/>
      <c r="G462" s="893"/>
      <c r="H462" s="11"/>
      <c r="I462" s="11"/>
      <c r="J462" s="11"/>
      <c r="K462" s="11"/>
      <c r="L462" s="11"/>
      <c r="M462" s="11"/>
    </row>
    <row r="463" spans="1:13" ht="12.6" thickBot="1" x14ac:dyDescent="0.3">
      <c r="A463" s="740"/>
      <c r="B463" s="159" t="s">
        <v>112</v>
      </c>
      <c r="C463" s="111"/>
      <c r="D463" s="111"/>
      <c r="E463" s="1348"/>
      <c r="F463" s="548"/>
      <c r="G463" s="906"/>
      <c r="H463" s="11"/>
      <c r="I463" s="11"/>
      <c r="J463" s="11"/>
      <c r="K463" s="11"/>
      <c r="L463" s="11"/>
      <c r="M463" s="11"/>
    </row>
    <row r="464" spans="1:13" ht="12.6" thickBot="1" x14ac:dyDescent="0.3">
      <c r="A464" s="800"/>
      <c r="B464" s="202" t="s">
        <v>57</v>
      </c>
      <c r="C464" s="150">
        <f t="shared" ref="C464" si="62">SUM(C456:C463)</f>
        <v>1016</v>
      </c>
      <c r="D464" s="150">
        <f t="shared" ref="D464:E464" si="63">SUM(D456:D463)</f>
        <v>1016</v>
      </c>
      <c r="E464" s="1306">
        <f t="shared" si="63"/>
        <v>1016</v>
      </c>
      <c r="F464" s="174"/>
      <c r="G464" s="203"/>
      <c r="H464" s="11"/>
      <c r="I464" s="11"/>
      <c r="J464" s="11"/>
      <c r="K464" s="11"/>
      <c r="L464" s="11"/>
      <c r="M464" s="11"/>
    </row>
    <row r="465" spans="1:13" ht="12" x14ac:dyDescent="0.25">
      <c r="A465" s="740">
        <v>3229</v>
      </c>
      <c r="B465" s="61" t="s">
        <v>283</v>
      </c>
      <c r="C465" s="54"/>
      <c r="D465" s="54"/>
      <c r="E465" s="1303"/>
      <c r="F465" s="125"/>
      <c r="G465" s="869"/>
      <c r="H465" s="11"/>
      <c r="I465" s="11"/>
      <c r="J465" s="11"/>
      <c r="K465" s="11"/>
      <c r="L465" s="11"/>
      <c r="M465" s="11"/>
    </row>
    <row r="466" spans="1:13" ht="12" x14ac:dyDescent="0.25">
      <c r="A466" s="740"/>
      <c r="B466" s="21" t="s">
        <v>45</v>
      </c>
      <c r="C466" s="201"/>
      <c r="D466" s="201"/>
      <c r="E466" s="1355"/>
      <c r="F466" s="149"/>
      <c r="G466" s="869"/>
      <c r="H466" s="11"/>
      <c r="I466" s="11"/>
      <c r="J466" s="11"/>
      <c r="K466" s="11"/>
      <c r="L466" s="11"/>
      <c r="M466" s="11"/>
    </row>
    <row r="467" spans="1:13" ht="12" x14ac:dyDescent="0.25">
      <c r="A467" s="740"/>
      <c r="B467" s="3" t="s">
        <v>125</v>
      </c>
      <c r="C467" s="201"/>
      <c r="D467" s="201"/>
      <c r="E467" s="1355"/>
      <c r="F467" s="149"/>
      <c r="G467" s="862"/>
      <c r="H467" s="11"/>
      <c r="I467" s="11"/>
      <c r="J467" s="11"/>
      <c r="K467" s="11"/>
      <c r="L467" s="11"/>
      <c r="M467" s="11"/>
    </row>
    <row r="468" spans="1:13" ht="12" x14ac:dyDescent="0.25">
      <c r="A468" s="740"/>
      <c r="B468" s="56" t="s">
        <v>117</v>
      </c>
      <c r="C468" s="140">
        <v>60000</v>
      </c>
      <c r="D468" s="140">
        <v>60000</v>
      </c>
      <c r="E468" s="1331">
        <v>60000</v>
      </c>
      <c r="F468" s="149"/>
      <c r="G468" s="877"/>
      <c r="H468" s="11"/>
      <c r="I468" s="11"/>
      <c r="J468" s="11"/>
      <c r="K468" s="11"/>
      <c r="L468" s="11"/>
      <c r="M468" s="11"/>
    </row>
    <row r="469" spans="1:13" ht="12" x14ac:dyDescent="0.25">
      <c r="A469" s="740"/>
      <c r="B469" s="135" t="s">
        <v>49</v>
      </c>
      <c r="C469" s="201"/>
      <c r="D469" s="201"/>
      <c r="E469" s="1355"/>
      <c r="F469" s="149"/>
      <c r="G469" s="877"/>
      <c r="H469" s="11"/>
      <c r="I469" s="11"/>
      <c r="J469" s="11"/>
      <c r="K469" s="11"/>
      <c r="L469" s="11"/>
      <c r="M469" s="11"/>
    </row>
    <row r="470" spans="1:13" ht="12" x14ac:dyDescent="0.25">
      <c r="A470" s="740"/>
      <c r="B470" s="135" t="s">
        <v>122</v>
      </c>
      <c r="C470" s="152"/>
      <c r="D470" s="152"/>
      <c r="E470" s="1342"/>
      <c r="F470" s="149"/>
      <c r="G470" s="744"/>
      <c r="H470" s="11"/>
      <c r="I470" s="11"/>
      <c r="J470" s="11"/>
      <c r="K470" s="11"/>
      <c r="L470" s="11"/>
      <c r="M470" s="11"/>
    </row>
    <row r="471" spans="1:13" ht="12" x14ac:dyDescent="0.25">
      <c r="A471" s="740"/>
      <c r="B471" s="3" t="s">
        <v>97</v>
      </c>
      <c r="C471" s="152"/>
      <c r="D471" s="152"/>
      <c r="E471" s="1342"/>
      <c r="F471" s="149"/>
      <c r="G471" s="893"/>
      <c r="H471" s="11"/>
      <c r="I471" s="11"/>
      <c r="J471" s="11"/>
      <c r="K471" s="11"/>
      <c r="L471" s="11"/>
      <c r="M471" s="11"/>
    </row>
    <row r="472" spans="1:13" ht="12" x14ac:dyDescent="0.25">
      <c r="A472" s="740"/>
      <c r="B472" s="133" t="s">
        <v>185</v>
      </c>
      <c r="C472" s="152"/>
      <c r="D472" s="152"/>
      <c r="E472" s="1342"/>
      <c r="F472" s="149"/>
      <c r="G472" s="893"/>
      <c r="H472" s="11"/>
      <c r="I472" s="11"/>
      <c r="J472" s="11"/>
      <c r="K472" s="11"/>
      <c r="L472" s="11"/>
      <c r="M472" s="11"/>
    </row>
    <row r="473" spans="1:13" ht="12.6" thickBot="1" x14ac:dyDescent="0.3">
      <c r="A473" s="1316"/>
      <c r="B473" s="1367" t="s">
        <v>112</v>
      </c>
      <c r="C473" s="1345"/>
      <c r="D473" s="1345"/>
      <c r="E473" s="1345"/>
      <c r="F473" s="190"/>
      <c r="G473" s="905"/>
      <c r="H473" s="11"/>
      <c r="I473" s="11"/>
      <c r="J473" s="11"/>
      <c r="K473" s="11"/>
      <c r="L473" s="11"/>
      <c r="M473" s="11"/>
    </row>
    <row r="474" spans="1:13" ht="12.6" thickBot="1" x14ac:dyDescent="0.3">
      <c r="A474" s="1368"/>
      <c r="B474" s="1369" t="s">
        <v>57</v>
      </c>
      <c r="C474" s="1306">
        <f t="shared" ref="C474" si="64">SUM(C466:C473)</f>
        <v>60000</v>
      </c>
      <c r="D474" s="1306">
        <f t="shared" ref="D474:E474" si="65">SUM(D466:D473)</f>
        <v>60000</v>
      </c>
      <c r="E474" s="1306">
        <f t="shared" si="65"/>
        <v>60000</v>
      </c>
      <c r="F474" s="174"/>
      <c r="G474" s="203"/>
      <c r="H474" s="11"/>
      <c r="I474" s="11"/>
      <c r="J474" s="11"/>
      <c r="K474" s="11"/>
      <c r="L474" s="11"/>
      <c r="M474" s="11"/>
    </row>
    <row r="475" spans="1:13" ht="12" x14ac:dyDescent="0.25">
      <c r="A475" s="1370">
        <v>3230</v>
      </c>
      <c r="B475" s="1328" t="s">
        <v>1439</v>
      </c>
      <c r="C475" s="1303"/>
      <c r="D475" s="1303"/>
      <c r="E475" s="1303"/>
      <c r="F475" s="125"/>
      <c r="G475" s="869"/>
      <c r="H475" s="11"/>
      <c r="I475" s="11"/>
      <c r="J475" s="11"/>
      <c r="K475" s="11"/>
      <c r="L475" s="11"/>
      <c r="M475" s="11"/>
    </row>
    <row r="476" spans="1:13" ht="12" x14ac:dyDescent="0.25">
      <c r="A476" s="1370"/>
      <c r="B476" s="1320" t="s">
        <v>45</v>
      </c>
      <c r="C476" s="1355"/>
      <c r="D476" s="1355"/>
      <c r="E476" s="1355"/>
      <c r="F476" s="149"/>
      <c r="G476" s="869"/>
      <c r="H476" s="11"/>
      <c r="I476" s="11"/>
      <c r="J476" s="11"/>
      <c r="K476" s="11"/>
      <c r="L476" s="11"/>
      <c r="M476" s="11"/>
    </row>
    <row r="477" spans="1:13" ht="12" x14ac:dyDescent="0.25">
      <c r="A477" s="1370"/>
      <c r="B477" s="1229" t="s">
        <v>125</v>
      </c>
      <c r="C477" s="1355"/>
      <c r="D477" s="1355"/>
      <c r="E477" s="1355"/>
      <c r="F477" s="149"/>
      <c r="G477" s="862"/>
      <c r="H477" s="11"/>
      <c r="I477" s="11"/>
      <c r="J477" s="11"/>
      <c r="K477" s="11"/>
      <c r="L477" s="11"/>
      <c r="M477" s="11"/>
    </row>
    <row r="478" spans="1:13" ht="12" x14ac:dyDescent="0.25">
      <c r="A478" s="1370"/>
      <c r="B478" s="1323" t="s">
        <v>117</v>
      </c>
      <c r="C478" s="1355"/>
      <c r="D478" s="1355"/>
      <c r="E478" s="1331">
        <v>2583</v>
      </c>
      <c r="F478" s="149"/>
      <c r="G478" s="877"/>
      <c r="H478" s="11"/>
      <c r="I478" s="11"/>
      <c r="J478" s="11"/>
      <c r="K478" s="11"/>
      <c r="L478" s="11"/>
      <c r="M478" s="11"/>
    </row>
    <row r="479" spans="1:13" ht="12" x14ac:dyDescent="0.25">
      <c r="A479" s="1370"/>
      <c r="B479" s="1371" t="s">
        <v>49</v>
      </c>
      <c r="C479" s="1355"/>
      <c r="D479" s="1355"/>
      <c r="E479" s="1330"/>
      <c r="F479" s="149"/>
      <c r="G479" s="877"/>
      <c r="H479" s="11"/>
      <c r="I479" s="11"/>
      <c r="J479" s="11"/>
      <c r="K479" s="11"/>
      <c r="L479" s="11"/>
      <c r="M479" s="11"/>
    </row>
    <row r="480" spans="1:13" ht="12" x14ac:dyDescent="0.25">
      <c r="A480" s="1370"/>
      <c r="B480" s="1371" t="s">
        <v>122</v>
      </c>
      <c r="C480" s="1355"/>
      <c r="D480" s="1355"/>
      <c r="E480" s="1330"/>
      <c r="F480" s="149"/>
      <c r="G480" s="744"/>
      <c r="H480" s="11"/>
      <c r="I480" s="11"/>
      <c r="J480" s="11"/>
      <c r="K480" s="11"/>
      <c r="L480" s="11"/>
      <c r="M480" s="11"/>
    </row>
    <row r="481" spans="1:13" ht="12" x14ac:dyDescent="0.25">
      <c r="A481" s="1370"/>
      <c r="B481" s="1229" t="s">
        <v>97</v>
      </c>
      <c r="C481" s="1355"/>
      <c r="D481" s="1355"/>
      <c r="E481" s="1330"/>
      <c r="F481" s="149"/>
      <c r="G481" s="893"/>
      <c r="H481" s="11"/>
      <c r="I481" s="11"/>
      <c r="J481" s="11"/>
      <c r="K481" s="11"/>
      <c r="L481" s="11"/>
      <c r="M481" s="11"/>
    </row>
    <row r="482" spans="1:13" ht="12" x14ac:dyDescent="0.25">
      <c r="A482" s="1370"/>
      <c r="B482" s="1372" t="s">
        <v>185</v>
      </c>
      <c r="C482" s="1355"/>
      <c r="D482" s="1355"/>
      <c r="E482" s="1330"/>
      <c r="F482" s="149"/>
      <c r="G482" s="893"/>
      <c r="H482" s="11"/>
      <c r="I482" s="11"/>
      <c r="J482" s="11"/>
      <c r="K482" s="11"/>
      <c r="L482" s="11"/>
      <c r="M482" s="11"/>
    </row>
    <row r="483" spans="1:13" ht="12.6" thickBot="1" x14ac:dyDescent="0.3">
      <c r="A483" s="1370"/>
      <c r="B483" s="1367" t="s">
        <v>112</v>
      </c>
      <c r="C483" s="1355"/>
      <c r="D483" s="1355"/>
      <c r="E483" s="1330"/>
      <c r="F483" s="190"/>
      <c r="G483" s="905"/>
      <c r="H483" s="11"/>
      <c r="I483" s="11"/>
      <c r="J483" s="11"/>
      <c r="K483" s="11"/>
      <c r="L483" s="11"/>
      <c r="M483" s="11"/>
    </row>
    <row r="484" spans="1:13" ht="12.6" thickBot="1" x14ac:dyDescent="0.3">
      <c r="A484" s="1329"/>
      <c r="B484" s="1369" t="s">
        <v>57</v>
      </c>
      <c r="C484" s="1306">
        <f>SUM(C476:C483)</f>
        <v>0</v>
      </c>
      <c r="D484" s="1306">
        <f>SUM(D476:D483)</f>
        <v>0</v>
      </c>
      <c r="E484" s="1306">
        <f>SUM(E476:E483)</f>
        <v>2583</v>
      </c>
      <c r="F484" s="174"/>
      <c r="G484" s="203"/>
      <c r="H484" s="11"/>
      <c r="I484" s="11"/>
      <c r="J484" s="11"/>
      <c r="K484" s="11"/>
      <c r="L484" s="11"/>
      <c r="M484" s="11"/>
    </row>
    <row r="485" spans="1:13" ht="12" x14ac:dyDescent="0.25">
      <c r="A485" s="1370">
        <v>3231</v>
      </c>
      <c r="B485" s="1328" t="s">
        <v>1440</v>
      </c>
      <c r="C485" s="1303"/>
      <c r="D485" s="1303"/>
      <c r="E485" s="1303"/>
      <c r="F485" s="125"/>
      <c r="G485" s="869"/>
      <c r="H485" s="11"/>
      <c r="I485" s="11"/>
      <c r="J485" s="11"/>
      <c r="K485" s="11"/>
      <c r="L485" s="11"/>
      <c r="M485" s="11"/>
    </row>
    <row r="486" spans="1:13" ht="12" x14ac:dyDescent="0.25">
      <c r="A486" s="1370"/>
      <c r="B486" s="1320" t="s">
        <v>45</v>
      </c>
      <c r="C486" s="1355"/>
      <c r="D486" s="1355"/>
      <c r="E486" s="1330"/>
      <c r="F486" s="149"/>
      <c r="G486" s="869"/>
      <c r="H486" s="11"/>
      <c r="I486" s="11"/>
      <c r="J486" s="11"/>
      <c r="K486" s="11"/>
      <c r="L486" s="11"/>
      <c r="M486" s="11"/>
    </row>
    <row r="487" spans="1:13" ht="12" x14ac:dyDescent="0.25">
      <c r="A487" s="1370"/>
      <c r="B487" s="1229" t="s">
        <v>125</v>
      </c>
      <c r="C487" s="1355"/>
      <c r="D487" s="1355"/>
      <c r="E487" s="1330"/>
      <c r="F487" s="149"/>
      <c r="G487" s="862"/>
      <c r="H487" s="11"/>
      <c r="I487" s="11"/>
      <c r="J487" s="11"/>
      <c r="K487" s="11"/>
      <c r="L487" s="11"/>
      <c r="M487" s="11"/>
    </row>
    <row r="488" spans="1:13" ht="12" x14ac:dyDescent="0.25">
      <c r="A488" s="1370"/>
      <c r="B488" s="1323" t="s">
        <v>117</v>
      </c>
      <c r="C488" s="1355"/>
      <c r="D488" s="1355"/>
      <c r="E488" s="1331">
        <v>1400</v>
      </c>
      <c r="F488" s="149"/>
      <c r="G488" s="877"/>
      <c r="H488" s="11"/>
      <c r="I488" s="11"/>
      <c r="J488" s="11"/>
      <c r="K488" s="11"/>
      <c r="L488" s="11"/>
      <c r="M488" s="11"/>
    </row>
    <row r="489" spans="1:13" ht="12" x14ac:dyDescent="0.25">
      <c r="A489" s="1370"/>
      <c r="B489" s="1371" t="s">
        <v>49</v>
      </c>
      <c r="C489" s="1355"/>
      <c r="D489" s="1355"/>
      <c r="E489" s="1355"/>
      <c r="F489" s="149"/>
      <c r="G489" s="877"/>
      <c r="H489" s="11"/>
      <c r="I489" s="11"/>
      <c r="J489" s="11"/>
      <c r="K489" s="11"/>
      <c r="L489" s="11"/>
      <c r="M489" s="11"/>
    </row>
    <row r="490" spans="1:13" ht="12" x14ac:dyDescent="0.25">
      <c r="A490" s="1370"/>
      <c r="B490" s="1371" t="s">
        <v>122</v>
      </c>
      <c r="C490" s="1355"/>
      <c r="D490" s="1355"/>
      <c r="E490" s="1355"/>
      <c r="F490" s="149"/>
      <c r="G490" s="744"/>
      <c r="H490" s="11"/>
      <c r="I490" s="11"/>
      <c r="J490" s="11"/>
      <c r="K490" s="11"/>
      <c r="L490" s="11"/>
      <c r="M490" s="11"/>
    </row>
    <row r="491" spans="1:13" ht="12" x14ac:dyDescent="0.25">
      <c r="A491" s="1370"/>
      <c r="B491" s="1229" t="s">
        <v>97</v>
      </c>
      <c r="C491" s="1355"/>
      <c r="D491" s="1355"/>
      <c r="E491" s="1355"/>
      <c r="F491" s="149"/>
      <c r="G491" s="893"/>
      <c r="H491" s="11"/>
      <c r="I491" s="11"/>
      <c r="J491" s="11"/>
      <c r="K491" s="11"/>
      <c r="L491" s="11"/>
      <c r="M491" s="11"/>
    </row>
    <row r="492" spans="1:13" ht="12" x14ac:dyDescent="0.25">
      <c r="A492" s="1370"/>
      <c r="B492" s="1372" t="s">
        <v>185</v>
      </c>
      <c r="C492" s="1355"/>
      <c r="D492" s="1355"/>
      <c r="E492" s="1355"/>
      <c r="F492" s="149"/>
      <c r="G492" s="893"/>
      <c r="H492" s="11"/>
      <c r="I492" s="11"/>
      <c r="J492" s="11"/>
      <c r="K492" s="11"/>
      <c r="L492" s="11"/>
      <c r="M492" s="11"/>
    </row>
    <row r="493" spans="1:13" ht="12.6" thickBot="1" x14ac:dyDescent="0.3">
      <c r="A493" s="1370"/>
      <c r="B493" s="1367" t="s">
        <v>112</v>
      </c>
      <c r="C493" s="1355"/>
      <c r="D493" s="1355"/>
      <c r="E493" s="1355"/>
      <c r="F493" s="190"/>
      <c r="G493" s="905"/>
      <c r="H493" s="11"/>
      <c r="I493" s="11"/>
      <c r="J493" s="11"/>
      <c r="K493" s="11"/>
      <c r="L493" s="11"/>
      <c r="M493" s="11"/>
    </row>
    <row r="494" spans="1:13" ht="12.6" thickBot="1" x14ac:dyDescent="0.3">
      <c r="A494" s="1329"/>
      <c r="B494" s="1373" t="s">
        <v>57</v>
      </c>
      <c r="C494" s="1306">
        <f>SUM(C486:C493)</f>
        <v>0</v>
      </c>
      <c r="D494" s="1306">
        <f>SUM(D486:D493)</f>
        <v>0</v>
      </c>
      <c r="E494" s="1306">
        <f>SUM(E486:E493)</f>
        <v>1400</v>
      </c>
      <c r="F494" s="174"/>
      <c r="G494" s="203"/>
      <c r="H494" s="11"/>
      <c r="I494" s="11"/>
      <c r="J494" s="11"/>
      <c r="K494" s="11"/>
      <c r="L494" s="11"/>
      <c r="M494" s="11"/>
    </row>
    <row r="495" spans="1:13" ht="12" customHeight="1" thickBot="1" x14ac:dyDescent="0.3">
      <c r="A495" s="740">
        <v>3300</v>
      </c>
      <c r="B495" s="18" t="s">
        <v>12</v>
      </c>
      <c r="C495" s="150">
        <f>SUM(C505+C525+C535+C565+C575+C615+C635+C645+C655+C675+C685+C695+C705+C715+C725+C745+C765+C775+C585+C595+C605+C625+C735)+C555+C665+C755</f>
        <v>334209</v>
      </c>
      <c r="D495" s="150">
        <f>SUM(D505+D525+D535+D565+D575+D615+D635+D645+D655+D675+D685+D695+D705+D715+D725+D745+D765+D775+D585+D595+D605+D625+D735)+D555+D665+D755</f>
        <v>334209</v>
      </c>
      <c r="E495" s="1306">
        <f>SUM(E505+E525+E535+E565+E575+E615+E635+E645+E655+E675+E685+E695+E705+E715+E725+E745+E765+E775+E585+E595+E605+E625+E735)+E555+E665+E755</f>
        <v>389827</v>
      </c>
      <c r="F495" s="174">
        <f>SUM(E495/D495)</f>
        <v>1.1664168230059633</v>
      </c>
      <c r="G495" s="907"/>
      <c r="H495" s="11"/>
      <c r="I495" s="11"/>
      <c r="J495" s="11"/>
      <c r="K495" s="11"/>
      <c r="L495" s="11"/>
      <c r="M495" s="11"/>
    </row>
    <row r="496" spans="1:13" ht="12" customHeight="1" x14ac:dyDescent="0.25">
      <c r="A496" s="740">
        <v>3301</v>
      </c>
      <c r="B496" s="61" t="s">
        <v>68</v>
      </c>
      <c r="C496" s="54"/>
      <c r="D496" s="54"/>
      <c r="E496" s="1303"/>
      <c r="F496" s="125"/>
      <c r="G496" s="878"/>
      <c r="H496" s="11"/>
      <c r="I496" s="11"/>
      <c r="J496" s="11"/>
      <c r="K496" s="11"/>
      <c r="L496" s="11"/>
      <c r="M496" s="11"/>
    </row>
    <row r="497" spans="1:13" ht="12" customHeight="1" x14ac:dyDescent="0.25">
      <c r="A497" s="755"/>
      <c r="B497" s="21" t="s">
        <v>45</v>
      </c>
      <c r="C497" s="152">
        <v>1000</v>
      </c>
      <c r="D497" s="152">
        <v>1000</v>
      </c>
      <c r="E497" s="1342">
        <v>1000</v>
      </c>
      <c r="F497" s="149">
        <f>SUM(E497/D497)</f>
        <v>1</v>
      </c>
      <c r="G497" s="863"/>
      <c r="H497" s="11"/>
      <c r="I497" s="11"/>
      <c r="J497" s="11"/>
      <c r="K497" s="11"/>
      <c r="L497" s="11"/>
      <c r="M497" s="11"/>
    </row>
    <row r="498" spans="1:13" ht="12" customHeight="1" x14ac:dyDescent="0.25">
      <c r="A498" s="755"/>
      <c r="B498" s="3" t="s">
        <v>125</v>
      </c>
      <c r="C498" s="152">
        <v>117</v>
      </c>
      <c r="D498" s="152">
        <v>117</v>
      </c>
      <c r="E498" s="1342">
        <v>117</v>
      </c>
      <c r="F498" s="149">
        <f>SUM(E498/D498)</f>
        <v>1</v>
      </c>
      <c r="G498" s="877"/>
      <c r="H498" s="11"/>
      <c r="I498" s="11"/>
      <c r="J498" s="11"/>
      <c r="K498" s="11"/>
      <c r="L498" s="11"/>
      <c r="M498" s="11"/>
    </row>
    <row r="499" spans="1:13" ht="12" customHeight="1" x14ac:dyDescent="0.25">
      <c r="A499" s="740"/>
      <c r="B499" s="56" t="s">
        <v>117</v>
      </c>
      <c r="C499" s="51">
        <v>4000</v>
      </c>
      <c r="D499" s="51">
        <v>4000</v>
      </c>
      <c r="E499" s="1304">
        <f>4000+960</f>
        <v>4960</v>
      </c>
      <c r="F499" s="149">
        <f>SUM(E499/D499)</f>
        <v>1.24</v>
      </c>
      <c r="G499" s="843" t="s">
        <v>1060</v>
      </c>
      <c r="H499" s="11"/>
      <c r="I499" s="11"/>
      <c r="J499" s="11"/>
      <c r="K499" s="11"/>
      <c r="L499" s="11"/>
      <c r="M499" s="11"/>
    </row>
    <row r="500" spans="1:13" ht="12" customHeight="1" x14ac:dyDescent="0.25">
      <c r="A500" s="740"/>
      <c r="B500" s="135" t="s">
        <v>49</v>
      </c>
      <c r="C500" s="51"/>
      <c r="D500" s="51"/>
      <c r="E500" s="1304"/>
      <c r="F500" s="149"/>
      <c r="G500" s="877"/>
      <c r="H500" s="11"/>
      <c r="I500" s="11"/>
      <c r="J500" s="11"/>
      <c r="K500" s="11"/>
      <c r="L500" s="11"/>
      <c r="M500" s="11"/>
    </row>
    <row r="501" spans="1:13" ht="12" customHeight="1" x14ac:dyDescent="0.25">
      <c r="A501" s="755"/>
      <c r="B501" s="135" t="s">
        <v>122</v>
      </c>
      <c r="C501" s="152">
        <v>2383</v>
      </c>
      <c r="D501" s="152">
        <v>2383</v>
      </c>
      <c r="E501" s="1342">
        <v>2383</v>
      </c>
      <c r="F501" s="149">
        <f>SUM(E501/D501)</f>
        <v>1</v>
      </c>
      <c r="G501" s="866"/>
      <c r="H501" s="11"/>
      <c r="I501" s="11"/>
      <c r="J501" s="11"/>
      <c r="K501" s="11"/>
      <c r="L501" s="11"/>
      <c r="M501" s="11"/>
    </row>
    <row r="502" spans="1:13" ht="12" customHeight="1" x14ac:dyDescent="0.25">
      <c r="A502" s="755"/>
      <c r="B502" s="3" t="s">
        <v>97</v>
      </c>
      <c r="C502" s="550"/>
      <c r="D502" s="550"/>
      <c r="E502" s="1309"/>
      <c r="F502" s="149"/>
      <c r="G502" s="908"/>
      <c r="H502" s="11"/>
      <c r="I502" s="11"/>
      <c r="J502" s="11"/>
      <c r="K502" s="11"/>
      <c r="L502" s="11"/>
      <c r="M502" s="11"/>
    </row>
    <row r="503" spans="1:13" ht="12" customHeight="1" x14ac:dyDescent="0.25">
      <c r="A503" s="755"/>
      <c r="B503" s="133" t="s">
        <v>185</v>
      </c>
      <c r="C503" s="550"/>
      <c r="D503" s="550"/>
      <c r="E503" s="1309"/>
      <c r="F503" s="149"/>
      <c r="G503" s="908"/>
      <c r="H503" s="11"/>
      <c r="I503" s="11"/>
      <c r="J503" s="11"/>
      <c r="K503" s="11"/>
      <c r="L503" s="11"/>
      <c r="M503" s="11"/>
    </row>
    <row r="504" spans="1:13" ht="12" customHeight="1" thickBot="1" x14ac:dyDescent="0.3">
      <c r="A504" s="755"/>
      <c r="B504" s="37" t="s">
        <v>112</v>
      </c>
      <c r="C504" s="111">
        <v>10500</v>
      </c>
      <c r="D504" s="111">
        <v>10500</v>
      </c>
      <c r="E504" s="1348">
        <v>10500</v>
      </c>
      <c r="F504" s="149"/>
      <c r="G504" s="858"/>
      <c r="H504" s="11"/>
      <c r="I504" s="11"/>
      <c r="J504" s="11"/>
      <c r="K504" s="11"/>
      <c r="L504" s="11"/>
      <c r="M504" s="11"/>
    </row>
    <row r="505" spans="1:13" ht="13.5" customHeight="1" thickBot="1" x14ac:dyDescent="0.3">
      <c r="A505" s="868"/>
      <c r="B505" s="137" t="s">
        <v>57</v>
      </c>
      <c r="C505" s="150">
        <f t="shared" ref="C505:D505" si="66">SUM(C497:C504)</f>
        <v>18000</v>
      </c>
      <c r="D505" s="150">
        <f t="shared" si="66"/>
        <v>18000</v>
      </c>
      <c r="E505" s="1306">
        <f t="shared" ref="E505" si="67">SUM(E497:E504)</f>
        <v>18960</v>
      </c>
      <c r="F505" s="174">
        <f>SUM(E505/D505)</f>
        <v>1.0533333333333332</v>
      </c>
      <c r="G505" s="203"/>
      <c r="H505" s="11"/>
      <c r="I505" s="11"/>
      <c r="J505" s="11"/>
      <c r="K505" s="11"/>
      <c r="L505" s="11"/>
      <c r="M505" s="11"/>
    </row>
    <row r="506" spans="1:13" ht="13.2" x14ac:dyDescent="0.25">
      <c r="A506" s="755">
        <v>3304</v>
      </c>
      <c r="B506" s="61" t="s">
        <v>265</v>
      </c>
      <c r="C506" s="208"/>
      <c r="D506" s="208"/>
      <c r="E506" s="1356"/>
      <c r="F506" s="125"/>
      <c r="G506" s="909"/>
      <c r="H506" s="11"/>
      <c r="I506" s="11"/>
      <c r="J506" s="11"/>
      <c r="K506" s="11"/>
      <c r="L506" s="11"/>
      <c r="M506" s="11"/>
    </row>
    <row r="507" spans="1:13" ht="13.2" x14ac:dyDescent="0.25">
      <c r="A507" s="799"/>
      <c r="B507" s="21" t="s">
        <v>45</v>
      </c>
      <c r="C507" s="51"/>
      <c r="D507" s="51"/>
      <c r="E507" s="1304"/>
      <c r="F507" s="125"/>
      <c r="G507" s="910"/>
      <c r="H507" s="11"/>
      <c r="I507" s="11"/>
      <c r="J507" s="11"/>
      <c r="K507" s="11"/>
      <c r="L507" s="11"/>
      <c r="M507" s="11"/>
    </row>
    <row r="508" spans="1:13" ht="13.2" x14ac:dyDescent="0.25">
      <c r="A508" s="799"/>
      <c r="B508" s="3" t="s">
        <v>125</v>
      </c>
      <c r="C508" s="51"/>
      <c r="D508" s="51"/>
      <c r="E508" s="1304"/>
      <c r="F508" s="125"/>
      <c r="G508" s="911"/>
      <c r="H508" s="11"/>
      <c r="I508" s="11"/>
      <c r="J508" s="11"/>
      <c r="K508" s="11"/>
      <c r="L508" s="11"/>
      <c r="M508" s="11"/>
    </row>
    <row r="509" spans="1:13" ht="13.2" x14ac:dyDescent="0.25">
      <c r="A509" s="799"/>
      <c r="B509" s="56" t="s">
        <v>117</v>
      </c>
      <c r="C509" s="51"/>
      <c r="D509" s="51"/>
      <c r="E509" s="1304"/>
      <c r="F509" s="149"/>
      <c r="G509" s="912"/>
      <c r="H509" s="11"/>
      <c r="I509" s="11"/>
      <c r="J509" s="11"/>
      <c r="K509" s="11"/>
      <c r="L509" s="11"/>
      <c r="M509" s="11"/>
    </row>
    <row r="510" spans="1:13" ht="12" x14ac:dyDescent="0.25">
      <c r="A510" s="799"/>
      <c r="B510" s="135" t="s">
        <v>49</v>
      </c>
      <c r="C510" s="51"/>
      <c r="D510" s="51"/>
      <c r="E510" s="1304"/>
      <c r="F510" s="125"/>
      <c r="G510" s="876"/>
      <c r="H510" s="11"/>
      <c r="I510" s="11"/>
      <c r="J510" s="11"/>
      <c r="K510" s="11"/>
      <c r="L510" s="11"/>
      <c r="M510" s="11"/>
    </row>
    <row r="511" spans="1:13" ht="13.2" x14ac:dyDescent="0.25">
      <c r="A511" s="799"/>
      <c r="B511" s="135" t="s">
        <v>122</v>
      </c>
      <c r="C511" s="152"/>
      <c r="D511" s="152"/>
      <c r="E511" s="1342"/>
      <c r="F511" s="125"/>
      <c r="G511" s="910"/>
      <c r="H511" s="11"/>
      <c r="I511" s="11"/>
      <c r="J511" s="11"/>
      <c r="K511" s="11"/>
      <c r="L511" s="11"/>
      <c r="M511" s="11"/>
    </row>
    <row r="512" spans="1:13" ht="13.2" x14ac:dyDescent="0.25">
      <c r="A512" s="799"/>
      <c r="B512" s="3" t="s">
        <v>97</v>
      </c>
      <c r="C512" s="152"/>
      <c r="D512" s="152"/>
      <c r="E512" s="1342"/>
      <c r="F512" s="125"/>
      <c r="G512" s="910"/>
      <c r="H512" s="11"/>
      <c r="I512" s="11"/>
      <c r="J512" s="11"/>
      <c r="K512" s="11"/>
      <c r="L512" s="11"/>
      <c r="M512" s="11"/>
    </row>
    <row r="513" spans="1:13" ht="13.2" x14ac:dyDescent="0.25">
      <c r="A513" s="799"/>
      <c r="B513" s="133" t="s">
        <v>185</v>
      </c>
      <c r="C513" s="51"/>
      <c r="D513" s="51"/>
      <c r="E513" s="1304"/>
      <c r="F513" s="125"/>
      <c r="G513" s="913"/>
      <c r="H513" s="11"/>
      <c r="I513" s="11"/>
      <c r="J513" s="11"/>
      <c r="K513" s="11"/>
      <c r="L513" s="11"/>
      <c r="M513" s="11"/>
    </row>
    <row r="514" spans="1:13" ht="12.6" thickBot="1" x14ac:dyDescent="0.3">
      <c r="A514" s="799"/>
      <c r="B514" s="37" t="s">
        <v>112</v>
      </c>
      <c r="C514" s="154"/>
      <c r="D514" s="154"/>
      <c r="E514" s="1344"/>
      <c r="F514" s="186"/>
      <c r="G514" s="783"/>
      <c r="H514" s="11"/>
      <c r="I514" s="11"/>
      <c r="J514" s="11"/>
      <c r="K514" s="11"/>
      <c r="L514" s="11"/>
      <c r="M514" s="11"/>
    </row>
    <row r="515" spans="1:13" ht="13.8" thickBot="1" x14ac:dyDescent="0.3">
      <c r="A515" s="868"/>
      <c r="B515" s="137" t="s">
        <v>57</v>
      </c>
      <c r="C515" s="150">
        <v>0</v>
      </c>
      <c r="D515" s="150">
        <v>0</v>
      </c>
      <c r="E515" s="1306">
        <v>0</v>
      </c>
      <c r="F515" s="174"/>
      <c r="G515" s="554"/>
      <c r="H515" s="11"/>
      <c r="I515" s="11"/>
      <c r="J515" s="11"/>
      <c r="K515" s="11"/>
      <c r="L515" s="11"/>
      <c r="M515" s="11"/>
    </row>
    <row r="516" spans="1:13" ht="13.2" x14ac:dyDescent="0.25">
      <c r="A516" s="738">
        <v>3306</v>
      </c>
      <c r="B516" s="148" t="s">
        <v>203</v>
      </c>
      <c r="C516" s="54"/>
      <c r="D516" s="54"/>
      <c r="E516" s="1303"/>
      <c r="F516" s="125"/>
      <c r="G516" s="914"/>
      <c r="H516" s="11"/>
      <c r="I516" s="11"/>
      <c r="J516" s="11"/>
      <c r="K516" s="11"/>
      <c r="L516" s="11"/>
      <c r="M516" s="11"/>
    </row>
    <row r="517" spans="1:13" ht="12" customHeight="1" x14ac:dyDescent="0.25">
      <c r="A517" s="799"/>
      <c r="B517" s="21" t="s">
        <v>45</v>
      </c>
      <c r="C517" s="51"/>
      <c r="D517" s="51"/>
      <c r="E517" s="1304"/>
      <c r="F517" s="125"/>
      <c r="G517" s="910"/>
      <c r="H517" s="11"/>
      <c r="I517" s="11"/>
      <c r="J517" s="11"/>
      <c r="K517" s="11"/>
      <c r="L517" s="11"/>
      <c r="M517" s="11"/>
    </row>
    <row r="518" spans="1:13" ht="12" customHeight="1" x14ac:dyDescent="0.25">
      <c r="A518" s="799"/>
      <c r="B518" s="3" t="s">
        <v>125</v>
      </c>
      <c r="C518" s="51"/>
      <c r="D518" s="51"/>
      <c r="E518" s="1304"/>
      <c r="F518" s="125"/>
      <c r="G518" s="911"/>
      <c r="H518" s="11"/>
      <c r="I518" s="11"/>
      <c r="J518" s="11"/>
      <c r="K518" s="11"/>
      <c r="L518" s="11"/>
      <c r="M518" s="11"/>
    </row>
    <row r="519" spans="1:13" ht="12" customHeight="1" x14ac:dyDescent="0.25">
      <c r="A519" s="799"/>
      <c r="B519" s="56" t="s">
        <v>117</v>
      </c>
      <c r="C519" s="51"/>
      <c r="D519" s="51"/>
      <c r="E519" s="1304"/>
      <c r="F519" s="125"/>
      <c r="G519" s="912"/>
      <c r="H519" s="11"/>
      <c r="I519" s="11"/>
      <c r="J519" s="11"/>
      <c r="K519" s="11"/>
      <c r="L519" s="11"/>
      <c r="M519" s="11"/>
    </row>
    <row r="520" spans="1:13" ht="12" customHeight="1" x14ac:dyDescent="0.25">
      <c r="A520" s="799"/>
      <c r="B520" s="135" t="s">
        <v>49</v>
      </c>
      <c r="C520" s="51">
        <v>40000</v>
      </c>
      <c r="D520" s="51">
        <v>40000</v>
      </c>
      <c r="E520" s="1304">
        <f>40000+5</f>
        <v>40005</v>
      </c>
      <c r="F520" s="149">
        <f>SUM(E520/D520)</f>
        <v>1.0001249999999999</v>
      </c>
      <c r="G520" s="876"/>
      <c r="H520" s="11"/>
      <c r="I520" s="11"/>
      <c r="J520" s="11"/>
      <c r="K520" s="11"/>
      <c r="L520" s="11"/>
      <c r="M520" s="11"/>
    </row>
    <row r="521" spans="1:13" ht="12" customHeight="1" x14ac:dyDescent="0.25">
      <c r="A521" s="799"/>
      <c r="B521" s="135" t="s">
        <v>122</v>
      </c>
      <c r="C521" s="152"/>
      <c r="D521" s="152"/>
      <c r="E521" s="1342"/>
      <c r="F521" s="125"/>
      <c r="G521" s="910"/>
      <c r="H521" s="11"/>
      <c r="I521" s="11"/>
      <c r="J521" s="11"/>
      <c r="K521" s="11"/>
      <c r="L521" s="11"/>
      <c r="M521" s="11"/>
    </row>
    <row r="522" spans="1:13" ht="12" customHeight="1" x14ac:dyDescent="0.25">
      <c r="A522" s="799"/>
      <c r="B522" s="3" t="s">
        <v>97</v>
      </c>
      <c r="C522" s="152"/>
      <c r="D522" s="152"/>
      <c r="E522" s="1342"/>
      <c r="F522" s="125"/>
      <c r="G522" s="910"/>
      <c r="H522" s="11"/>
      <c r="I522" s="11"/>
      <c r="J522" s="11"/>
      <c r="K522" s="11"/>
      <c r="L522" s="11"/>
      <c r="M522" s="11"/>
    </row>
    <row r="523" spans="1:13" ht="12" customHeight="1" x14ac:dyDescent="0.25">
      <c r="A523" s="799"/>
      <c r="B523" s="133" t="s">
        <v>185</v>
      </c>
      <c r="C523" s="51"/>
      <c r="D523" s="51"/>
      <c r="E523" s="1304"/>
      <c r="F523" s="125"/>
      <c r="G523" s="913"/>
      <c r="H523" s="11"/>
      <c r="I523" s="11"/>
      <c r="J523" s="11"/>
      <c r="K523" s="11"/>
      <c r="L523" s="11"/>
      <c r="M523" s="11"/>
    </row>
    <row r="524" spans="1:13" ht="12" customHeight="1" thickBot="1" x14ac:dyDescent="0.3">
      <c r="A524" s="799"/>
      <c r="B524" s="37" t="s">
        <v>112</v>
      </c>
      <c r="C524" s="154"/>
      <c r="D524" s="154"/>
      <c r="E524" s="1344"/>
      <c r="F524" s="186"/>
      <c r="G524" s="783"/>
      <c r="H524" s="11"/>
      <c r="I524" s="11"/>
      <c r="J524" s="11"/>
      <c r="K524" s="11"/>
      <c r="L524" s="11"/>
      <c r="M524" s="11"/>
    </row>
    <row r="525" spans="1:13" ht="12.75" customHeight="1" thickBot="1" x14ac:dyDescent="0.3">
      <c r="A525" s="868"/>
      <c r="B525" s="137" t="s">
        <v>57</v>
      </c>
      <c r="C525" s="150">
        <f t="shared" ref="C525" si="68">SUM(C519:C520)</f>
        <v>40000</v>
      </c>
      <c r="D525" s="150">
        <f t="shared" ref="D525:E525" si="69">SUM(D519:D520)</f>
        <v>40000</v>
      </c>
      <c r="E525" s="1306">
        <f t="shared" si="69"/>
        <v>40005</v>
      </c>
      <c r="F525" s="174">
        <f>SUM(E525/D525)</f>
        <v>1.0001249999999999</v>
      </c>
      <c r="G525" s="554"/>
      <c r="H525" s="11"/>
      <c r="I525" s="11"/>
      <c r="J525" s="11"/>
      <c r="K525" s="11"/>
      <c r="L525" s="11"/>
      <c r="M525" s="11"/>
    </row>
    <row r="526" spans="1:13" ht="12" customHeight="1" x14ac:dyDescent="0.25">
      <c r="A526" s="755">
        <v>3307</v>
      </c>
      <c r="B526" s="148" t="s">
        <v>91</v>
      </c>
      <c r="C526" s="54"/>
      <c r="D526" s="54"/>
      <c r="E526" s="1303"/>
      <c r="F526" s="125"/>
      <c r="G526" s="914"/>
      <c r="H526" s="11"/>
      <c r="I526" s="11"/>
      <c r="J526" s="11"/>
      <c r="K526" s="11"/>
      <c r="L526" s="11"/>
      <c r="M526" s="11"/>
    </row>
    <row r="527" spans="1:13" ht="12" customHeight="1" x14ac:dyDescent="0.25">
      <c r="A527" s="799"/>
      <c r="B527" s="21" t="s">
        <v>45</v>
      </c>
      <c r="C527" s="51"/>
      <c r="D527" s="51"/>
      <c r="E527" s="1304"/>
      <c r="F527" s="125"/>
      <c r="G527" s="910"/>
      <c r="H527" s="11"/>
      <c r="I527" s="11"/>
      <c r="J527" s="11"/>
      <c r="K527" s="11"/>
      <c r="L527" s="11"/>
      <c r="M527" s="11"/>
    </row>
    <row r="528" spans="1:13" ht="12" customHeight="1" x14ac:dyDescent="0.25">
      <c r="A528" s="799"/>
      <c r="B528" s="3" t="s">
        <v>125</v>
      </c>
      <c r="C528" s="51"/>
      <c r="D528" s="51"/>
      <c r="E528" s="1304"/>
      <c r="F528" s="125"/>
      <c r="G528" s="911"/>
      <c r="H528" s="11"/>
      <c r="I528" s="11"/>
      <c r="J528" s="11"/>
      <c r="K528" s="11"/>
      <c r="L528" s="11"/>
      <c r="M528" s="11"/>
    </row>
    <row r="529" spans="1:13" ht="12" customHeight="1" x14ac:dyDescent="0.25">
      <c r="A529" s="799"/>
      <c r="B529" s="56" t="s">
        <v>117</v>
      </c>
      <c r="C529" s="51"/>
      <c r="D529" s="51"/>
      <c r="E529" s="1304"/>
      <c r="F529" s="188"/>
      <c r="G529" s="912"/>
      <c r="H529" s="11"/>
      <c r="I529" s="11"/>
      <c r="J529" s="11"/>
      <c r="K529" s="11"/>
      <c r="L529" s="11"/>
      <c r="M529" s="11"/>
    </row>
    <row r="530" spans="1:13" ht="12" customHeight="1" x14ac:dyDescent="0.25">
      <c r="A530" s="799"/>
      <c r="B530" s="135" t="s">
        <v>49</v>
      </c>
      <c r="C530" s="51">
        <v>2500</v>
      </c>
      <c r="D530" s="51">
        <v>2500</v>
      </c>
      <c r="E530" s="1304">
        <v>2500</v>
      </c>
      <c r="F530" s="149">
        <f>SUM(E530/D530)</f>
        <v>1</v>
      </c>
      <c r="G530" s="912"/>
      <c r="H530" s="11"/>
      <c r="I530" s="11"/>
      <c r="J530" s="11"/>
      <c r="K530" s="11"/>
      <c r="L530" s="11"/>
      <c r="M530" s="11"/>
    </row>
    <row r="531" spans="1:13" ht="12" customHeight="1" x14ac:dyDescent="0.25">
      <c r="A531" s="799"/>
      <c r="B531" s="135" t="s">
        <v>122</v>
      </c>
      <c r="C531" s="51"/>
      <c r="D531" s="51"/>
      <c r="E531" s="1304"/>
      <c r="F531" s="149"/>
      <c r="G531" s="912"/>
      <c r="H531" s="11"/>
      <c r="I531" s="11"/>
      <c r="J531" s="11"/>
      <c r="K531" s="11"/>
      <c r="L531" s="11"/>
      <c r="M531" s="11"/>
    </row>
    <row r="532" spans="1:13" ht="12" customHeight="1" x14ac:dyDescent="0.25">
      <c r="A532" s="799"/>
      <c r="B532" s="3" t="s">
        <v>97</v>
      </c>
      <c r="C532" s="152"/>
      <c r="D532" s="152"/>
      <c r="E532" s="1342"/>
      <c r="F532" s="149"/>
      <c r="G532" s="876"/>
      <c r="H532" s="11"/>
      <c r="I532" s="11"/>
      <c r="J532" s="11"/>
      <c r="K532" s="11"/>
      <c r="L532" s="11"/>
      <c r="M532" s="11"/>
    </row>
    <row r="533" spans="1:13" ht="12" customHeight="1" x14ac:dyDescent="0.25">
      <c r="A533" s="799"/>
      <c r="B533" s="133" t="s">
        <v>185</v>
      </c>
      <c r="C533" s="51"/>
      <c r="D533" s="51"/>
      <c r="E533" s="1304"/>
      <c r="F533" s="149"/>
      <c r="G533" s="913"/>
      <c r="H533" s="11"/>
      <c r="I533" s="11"/>
      <c r="J533" s="11"/>
      <c r="K533" s="11"/>
      <c r="L533" s="11"/>
      <c r="M533" s="11"/>
    </row>
    <row r="534" spans="1:13" ht="12" customHeight="1" thickBot="1" x14ac:dyDescent="0.3">
      <c r="A534" s="799"/>
      <c r="B534" s="37" t="s">
        <v>112</v>
      </c>
      <c r="C534" s="154"/>
      <c r="D534" s="154"/>
      <c r="E534" s="1344"/>
      <c r="F534" s="189"/>
      <c r="G534" s="783"/>
      <c r="H534" s="11"/>
      <c r="I534" s="11"/>
      <c r="J534" s="11"/>
      <c r="K534" s="11"/>
      <c r="L534" s="11"/>
      <c r="M534" s="11"/>
    </row>
    <row r="535" spans="1:13" ht="12" customHeight="1" thickBot="1" x14ac:dyDescent="0.3">
      <c r="A535" s="868"/>
      <c r="B535" s="137" t="s">
        <v>57</v>
      </c>
      <c r="C535" s="150">
        <f t="shared" ref="C535:D535" si="70">SUM(C527:C534)</f>
        <v>2500</v>
      </c>
      <c r="D535" s="150">
        <f t="shared" si="70"/>
        <v>2500</v>
      </c>
      <c r="E535" s="1306">
        <f t="shared" ref="E535" si="71">SUM(E527:E534)</f>
        <v>2500</v>
      </c>
      <c r="F535" s="174">
        <f>SUM(E535/D535)</f>
        <v>1</v>
      </c>
      <c r="G535" s="554"/>
      <c r="H535" s="11"/>
      <c r="I535" s="11"/>
      <c r="J535" s="11"/>
      <c r="K535" s="11"/>
      <c r="L535" s="11"/>
      <c r="M535" s="11"/>
    </row>
    <row r="536" spans="1:13" ht="12" customHeight="1" x14ac:dyDescent="0.25">
      <c r="A536" s="755">
        <v>3308</v>
      </c>
      <c r="B536" s="148" t="s">
        <v>255</v>
      </c>
      <c r="C536" s="54"/>
      <c r="D536" s="54"/>
      <c r="E536" s="1303"/>
      <c r="F536" s="125"/>
      <c r="G536" s="914"/>
      <c r="H536" s="11"/>
      <c r="I536" s="11"/>
      <c r="J536" s="11"/>
      <c r="K536" s="11"/>
      <c r="L536" s="11"/>
      <c r="M536" s="11"/>
    </row>
    <row r="537" spans="1:13" ht="12" customHeight="1" x14ac:dyDescent="0.25">
      <c r="A537" s="799"/>
      <c r="B537" s="21" t="s">
        <v>45</v>
      </c>
      <c r="C537" s="51"/>
      <c r="D537" s="51"/>
      <c r="E537" s="1304"/>
      <c r="F537" s="125"/>
      <c r="G537" s="910"/>
      <c r="H537" s="11"/>
      <c r="I537" s="11"/>
      <c r="J537" s="11"/>
      <c r="K537" s="11"/>
      <c r="L537" s="11"/>
      <c r="M537" s="11"/>
    </row>
    <row r="538" spans="1:13" ht="12" customHeight="1" x14ac:dyDescent="0.25">
      <c r="A538" s="799"/>
      <c r="B538" s="3" t="s">
        <v>125</v>
      </c>
      <c r="C538" s="51"/>
      <c r="D538" s="51"/>
      <c r="E538" s="1304"/>
      <c r="F538" s="188"/>
      <c r="G538" s="911"/>
      <c r="H538" s="11"/>
      <c r="I538" s="11"/>
      <c r="J538" s="11"/>
      <c r="K538" s="11"/>
      <c r="L538" s="11"/>
      <c r="M538" s="11"/>
    </row>
    <row r="539" spans="1:13" ht="12" customHeight="1" x14ac:dyDescent="0.25">
      <c r="A539" s="799"/>
      <c r="B539" s="56" t="s">
        <v>117</v>
      </c>
      <c r="C539" s="51">
        <v>10000</v>
      </c>
      <c r="D539" s="51">
        <v>10000</v>
      </c>
      <c r="E539" s="1304">
        <f>10000+6791</f>
        <v>16791</v>
      </c>
      <c r="F539" s="149">
        <f>SUM(E539/D539)</f>
        <v>1.6791</v>
      </c>
      <c r="G539" s="912"/>
      <c r="H539" s="11"/>
      <c r="I539" s="11"/>
      <c r="J539" s="11"/>
      <c r="K539" s="11"/>
      <c r="L539" s="11"/>
      <c r="M539" s="11"/>
    </row>
    <row r="540" spans="1:13" ht="12" customHeight="1" x14ac:dyDescent="0.25">
      <c r="A540" s="799"/>
      <c r="B540" s="135" t="s">
        <v>49</v>
      </c>
      <c r="C540" s="51"/>
      <c r="D540" s="51"/>
      <c r="E540" s="1304"/>
      <c r="F540" s="149"/>
      <c r="G540" s="912"/>
      <c r="H540" s="11"/>
      <c r="I540" s="11"/>
      <c r="J540" s="11"/>
      <c r="K540" s="11"/>
      <c r="L540" s="11"/>
      <c r="M540" s="11"/>
    </row>
    <row r="541" spans="1:13" ht="12" customHeight="1" x14ac:dyDescent="0.25">
      <c r="A541" s="799"/>
      <c r="B541" s="135" t="s">
        <v>122</v>
      </c>
      <c r="C541" s="152"/>
      <c r="D541" s="152"/>
      <c r="E541" s="1342"/>
      <c r="F541" s="149"/>
      <c r="G541" s="876"/>
      <c r="H541" s="11"/>
      <c r="I541" s="11"/>
      <c r="J541" s="11"/>
      <c r="K541" s="11"/>
      <c r="L541" s="11"/>
      <c r="M541" s="11"/>
    </row>
    <row r="542" spans="1:13" ht="12" customHeight="1" x14ac:dyDescent="0.25">
      <c r="A542" s="799"/>
      <c r="B542" s="3" t="s">
        <v>97</v>
      </c>
      <c r="C542" s="152"/>
      <c r="D542" s="152"/>
      <c r="E542" s="1342"/>
      <c r="F542" s="149"/>
      <c r="G542" s="876"/>
      <c r="H542" s="11"/>
      <c r="I542" s="11"/>
      <c r="J542" s="11"/>
      <c r="K542" s="11"/>
      <c r="L542" s="11"/>
      <c r="M542" s="11"/>
    </row>
    <row r="543" spans="1:13" ht="12" customHeight="1" x14ac:dyDescent="0.25">
      <c r="A543" s="799"/>
      <c r="B543" s="133" t="s">
        <v>185</v>
      </c>
      <c r="C543" s="51"/>
      <c r="D543" s="51"/>
      <c r="E543" s="1304"/>
      <c r="F543" s="149"/>
      <c r="G543" s="913"/>
      <c r="H543" s="11"/>
      <c r="I543" s="11"/>
      <c r="J543" s="11"/>
      <c r="K543" s="11"/>
      <c r="L543" s="11"/>
      <c r="M543" s="11"/>
    </row>
    <row r="544" spans="1:13" ht="12" customHeight="1" thickBot="1" x14ac:dyDescent="0.3">
      <c r="A544" s="799"/>
      <c r="B544" s="37" t="s">
        <v>112</v>
      </c>
      <c r="C544" s="154"/>
      <c r="D544" s="154"/>
      <c r="E544" s="1344"/>
      <c r="F544" s="189"/>
      <c r="G544" s="783"/>
      <c r="H544" s="11"/>
      <c r="I544" s="11"/>
      <c r="J544" s="11"/>
      <c r="K544" s="11"/>
      <c r="L544" s="11"/>
      <c r="M544" s="11"/>
    </row>
    <row r="545" spans="1:13" ht="12" customHeight="1" thickBot="1" x14ac:dyDescent="0.3">
      <c r="A545" s="868"/>
      <c r="B545" s="137" t="s">
        <v>57</v>
      </c>
      <c r="C545" s="150">
        <f t="shared" ref="C545:D545" si="72">SUM(C537:C544)</f>
        <v>10000</v>
      </c>
      <c r="D545" s="150">
        <f t="shared" si="72"/>
        <v>10000</v>
      </c>
      <c r="E545" s="1306">
        <f t="shared" ref="E545" si="73">SUM(E537:E544)</f>
        <v>16791</v>
      </c>
      <c r="F545" s="174">
        <f>SUM(E545/D545)</f>
        <v>1.6791</v>
      </c>
      <c r="G545" s="554"/>
      <c r="H545" s="11"/>
      <c r="I545" s="11"/>
      <c r="J545" s="11"/>
      <c r="K545" s="11"/>
      <c r="L545" s="11"/>
      <c r="M545" s="11"/>
    </row>
    <row r="546" spans="1:13" ht="12" customHeight="1" x14ac:dyDescent="0.25">
      <c r="A546" s="755">
        <v>3309</v>
      </c>
      <c r="B546" s="48" t="s">
        <v>217</v>
      </c>
      <c r="C546" s="54"/>
      <c r="D546" s="54"/>
      <c r="E546" s="1303"/>
      <c r="F546" s="125"/>
      <c r="G546" s="861"/>
      <c r="H546" s="11"/>
      <c r="I546" s="11"/>
      <c r="J546" s="11"/>
      <c r="K546" s="11"/>
      <c r="L546" s="11"/>
      <c r="M546" s="11"/>
    </row>
    <row r="547" spans="1:13" ht="12" customHeight="1" x14ac:dyDescent="0.25">
      <c r="A547" s="799"/>
      <c r="B547" s="21" t="s">
        <v>45</v>
      </c>
      <c r="C547" s="51"/>
      <c r="D547" s="51"/>
      <c r="E547" s="1304"/>
      <c r="F547" s="125"/>
      <c r="G547" s="861"/>
      <c r="H547" s="11"/>
      <c r="I547" s="11"/>
      <c r="J547" s="11"/>
      <c r="K547" s="11"/>
      <c r="L547" s="11"/>
      <c r="M547" s="11"/>
    </row>
    <row r="548" spans="1:13" ht="12" customHeight="1" x14ac:dyDescent="0.25">
      <c r="A548" s="799"/>
      <c r="B548" s="3" t="s">
        <v>125</v>
      </c>
      <c r="C548" s="51"/>
      <c r="D548" s="51"/>
      <c r="E548" s="1304"/>
      <c r="F548" s="188"/>
      <c r="G548" s="862"/>
      <c r="H548" s="11"/>
      <c r="I548" s="11"/>
      <c r="J548" s="11"/>
      <c r="K548" s="11"/>
      <c r="L548" s="11"/>
      <c r="M548" s="11"/>
    </row>
    <row r="549" spans="1:13" ht="12" customHeight="1" x14ac:dyDescent="0.25">
      <c r="A549" s="799"/>
      <c r="B549" s="56" t="s">
        <v>117</v>
      </c>
      <c r="C549" s="51"/>
      <c r="D549" s="51"/>
      <c r="E549" s="1304"/>
      <c r="F549" s="149"/>
      <c r="G549" s="876"/>
      <c r="H549" s="11"/>
      <c r="I549" s="11"/>
      <c r="J549" s="11"/>
      <c r="K549" s="11"/>
      <c r="L549" s="11"/>
      <c r="M549" s="11"/>
    </row>
    <row r="550" spans="1:13" ht="12" customHeight="1" x14ac:dyDescent="0.25">
      <c r="A550" s="799"/>
      <c r="B550" s="135" t="s">
        <v>49</v>
      </c>
      <c r="C550" s="51">
        <v>50000</v>
      </c>
      <c r="D550" s="51">
        <v>50000</v>
      </c>
      <c r="E550" s="1304">
        <v>50000</v>
      </c>
      <c r="F550" s="149">
        <f>SUM(E550/D550)</f>
        <v>1</v>
      </c>
      <c r="G550" s="912"/>
      <c r="H550" s="11"/>
      <c r="I550" s="11"/>
      <c r="J550" s="11"/>
      <c r="K550" s="11"/>
      <c r="L550" s="11"/>
      <c r="M550" s="11"/>
    </row>
    <row r="551" spans="1:13" ht="12" customHeight="1" x14ac:dyDescent="0.25">
      <c r="A551" s="799"/>
      <c r="B551" s="135" t="s">
        <v>122</v>
      </c>
      <c r="C551" s="51"/>
      <c r="D551" s="51"/>
      <c r="E551" s="1304"/>
      <c r="F551" s="149"/>
      <c r="G551" s="912"/>
      <c r="H551" s="11"/>
      <c r="I551" s="11"/>
      <c r="J551" s="11"/>
      <c r="K551" s="11"/>
      <c r="L551" s="11"/>
      <c r="M551" s="11"/>
    </row>
    <row r="552" spans="1:13" ht="12" customHeight="1" x14ac:dyDescent="0.25">
      <c r="A552" s="799"/>
      <c r="B552" s="3" t="s">
        <v>97</v>
      </c>
      <c r="C552" s="51"/>
      <c r="D552" s="51"/>
      <c r="E552" s="1304"/>
      <c r="F552" s="149"/>
      <c r="G552" s="912"/>
      <c r="H552" s="11"/>
      <c r="I552" s="11"/>
      <c r="J552" s="11"/>
      <c r="K552" s="11"/>
      <c r="L552" s="11"/>
      <c r="M552" s="11"/>
    </row>
    <row r="553" spans="1:13" ht="12" customHeight="1" x14ac:dyDescent="0.25">
      <c r="A553" s="799"/>
      <c r="B553" s="133" t="s">
        <v>185</v>
      </c>
      <c r="C553" s="152"/>
      <c r="D553" s="152"/>
      <c r="E553" s="1342"/>
      <c r="F553" s="149"/>
      <c r="G553" s="915"/>
      <c r="H553" s="11"/>
      <c r="I553" s="11"/>
      <c r="J553" s="11"/>
      <c r="K553" s="11"/>
      <c r="L553" s="11"/>
      <c r="M553" s="11"/>
    </row>
    <row r="554" spans="1:13" ht="12" customHeight="1" thickBot="1" x14ac:dyDescent="0.3">
      <c r="A554" s="799"/>
      <c r="B554" s="37" t="s">
        <v>112</v>
      </c>
      <c r="C554" s="154"/>
      <c r="D554" s="154"/>
      <c r="E554" s="1344"/>
      <c r="F554" s="189"/>
      <c r="G554" s="783"/>
      <c r="H554" s="11"/>
      <c r="I554" s="11"/>
      <c r="J554" s="11"/>
      <c r="K554" s="11"/>
      <c r="L554" s="11"/>
      <c r="M554" s="11"/>
    </row>
    <row r="555" spans="1:13" ht="11.25" customHeight="1" thickBot="1" x14ac:dyDescent="0.3">
      <c r="A555" s="868"/>
      <c r="B555" s="137" t="s">
        <v>57</v>
      </c>
      <c r="C555" s="150">
        <f t="shared" ref="C555" si="74">SUM(C547:C554)</f>
        <v>50000</v>
      </c>
      <c r="D555" s="150">
        <f t="shared" ref="D555:E555" si="75">SUM(D547:D554)</f>
        <v>50000</v>
      </c>
      <c r="E555" s="1306">
        <f t="shared" si="75"/>
        <v>50000</v>
      </c>
      <c r="F555" s="174">
        <f>SUM(E555/D555)</f>
        <v>1</v>
      </c>
      <c r="G555" s="203"/>
      <c r="H555" s="11"/>
      <c r="I555" s="11"/>
      <c r="J555" s="11"/>
      <c r="K555" s="11"/>
      <c r="L555" s="11"/>
      <c r="M555" s="11"/>
    </row>
    <row r="556" spans="1:13" ht="12" customHeight="1" x14ac:dyDescent="0.25">
      <c r="A556" s="755">
        <v>3311</v>
      </c>
      <c r="B556" s="48" t="s">
        <v>58</v>
      </c>
      <c r="C556" s="54"/>
      <c r="D556" s="54"/>
      <c r="E556" s="1303"/>
      <c r="F556" s="125"/>
      <c r="G556" s="861"/>
      <c r="H556" s="11"/>
      <c r="I556" s="11"/>
      <c r="J556" s="11"/>
      <c r="K556" s="11"/>
      <c r="L556" s="11"/>
      <c r="M556" s="11"/>
    </row>
    <row r="557" spans="1:13" ht="12" customHeight="1" x14ac:dyDescent="0.25">
      <c r="A557" s="799"/>
      <c r="B557" s="21" t="s">
        <v>45</v>
      </c>
      <c r="C557" s="51"/>
      <c r="D557" s="51"/>
      <c r="E557" s="1304"/>
      <c r="F557" s="125"/>
      <c r="G557" s="861"/>
      <c r="H557" s="11"/>
      <c r="I557" s="11"/>
      <c r="J557" s="11"/>
      <c r="K557" s="11"/>
      <c r="L557" s="11"/>
      <c r="M557" s="11"/>
    </row>
    <row r="558" spans="1:13" ht="12" customHeight="1" x14ac:dyDescent="0.25">
      <c r="A558" s="799"/>
      <c r="B558" s="3" t="s">
        <v>125</v>
      </c>
      <c r="C558" s="51"/>
      <c r="D558" s="51"/>
      <c r="E558" s="1304"/>
      <c r="F558" s="188"/>
      <c r="G558" s="861"/>
      <c r="H558" s="11"/>
      <c r="I558" s="11"/>
      <c r="J558" s="11"/>
      <c r="K558" s="11"/>
      <c r="L558" s="11"/>
      <c r="M558" s="11"/>
    </row>
    <row r="559" spans="1:13" ht="12" customHeight="1" x14ac:dyDescent="0.25">
      <c r="A559" s="799"/>
      <c r="B559" s="56" t="s">
        <v>117</v>
      </c>
      <c r="C559" s="51"/>
      <c r="D559" s="51"/>
      <c r="E559" s="1304"/>
      <c r="F559" s="149"/>
      <c r="G559" s="862"/>
      <c r="H559" s="11"/>
      <c r="I559" s="11"/>
      <c r="J559" s="11"/>
      <c r="K559" s="11"/>
      <c r="L559" s="11"/>
      <c r="M559" s="11"/>
    </row>
    <row r="560" spans="1:13" ht="12" customHeight="1" x14ac:dyDescent="0.25">
      <c r="A560" s="799"/>
      <c r="B560" s="135" t="s">
        <v>49</v>
      </c>
      <c r="C560" s="51">
        <v>13000</v>
      </c>
      <c r="D560" s="51">
        <v>13000</v>
      </c>
      <c r="E560" s="1304">
        <f>13000+2000</f>
        <v>15000</v>
      </c>
      <c r="F560" s="149">
        <f>SUM(E560/D560)</f>
        <v>1.1538461538461537</v>
      </c>
      <c r="G560" s="916"/>
      <c r="H560" s="11"/>
      <c r="I560" s="11"/>
      <c r="J560" s="11"/>
      <c r="K560" s="11"/>
      <c r="L560" s="11"/>
      <c r="M560" s="11"/>
    </row>
    <row r="561" spans="1:13" ht="12" customHeight="1" x14ac:dyDescent="0.25">
      <c r="A561" s="799"/>
      <c r="B561" s="135" t="s">
        <v>122</v>
      </c>
      <c r="C561" s="51"/>
      <c r="D561" s="51"/>
      <c r="E561" s="1304"/>
      <c r="F561" s="149"/>
      <c r="G561" s="916"/>
      <c r="H561" s="11"/>
      <c r="I561" s="11"/>
      <c r="J561" s="11"/>
      <c r="K561" s="11"/>
      <c r="L561" s="11"/>
      <c r="M561" s="11"/>
    </row>
    <row r="562" spans="1:13" ht="12" customHeight="1" x14ac:dyDescent="0.25">
      <c r="A562" s="799"/>
      <c r="B562" s="3" t="s">
        <v>97</v>
      </c>
      <c r="C562" s="51"/>
      <c r="D562" s="51"/>
      <c r="E562" s="1304"/>
      <c r="F562" s="149"/>
      <c r="G562" s="916"/>
      <c r="H562" s="11"/>
      <c r="I562" s="11"/>
      <c r="J562" s="11"/>
      <c r="K562" s="11"/>
      <c r="L562" s="11"/>
      <c r="M562" s="11"/>
    </row>
    <row r="563" spans="1:13" ht="12" customHeight="1" x14ac:dyDescent="0.25">
      <c r="A563" s="799"/>
      <c r="B563" s="133" t="s">
        <v>185</v>
      </c>
      <c r="C563" s="152"/>
      <c r="D563" s="152"/>
      <c r="E563" s="1342"/>
      <c r="F563" s="149"/>
      <c r="G563" s="917"/>
      <c r="H563" s="11"/>
      <c r="I563" s="11"/>
      <c r="J563" s="11"/>
      <c r="K563" s="11"/>
      <c r="L563" s="11"/>
      <c r="M563" s="11"/>
    </row>
    <row r="564" spans="1:13" ht="12" customHeight="1" thickBot="1" x14ac:dyDescent="0.3">
      <c r="A564" s="799"/>
      <c r="B564" s="37" t="s">
        <v>112</v>
      </c>
      <c r="C564" s="154"/>
      <c r="D564" s="154"/>
      <c r="E564" s="1344"/>
      <c r="F564" s="189"/>
      <c r="G564" s="783"/>
      <c r="H564" s="11"/>
      <c r="I564" s="11"/>
      <c r="J564" s="11"/>
      <c r="K564" s="11"/>
      <c r="L564" s="11"/>
      <c r="M564" s="11"/>
    </row>
    <row r="565" spans="1:13" ht="12.6" thickBot="1" x14ac:dyDescent="0.3">
      <c r="A565" s="868"/>
      <c r="B565" s="137" t="s">
        <v>57</v>
      </c>
      <c r="C565" s="150">
        <f t="shared" ref="C565" si="76">SUM(C557:C564)</f>
        <v>13000</v>
      </c>
      <c r="D565" s="150">
        <f t="shared" ref="D565:E565" si="77">SUM(D557:D564)</f>
        <v>13000</v>
      </c>
      <c r="E565" s="1306">
        <f t="shared" si="77"/>
        <v>15000</v>
      </c>
      <c r="F565" s="174">
        <f>SUM(E565/D565)</f>
        <v>1.1538461538461537</v>
      </c>
      <c r="G565" s="203"/>
      <c r="H565" s="11"/>
      <c r="I565" s="11"/>
      <c r="J565" s="11"/>
      <c r="K565" s="11"/>
      <c r="L565" s="11"/>
      <c r="M565" s="11"/>
    </row>
    <row r="566" spans="1:13" ht="12" x14ac:dyDescent="0.25">
      <c r="A566" s="738">
        <v>3312</v>
      </c>
      <c r="B566" s="48" t="s">
        <v>144</v>
      </c>
      <c r="C566" s="54"/>
      <c r="D566" s="54"/>
      <c r="E566" s="1303"/>
      <c r="F566" s="125"/>
      <c r="G566" s="861"/>
      <c r="H566" s="11"/>
      <c r="I566" s="11"/>
      <c r="J566" s="11"/>
      <c r="K566" s="11"/>
      <c r="L566" s="11"/>
      <c r="M566" s="11"/>
    </row>
    <row r="567" spans="1:13" ht="12" x14ac:dyDescent="0.25">
      <c r="A567" s="799"/>
      <c r="B567" s="21" t="s">
        <v>45</v>
      </c>
      <c r="C567" s="51"/>
      <c r="D567" s="51"/>
      <c r="E567" s="1304"/>
      <c r="F567" s="125"/>
      <c r="G567" s="861"/>
      <c r="H567" s="11"/>
      <c r="I567" s="11"/>
      <c r="J567" s="11"/>
      <c r="K567" s="11"/>
      <c r="L567" s="11"/>
      <c r="M567" s="11"/>
    </row>
    <row r="568" spans="1:13" ht="13.2" x14ac:dyDescent="0.25">
      <c r="A568" s="799"/>
      <c r="B568" s="3" t="s">
        <v>125</v>
      </c>
      <c r="C568" s="51"/>
      <c r="D568" s="51"/>
      <c r="E568" s="1304"/>
      <c r="F568" s="188"/>
      <c r="G568" s="917"/>
      <c r="H568" s="11"/>
      <c r="I568" s="11"/>
      <c r="J568" s="11"/>
      <c r="K568" s="11"/>
      <c r="L568" s="11"/>
      <c r="M568" s="11"/>
    </row>
    <row r="569" spans="1:13" ht="12" x14ac:dyDescent="0.25">
      <c r="A569" s="799"/>
      <c r="B569" s="56" t="s">
        <v>117</v>
      </c>
      <c r="C569" s="51"/>
      <c r="D569" s="51"/>
      <c r="E569" s="1304"/>
      <c r="F569" s="149"/>
      <c r="G569" s="876"/>
      <c r="H569" s="11"/>
      <c r="I569" s="11"/>
      <c r="J569" s="11"/>
      <c r="K569" s="11"/>
      <c r="L569" s="11"/>
      <c r="M569" s="11"/>
    </row>
    <row r="570" spans="1:13" ht="12" x14ac:dyDescent="0.25">
      <c r="A570" s="799"/>
      <c r="B570" s="135" t="s">
        <v>49</v>
      </c>
      <c r="C570" s="51">
        <v>35000</v>
      </c>
      <c r="D570" s="51">
        <v>35000</v>
      </c>
      <c r="E570" s="1304">
        <f>35000+107</f>
        <v>35107</v>
      </c>
      <c r="F570" s="149">
        <f>SUM(E570/D570)</f>
        <v>1.0030571428571429</v>
      </c>
      <c r="G570" s="862"/>
      <c r="H570" s="11"/>
      <c r="I570" s="11"/>
      <c r="J570" s="11"/>
      <c r="K570" s="11"/>
      <c r="L570" s="11"/>
      <c r="M570" s="11"/>
    </row>
    <row r="571" spans="1:13" ht="12" x14ac:dyDescent="0.25">
      <c r="A571" s="799"/>
      <c r="B571" s="135" t="s">
        <v>122</v>
      </c>
      <c r="C571" s="51"/>
      <c r="D571" s="51"/>
      <c r="E571" s="1304"/>
      <c r="F571" s="149"/>
      <c r="G571" s="862"/>
      <c r="H571" s="11"/>
      <c r="I571" s="11"/>
      <c r="J571" s="11"/>
      <c r="K571" s="11"/>
      <c r="L571" s="11"/>
      <c r="M571" s="11"/>
    </row>
    <row r="572" spans="1:13" ht="12" x14ac:dyDescent="0.25">
      <c r="A572" s="799"/>
      <c r="B572" s="3" t="s">
        <v>97</v>
      </c>
      <c r="C572" s="51"/>
      <c r="D572" s="51"/>
      <c r="E572" s="1304"/>
      <c r="F572" s="149"/>
      <c r="G572" s="862"/>
      <c r="H572" s="11"/>
      <c r="I572" s="11"/>
      <c r="J572" s="11"/>
      <c r="K572" s="11"/>
      <c r="L572" s="11"/>
      <c r="M572" s="11"/>
    </row>
    <row r="573" spans="1:13" ht="13.2" x14ac:dyDescent="0.25">
      <c r="A573" s="799"/>
      <c r="B573" s="133" t="s">
        <v>185</v>
      </c>
      <c r="C573" s="152"/>
      <c r="D573" s="152"/>
      <c r="E573" s="1342"/>
      <c r="F573" s="149"/>
      <c r="G573" s="918"/>
      <c r="H573" s="11"/>
      <c r="I573" s="11"/>
      <c r="J573" s="11"/>
      <c r="K573" s="11"/>
      <c r="L573" s="11"/>
      <c r="M573" s="11"/>
    </row>
    <row r="574" spans="1:13" ht="12.6" thickBot="1" x14ac:dyDescent="0.3">
      <c r="A574" s="799"/>
      <c r="B574" s="37" t="s">
        <v>112</v>
      </c>
      <c r="C574" s="154"/>
      <c r="D574" s="154"/>
      <c r="E574" s="1344"/>
      <c r="F574" s="190"/>
      <c r="G574" s="783"/>
      <c r="H574" s="11"/>
      <c r="I574" s="11"/>
      <c r="J574" s="11"/>
      <c r="K574" s="11"/>
      <c r="L574" s="11"/>
      <c r="M574" s="11"/>
    </row>
    <row r="575" spans="1:13" ht="12.6" thickBot="1" x14ac:dyDescent="0.3">
      <c r="A575" s="868"/>
      <c r="B575" s="137" t="s">
        <v>57</v>
      </c>
      <c r="C575" s="150">
        <f t="shared" ref="C575:D575" si="78">SUM(C567:C574)</f>
        <v>35000</v>
      </c>
      <c r="D575" s="150">
        <f t="shared" si="78"/>
        <v>35000</v>
      </c>
      <c r="E575" s="1306">
        <f t="shared" ref="E575" si="79">SUM(E567:E574)</f>
        <v>35107</v>
      </c>
      <c r="F575" s="174">
        <f>SUM(E575/D575)</f>
        <v>1.0030571428571429</v>
      </c>
      <c r="G575" s="203"/>
      <c r="H575" s="11"/>
      <c r="I575" s="11"/>
      <c r="J575" s="11"/>
      <c r="K575" s="11"/>
      <c r="L575" s="11"/>
      <c r="M575" s="11"/>
    </row>
    <row r="576" spans="1:13" ht="12" x14ac:dyDescent="0.25">
      <c r="A576" s="738">
        <v>3313</v>
      </c>
      <c r="B576" s="148" t="s">
        <v>218</v>
      </c>
      <c r="C576" s="54"/>
      <c r="D576" s="54"/>
      <c r="E576" s="1303"/>
      <c r="F576" s="125"/>
      <c r="G576" s="861"/>
      <c r="H576" s="11"/>
      <c r="I576" s="11"/>
      <c r="J576" s="11"/>
      <c r="K576" s="11"/>
      <c r="L576" s="11"/>
      <c r="M576" s="11"/>
    </row>
    <row r="577" spans="1:13" ht="12" x14ac:dyDescent="0.25">
      <c r="A577" s="799"/>
      <c r="B577" s="21" t="s">
        <v>45</v>
      </c>
      <c r="C577" s="51"/>
      <c r="D577" s="51"/>
      <c r="E577" s="1304"/>
      <c r="F577" s="188"/>
      <c r="G577" s="861"/>
      <c r="H577" s="11"/>
      <c r="I577" s="11"/>
      <c r="J577" s="11"/>
      <c r="K577" s="11"/>
      <c r="L577" s="11"/>
      <c r="M577" s="11"/>
    </row>
    <row r="578" spans="1:13" ht="13.2" x14ac:dyDescent="0.25">
      <c r="A578" s="799"/>
      <c r="B578" s="3" t="s">
        <v>125</v>
      </c>
      <c r="C578" s="51"/>
      <c r="D578" s="51"/>
      <c r="E578" s="1304"/>
      <c r="F578" s="149"/>
      <c r="G578" s="917"/>
      <c r="H578" s="11"/>
      <c r="I578" s="11"/>
      <c r="J578" s="11"/>
      <c r="K578" s="11"/>
      <c r="L578" s="11"/>
      <c r="M578" s="11"/>
    </row>
    <row r="579" spans="1:13" ht="12" x14ac:dyDescent="0.25">
      <c r="A579" s="799"/>
      <c r="B579" s="56" t="s">
        <v>117</v>
      </c>
      <c r="C579" s="51"/>
      <c r="D579" s="51"/>
      <c r="E579" s="1304"/>
      <c r="F579" s="149"/>
      <c r="G579" s="876"/>
      <c r="H579" s="11"/>
      <c r="I579" s="11"/>
      <c r="J579" s="11"/>
      <c r="K579" s="11"/>
      <c r="L579" s="11"/>
      <c r="M579" s="11"/>
    </row>
    <row r="580" spans="1:13" ht="12" x14ac:dyDescent="0.25">
      <c r="A580" s="799"/>
      <c r="B580" s="135" t="s">
        <v>49</v>
      </c>
      <c r="C580" s="51">
        <v>13000</v>
      </c>
      <c r="D580" s="51">
        <v>13000</v>
      </c>
      <c r="E580" s="1304">
        <f>13000+75</f>
        <v>13075</v>
      </c>
      <c r="F580" s="149">
        <f>SUM(E580/D580)</f>
        <v>1.0057692307692307</v>
      </c>
      <c r="G580" s="862"/>
      <c r="H580" s="11"/>
      <c r="I580" s="11"/>
      <c r="J580" s="11"/>
      <c r="K580" s="11"/>
      <c r="L580" s="11"/>
      <c r="M580" s="11"/>
    </row>
    <row r="581" spans="1:13" ht="12" x14ac:dyDescent="0.25">
      <c r="A581" s="799"/>
      <c r="B581" s="135" t="s">
        <v>122</v>
      </c>
      <c r="C581" s="51"/>
      <c r="D581" s="51"/>
      <c r="E581" s="1304"/>
      <c r="F581" s="149"/>
      <c r="G581" s="862"/>
      <c r="H581" s="11"/>
      <c r="I581" s="11"/>
      <c r="J581" s="11"/>
      <c r="K581" s="11"/>
      <c r="L581" s="11"/>
      <c r="M581" s="11"/>
    </row>
    <row r="582" spans="1:13" ht="12" x14ac:dyDescent="0.25">
      <c r="A582" s="799"/>
      <c r="B582" s="3" t="s">
        <v>97</v>
      </c>
      <c r="C582" s="51"/>
      <c r="D582" s="51"/>
      <c r="E582" s="1304"/>
      <c r="F582" s="149"/>
      <c r="G582" s="862"/>
      <c r="H582" s="11"/>
      <c r="I582" s="11"/>
      <c r="J582" s="11"/>
      <c r="K582" s="11"/>
      <c r="L582" s="11"/>
      <c r="M582" s="11"/>
    </row>
    <row r="583" spans="1:13" ht="13.2" x14ac:dyDescent="0.25">
      <c r="A583" s="799"/>
      <c r="B583" s="133" t="s">
        <v>185</v>
      </c>
      <c r="C583" s="152"/>
      <c r="D583" s="152"/>
      <c r="E583" s="1342"/>
      <c r="F583" s="149"/>
      <c r="G583" s="918"/>
      <c r="H583" s="11"/>
      <c r="I583" s="11"/>
      <c r="J583" s="11"/>
      <c r="K583" s="11"/>
      <c r="L583" s="11"/>
      <c r="M583" s="11"/>
    </row>
    <row r="584" spans="1:13" ht="12.6" thickBot="1" x14ac:dyDescent="0.3">
      <c r="A584" s="799"/>
      <c r="B584" s="37" t="s">
        <v>112</v>
      </c>
      <c r="C584" s="154"/>
      <c r="D584" s="154"/>
      <c r="E584" s="1344"/>
      <c r="F584" s="189"/>
      <c r="G584" s="783"/>
      <c r="H584" s="11"/>
      <c r="I584" s="11"/>
      <c r="J584" s="11"/>
      <c r="K584" s="11"/>
      <c r="L584" s="11"/>
      <c r="M584" s="11"/>
    </row>
    <row r="585" spans="1:13" ht="12.6" thickBot="1" x14ac:dyDescent="0.3">
      <c r="A585" s="868"/>
      <c r="B585" s="137" t="s">
        <v>57</v>
      </c>
      <c r="C585" s="150">
        <f t="shared" ref="C585" si="80">SUM(C577:C584)</f>
        <v>13000</v>
      </c>
      <c r="D585" s="150">
        <f t="shared" ref="D585:E585" si="81">SUM(D577:D584)</f>
        <v>13000</v>
      </c>
      <c r="E585" s="1306">
        <f t="shared" si="81"/>
        <v>13075</v>
      </c>
      <c r="F585" s="174">
        <f>SUM(E585/D585)</f>
        <v>1.0057692307692307</v>
      </c>
      <c r="G585" s="203"/>
      <c r="H585" s="11"/>
      <c r="I585" s="11"/>
      <c r="J585" s="11"/>
      <c r="K585" s="11"/>
      <c r="L585" s="11"/>
      <c r="M585" s="11"/>
    </row>
    <row r="586" spans="1:13" ht="12" x14ac:dyDescent="0.25">
      <c r="A586" s="738">
        <v>3316</v>
      </c>
      <c r="B586" s="48" t="s">
        <v>59</v>
      </c>
      <c r="C586" s="54"/>
      <c r="D586" s="54"/>
      <c r="E586" s="1303"/>
      <c r="F586" s="125"/>
      <c r="G586" s="861"/>
      <c r="H586" s="11"/>
      <c r="I586" s="11"/>
      <c r="J586" s="11"/>
      <c r="K586" s="11"/>
      <c r="L586" s="11"/>
      <c r="M586" s="11"/>
    </row>
    <row r="587" spans="1:13" ht="12" x14ac:dyDescent="0.25">
      <c r="A587" s="799"/>
      <c r="B587" s="21" t="s">
        <v>45</v>
      </c>
      <c r="C587" s="51"/>
      <c r="D587" s="51"/>
      <c r="E587" s="1304"/>
      <c r="F587" s="125"/>
      <c r="G587" s="861"/>
      <c r="H587" s="11"/>
      <c r="I587" s="11"/>
      <c r="J587" s="11"/>
      <c r="K587" s="11"/>
      <c r="L587" s="11"/>
      <c r="M587" s="11"/>
    </row>
    <row r="588" spans="1:13" ht="13.2" x14ac:dyDescent="0.25">
      <c r="A588" s="799"/>
      <c r="B588" s="3" t="s">
        <v>125</v>
      </c>
      <c r="C588" s="51"/>
      <c r="D588" s="51"/>
      <c r="E588" s="1304"/>
      <c r="F588" s="125"/>
      <c r="G588" s="917"/>
      <c r="H588" s="11"/>
      <c r="I588" s="11"/>
      <c r="J588" s="11"/>
      <c r="K588" s="11"/>
      <c r="L588" s="11"/>
      <c r="M588" s="11"/>
    </row>
    <row r="589" spans="1:13" ht="12" x14ac:dyDescent="0.25">
      <c r="A589" s="799"/>
      <c r="B589" s="56" t="s">
        <v>117</v>
      </c>
      <c r="C589" s="51"/>
      <c r="D589" s="51"/>
      <c r="E589" s="1304"/>
      <c r="F589" s="188"/>
      <c r="G589" s="862"/>
      <c r="H589" s="11"/>
      <c r="I589" s="11"/>
      <c r="J589" s="11"/>
      <c r="K589" s="11"/>
      <c r="L589" s="11"/>
      <c r="M589" s="11"/>
    </row>
    <row r="590" spans="1:13" ht="12" x14ac:dyDescent="0.25">
      <c r="A590" s="799"/>
      <c r="B590" s="135" t="s">
        <v>49</v>
      </c>
      <c r="C590" s="51">
        <v>3000</v>
      </c>
      <c r="D590" s="51">
        <v>3000</v>
      </c>
      <c r="E590" s="1304">
        <v>3000</v>
      </c>
      <c r="F590" s="149">
        <f>SUM(E590/D590)</f>
        <v>1</v>
      </c>
      <c r="G590" s="861"/>
      <c r="H590" s="11"/>
      <c r="I590" s="11"/>
      <c r="J590" s="11"/>
      <c r="K590" s="11"/>
      <c r="L590" s="11"/>
      <c r="M590" s="11"/>
    </row>
    <row r="591" spans="1:13" ht="12" x14ac:dyDescent="0.25">
      <c r="A591" s="799"/>
      <c r="B591" s="135" t="s">
        <v>122</v>
      </c>
      <c r="C591" s="51"/>
      <c r="D591" s="51"/>
      <c r="E591" s="1304"/>
      <c r="F591" s="149"/>
      <c r="G591" s="861"/>
      <c r="H591" s="11"/>
      <c r="I591" s="11"/>
      <c r="J591" s="11"/>
      <c r="K591" s="11"/>
      <c r="L591" s="11"/>
      <c r="M591" s="11"/>
    </row>
    <row r="592" spans="1:13" ht="12" x14ac:dyDescent="0.25">
      <c r="A592" s="799"/>
      <c r="B592" s="3" t="s">
        <v>97</v>
      </c>
      <c r="C592" s="51"/>
      <c r="D592" s="51"/>
      <c r="E592" s="1304"/>
      <c r="F592" s="149"/>
      <c r="G592" s="861"/>
      <c r="H592" s="11"/>
      <c r="I592" s="11"/>
      <c r="J592" s="11"/>
      <c r="K592" s="11"/>
      <c r="L592" s="11"/>
      <c r="M592" s="11"/>
    </row>
    <row r="593" spans="1:13" ht="12" x14ac:dyDescent="0.25">
      <c r="A593" s="799"/>
      <c r="B593" s="133" t="s">
        <v>185</v>
      </c>
      <c r="C593" s="152"/>
      <c r="D593" s="152"/>
      <c r="E593" s="1342"/>
      <c r="F593" s="149"/>
      <c r="G593" s="861"/>
      <c r="H593" s="11"/>
      <c r="I593" s="11"/>
      <c r="J593" s="11"/>
      <c r="K593" s="11"/>
      <c r="L593" s="11"/>
      <c r="M593" s="11"/>
    </row>
    <row r="594" spans="1:13" ht="12.6" thickBot="1" x14ac:dyDescent="0.3">
      <c r="A594" s="799"/>
      <c r="B594" s="37" t="s">
        <v>112</v>
      </c>
      <c r="C594" s="154"/>
      <c r="D594" s="154"/>
      <c r="E594" s="1344"/>
      <c r="F594" s="189"/>
      <c r="G594" s="783"/>
      <c r="H594" s="11"/>
      <c r="I594" s="11"/>
      <c r="J594" s="11"/>
      <c r="K594" s="11"/>
      <c r="L594" s="11"/>
      <c r="M594" s="11"/>
    </row>
    <row r="595" spans="1:13" ht="12.6" thickBot="1" x14ac:dyDescent="0.3">
      <c r="A595" s="868"/>
      <c r="B595" s="137" t="s">
        <v>57</v>
      </c>
      <c r="C595" s="150">
        <f t="shared" ref="C595" si="82">SUM(C587:C594)</f>
        <v>3000</v>
      </c>
      <c r="D595" s="150">
        <f t="shared" ref="D595:E595" si="83">SUM(D587:D594)</f>
        <v>3000</v>
      </c>
      <c r="E595" s="1306">
        <f t="shared" si="83"/>
        <v>3000</v>
      </c>
      <c r="F595" s="174">
        <f>SUM(E595/D595)</f>
        <v>1</v>
      </c>
      <c r="G595" s="203"/>
      <c r="H595" s="11"/>
      <c r="I595" s="11"/>
      <c r="J595" s="11"/>
      <c r="K595" s="11"/>
      <c r="L595" s="11"/>
      <c r="M595" s="11"/>
    </row>
    <row r="596" spans="1:13" ht="12" x14ac:dyDescent="0.25">
      <c r="A596" s="738">
        <v>3317</v>
      </c>
      <c r="B596" s="175" t="s">
        <v>204</v>
      </c>
      <c r="C596" s="54"/>
      <c r="D596" s="54"/>
      <c r="E596" s="1303"/>
      <c r="F596" s="125"/>
      <c r="G596" s="861"/>
      <c r="H596" s="11"/>
      <c r="I596" s="11"/>
      <c r="J596" s="11"/>
      <c r="K596" s="11"/>
      <c r="L596" s="11"/>
      <c r="M596" s="11"/>
    </row>
    <row r="597" spans="1:13" ht="12" x14ac:dyDescent="0.25">
      <c r="A597" s="799"/>
      <c r="B597" s="21" t="s">
        <v>45</v>
      </c>
      <c r="C597" s="51"/>
      <c r="D597" s="51"/>
      <c r="E597" s="1304"/>
      <c r="F597" s="125"/>
      <c r="G597" s="861"/>
      <c r="H597" s="11"/>
      <c r="I597" s="11"/>
      <c r="J597" s="11"/>
      <c r="K597" s="11"/>
      <c r="L597" s="11"/>
      <c r="M597" s="11"/>
    </row>
    <row r="598" spans="1:13" ht="12" x14ac:dyDescent="0.25">
      <c r="A598" s="799"/>
      <c r="B598" s="3" t="s">
        <v>125</v>
      </c>
      <c r="C598" s="51"/>
      <c r="D598" s="51"/>
      <c r="E598" s="1304"/>
      <c r="F598" s="188"/>
      <c r="G598" s="876"/>
      <c r="H598" s="11"/>
      <c r="I598" s="11"/>
      <c r="J598" s="11"/>
      <c r="K598" s="11"/>
      <c r="L598" s="11"/>
      <c r="M598" s="11"/>
    </row>
    <row r="599" spans="1:13" ht="12" x14ac:dyDescent="0.25">
      <c r="A599" s="799"/>
      <c r="B599" s="56" t="s">
        <v>117</v>
      </c>
      <c r="C599" s="51"/>
      <c r="D599" s="51"/>
      <c r="E599" s="1304"/>
      <c r="F599" s="149"/>
      <c r="G599" s="876"/>
      <c r="H599" s="11"/>
      <c r="I599" s="11"/>
      <c r="J599" s="11"/>
      <c r="K599" s="11"/>
      <c r="L599" s="11"/>
      <c r="M599" s="11"/>
    </row>
    <row r="600" spans="1:13" ht="12" x14ac:dyDescent="0.25">
      <c r="A600" s="799"/>
      <c r="B600" s="135" t="s">
        <v>49</v>
      </c>
      <c r="C600" s="51">
        <v>35000</v>
      </c>
      <c r="D600" s="51">
        <v>35000</v>
      </c>
      <c r="E600" s="1304">
        <f>35000+74</f>
        <v>35074</v>
      </c>
      <c r="F600" s="149">
        <f>SUM(E600/D600)</f>
        <v>1.0021142857142857</v>
      </c>
      <c r="G600" s="862"/>
      <c r="H600" s="11"/>
      <c r="I600" s="11"/>
      <c r="J600" s="11"/>
      <c r="K600" s="11"/>
      <c r="L600" s="11"/>
      <c r="M600" s="11"/>
    </row>
    <row r="601" spans="1:13" ht="12" x14ac:dyDescent="0.25">
      <c r="A601" s="799"/>
      <c r="B601" s="135" t="s">
        <v>122</v>
      </c>
      <c r="C601" s="51"/>
      <c r="D601" s="51"/>
      <c r="E601" s="1304"/>
      <c r="F601" s="149"/>
      <c r="G601" s="862"/>
      <c r="H601" s="11"/>
      <c r="I601" s="11"/>
      <c r="J601" s="11"/>
      <c r="K601" s="11"/>
      <c r="L601" s="11"/>
      <c r="M601" s="11"/>
    </row>
    <row r="602" spans="1:13" ht="12" x14ac:dyDescent="0.25">
      <c r="A602" s="799"/>
      <c r="B602" s="3" t="s">
        <v>97</v>
      </c>
      <c r="C602" s="51"/>
      <c r="D602" s="51"/>
      <c r="E602" s="1304"/>
      <c r="F602" s="149"/>
      <c r="G602" s="862"/>
      <c r="H602" s="11"/>
      <c r="I602" s="11"/>
      <c r="J602" s="11"/>
      <c r="K602" s="11"/>
      <c r="L602" s="11"/>
      <c r="M602" s="11"/>
    </row>
    <row r="603" spans="1:13" ht="13.2" x14ac:dyDescent="0.25">
      <c r="A603" s="799"/>
      <c r="B603" s="133" t="s">
        <v>185</v>
      </c>
      <c r="C603" s="152"/>
      <c r="D603" s="152"/>
      <c r="E603" s="1342"/>
      <c r="F603" s="149"/>
      <c r="G603" s="918"/>
      <c r="H603" s="11"/>
      <c r="I603" s="11"/>
      <c r="J603" s="11"/>
      <c r="K603" s="11"/>
      <c r="L603" s="11"/>
      <c r="M603" s="11"/>
    </row>
    <row r="604" spans="1:13" ht="12.6" thickBot="1" x14ac:dyDescent="0.3">
      <c r="A604" s="799"/>
      <c r="B604" s="37" t="s">
        <v>112</v>
      </c>
      <c r="C604" s="154"/>
      <c r="D604" s="154"/>
      <c r="E604" s="1344"/>
      <c r="F604" s="189"/>
      <c r="G604" s="783"/>
      <c r="H604" s="11"/>
      <c r="I604" s="11"/>
      <c r="J604" s="11"/>
      <c r="K604" s="11"/>
      <c r="L604" s="11"/>
      <c r="M604" s="11"/>
    </row>
    <row r="605" spans="1:13" ht="12.6" thickBot="1" x14ac:dyDescent="0.3">
      <c r="A605" s="868"/>
      <c r="B605" s="137" t="s">
        <v>57</v>
      </c>
      <c r="C605" s="150">
        <f t="shared" ref="C605:D605" si="84">SUM(C597:C604)</f>
        <v>35000</v>
      </c>
      <c r="D605" s="150">
        <f t="shared" si="84"/>
        <v>35000</v>
      </c>
      <c r="E605" s="1306">
        <f t="shared" ref="E605" si="85">SUM(E597:E604)</f>
        <v>35074</v>
      </c>
      <c r="F605" s="174">
        <f>SUM(E605/D605)</f>
        <v>1.0021142857142857</v>
      </c>
      <c r="G605" s="203"/>
      <c r="H605" s="11"/>
      <c r="I605" s="11"/>
      <c r="J605" s="11"/>
      <c r="K605" s="11"/>
      <c r="L605" s="11"/>
      <c r="M605" s="11"/>
    </row>
    <row r="606" spans="1:13" ht="12" customHeight="1" x14ac:dyDescent="0.25">
      <c r="A606" s="755">
        <v>3323</v>
      </c>
      <c r="B606" s="48" t="s">
        <v>135</v>
      </c>
      <c r="C606" s="54"/>
      <c r="D606" s="54"/>
      <c r="E606" s="1303"/>
      <c r="F606" s="125"/>
      <c r="G606" s="861"/>
      <c r="H606" s="11"/>
      <c r="I606" s="11"/>
      <c r="J606" s="11"/>
      <c r="K606" s="11"/>
      <c r="L606" s="11"/>
      <c r="M606" s="11"/>
    </row>
    <row r="607" spans="1:13" ht="12" customHeight="1" x14ac:dyDescent="0.25">
      <c r="A607" s="799"/>
      <c r="B607" s="21" t="s">
        <v>45</v>
      </c>
      <c r="C607" s="51"/>
      <c r="D607" s="51"/>
      <c r="E607" s="1304"/>
      <c r="F607" s="125"/>
      <c r="G607" s="861"/>
      <c r="H607" s="11"/>
      <c r="I607" s="11"/>
      <c r="J607" s="11"/>
      <c r="K607" s="11"/>
      <c r="L607" s="11"/>
      <c r="M607" s="11"/>
    </row>
    <row r="608" spans="1:13" ht="12" customHeight="1" x14ac:dyDescent="0.25">
      <c r="A608" s="799"/>
      <c r="B608" s="3" t="s">
        <v>125</v>
      </c>
      <c r="C608" s="51"/>
      <c r="D608" s="51"/>
      <c r="E608" s="1304"/>
      <c r="F608" s="125"/>
      <c r="G608" s="917"/>
      <c r="H608" s="11"/>
      <c r="I608" s="11"/>
      <c r="J608" s="11"/>
      <c r="K608" s="11"/>
      <c r="L608" s="11"/>
      <c r="M608" s="11"/>
    </row>
    <row r="609" spans="1:13" ht="12" customHeight="1" x14ac:dyDescent="0.25">
      <c r="A609" s="799"/>
      <c r="B609" s="56" t="s">
        <v>117</v>
      </c>
      <c r="C609" s="51"/>
      <c r="D609" s="51"/>
      <c r="E609" s="1304"/>
      <c r="F609" s="188"/>
      <c r="G609" s="876"/>
      <c r="H609" s="11"/>
      <c r="I609" s="11"/>
      <c r="J609" s="11"/>
      <c r="K609" s="11"/>
      <c r="L609" s="11"/>
      <c r="M609" s="11"/>
    </row>
    <row r="610" spans="1:13" ht="12" customHeight="1" x14ac:dyDescent="0.25">
      <c r="A610" s="799"/>
      <c r="B610" s="135" t="s">
        <v>49</v>
      </c>
      <c r="C610" s="51">
        <v>10000</v>
      </c>
      <c r="D610" s="51">
        <v>10000</v>
      </c>
      <c r="E610" s="1304">
        <f>10000+2000</f>
        <v>12000</v>
      </c>
      <c r="F610" s="149">
        <f>SUM(E610/D610)</f>
        <v>1.2</v>
      </c>
      <c r="G610" s="872"/>
      <c r="H610" s="11"/>
      <c r="I610" s="11"/>
      <c r="J610" s="11"/>
      <c r="K610" s="11"/>
      <c r="L610" s="11"/>
      <c r="M610" s="11"/>
    </row>
    <row r="611" spans="1:13" ht="12" customHeight="1" x14ac:dyDescent="0.25">
      <c r="A611" s="799"/>
      <c r="B611" s="135" t="s">
        <v>122</v>
      </c>
      <c r="C611" s="51"/>
      <c r="D611" s="51"/>
      <c r="E611" s="1304"/>
      <c r="F611" s="149"/>
      <c r="G611" s="872"/>
      <c r="H611" s="11"/>
      <c r="I611" s="11"/>
      <c r="J611" s="11"/>
      <c r="K611" s="11"/>
      <c r="L611" s="11"/>
      <c r="M611" s="11"/>
    </row>
    <row r="612" spans="1:13" ht="12" customHeight="1" x14ac:dyDescent="0.25">
      <c r="A612" s="799"/>
      <c r="B612" s="3" t="s">
        <v>97</v>
      </c>
      <c r="C612" s="51"/>
      <c r="D612" s="51"/>
      <c r="E612" s="1304"/>
      <c r="F612" s="149"/>
      <c r="G612" s="872"/>
      <c r="H612" s="11"/>
      <c r="I612" s="11"/>
      <c r="J612" s="11"/>
      <c r="K612" s="11"/>
      <c r="L612" s="11"/>
      <c r="M612" s="11"/>
    </row>
    <row r="613" spans="1:13" ht="12" customHeight="1" x14ac:dyDescent="0.25">
      <c r="A613" s="799"/>
      <c r="B613" s="133" t="s">
        <v>185</v>
      </c>
      <c r="C613" s="152"/>
      <c r="D613" s="152"/>
      <c r="E613" s="1342"/>
      <c r="F613" s="149"/>
      <c r="G613" s="917"/>
      <c r="H613" s="11"/>
      <c r="I613" s="11"/>
      <c r="J613" s="11"/>
      <c r="K613" s="11"/>
      <c r="L613" s="11"/>
      <c r="M613" s="11"/>
    </row>
    <row r="614" spans="1:13" ht="12" customHeight="1" thickBot="1" x14ac:dyDescent="0.3">
      <c r="A614" s="799"/>
      <c r="B614" s="37" t="s">
        <v>112</v>
      </c>
      <c r="C614" s="154"/>
      <c r="D614" s="154"/>
      <c r="E614" s="1344"/>
      <c r="F614" s="189"/>
      <c r="G614" s="919"/>
      <c r="H614" s="11"/>
      <c r="I614" s="11"/>
      <c r="J614" s="11"/>
      <c r="K614" s="11"/>
      <c r="L614" s="11"/>
      <c r="M614" s="11"/>
    </row>
    <row r="615" spans="1:13" ht="12" customHeight="1" thickBot="1" x14ac:dyDescent="0.3">
      <c r="A615" s="868"/>
      <c r="B615" s="137" t="s">
        <v>57</v>
      </c>
      <c r="C615" s="150">
        <f t="shared" ref="C615" si="86">SUM(C607:C614)</f>
        <v>10000</v>
      </c>
      <c r="D615" s="150">
        <f t="shared" ref="D615:E615" si="87">SUM(D607:D614)</f>
        <v>10000</v>
      </c>
      <c r="E615" s="1306">
        <f t="shared" si="87"/>
        <v>12000</v>
      </c>
      <c r="F615" s="174">
        <f>SUM(E615/D615)</f>
        <v>1.2</v>
      </c>
      <c r="G615" s="203"/>
      <c r="H615" s="11"/>
      <c r="I615" s="11"/>
      <c r="J615" s="11"/>
      <c r="K615" s="11"/>
      <c r="L615" s="11"/>
      <c r="M615" s="11"/>
    </row>
    <row r="616" spans="1:13" ht="12" customHeight="1" x14ac:dyDescent="0.25">
      <c r="A616" s="755">
        <v>3325</v>
      </c>
      <c r="B616" s="48" t="s">
        <v>205</v>
      </c>
      <c r="C616" s="54"/>
      <c r="D616" s="54"/>
      <c r="E616" s="1303"/>
      <c r="F616" s="125"/>
      <c r="G616" s="861"/>
      <c r="H616" s="11"/>
      <c r="I616" s="11"/>
      <c r="J616" s="11"/>
      <c r="K616" s="11"/>
      <c r="L616" s="11"/>
      <c r="M616" s="11"/>
    </row>
    <row r="617" spans="1:13" ht="12" customHeight="1" x14ac:dyDescent="0.25">
      <c r="A617" s="799"/>
      <c r="B617" s="21" t="s">
        <v>45</v>
      </c>
      <c r="C617" s="51"/>
      <c r="D617" s="51"/>
      <c r="E617" s="1304"/>
      <c r="F617" s="125"/>
      <c r="G617" s="861"/>
      <c r="H617" s="11"/>
      <c r="I617" s="11"/>
      <c r="J617" s="11"/>
      <c r="K617" s="11"/>
      <c r="L617" s="11"/>
      <c r="M617" s="11"/>
    </row>
    <row r="618" spans="1:13" ht="12" customHeight="1" x14ac:dyDescent="0.25">
      <c r="A618" s="799"/>
      <c r="B618" s="3" t="s">
        <v>125</v>
      </c>
      <c r="C618" s="51"/>
      <c r="D618" s="51"/>
      <c r="E618" s="1304"/>
      <c r="F618" s="188"/>
      <c r="G618" s="916"/>
      <c r="H618" s="11"/>
      <c r="I618" s="11"/>
      <c r="J618" s="11"/>
      <c r="K618" s="11"/>
      <c r="L618" s="11"/>
      <c r="M618" s="11"/>
    </row>
    <row r="619" spans="1:13" ht="12" customHeight="1" x14ac:dyDescent="0.25">
      <c r="A619" s="799"/>
      <c r="B619" s="56" t="s">
        <v>117</v>
      </c>
      <c r="C619" s="51"/>
      <c r="D619" s="51"/>
      <c r="E619" s="1304"/>
      <c r="F619" s="149"/>
      <c r="G619" s="920"/>
      <c r="H619" s="11"/>
      <c r="I619" s="11"/>
      <c r="J619" s="11"/>
      <c r="K619" s="11"/>
      <c r="L619" s="11"/>
      <c r="M619" s="11"/>
    </row>
    <row r="620" spans="1:13" ht="12" customHeight="1" x14ac:dyDescent="0.25">
      <c r="A620" s="799"/>
      <c r="B620" s="135" t="s">
        <v>49</v>
      </c>
      <c r="C620" s="51">
        <v>10000</v>
      </c>
      <c r="D620" s="51">
        <v>10000</v>
      </c>
      <c r="E620" s="1304">
        <v>10000</v>
      </c>
      <c r="F620" s="149">
        <f>SUM(E620/D620)</f>
        <v>1</v>
      </c>
      <c r="G620" s="921"/>
      <c r="H620" s="11"/>
      <c r="I620" s="11"/>
      <c r="J620" s="11"/>
      <c r="K620" s="11"/>
      <c r="L620" s="11"/>
      <c r="M620" s="11"/>
    </row>
    <row r="621" spans="1:13" ht="12" customHeight="1" x14ac:dyDescent="0.25">
      <c r="A621" s="799"/>
      <c r="B621" s="135" t="s">
        <v>122</v>
      </c>
      <c r="C621" s="51"/>
      <c r="D621" s="51"/>
      <c r="E621" s="1304"/>
      <c r="F621" s="149"/>
      <c r="G621" s="921"/>
      <c r="H621" s="11"/>
      <c r="I621" s="11"/>
      <c r="J621" s="11"/>
      <c r="K621" s="11"/>
      <c r="L621" s="11"/>
      <c r="M621" s="11"/>
    </row>
    <row r="622" spans="1:13" ht="12" customHeight="1" x14ac:dyDescent="0.25">
      <c r="A622" s="799"/>
      <c r="B622" s="3" t="s">
        <v>97</v>
      </c>
      <c r="C622" s="51"/>
      <c r="D622" s="51"/>
      <c r="E622" s="1304"/>
      <c r="F622" s="149"/>
      <c r="G622" s="921"/>
      <c r="H622" s="11"/>
      <c r="I622" s="11"/>
      <c r="J622" s="11"/>
      <c r="K622" s="11"/>
      <c r="L622" s="11"/>
      <c r="M622" s="11"/>
    </row>
    <row r="623" spans="1:13" ht="12" customHeight="1" x14ac:dyDescent="0.25">
      <c r="A623" s="799"/>
      <c r="B623" s="133" t="s">
        <v>185</v>
      </c>
      <c r="C623" s="152"/>
      <c r="D623" s="152"/>
      <c r="E623" s="1342"/>
      <c r="F623" s="149"/>
      <c r="G623" s="912"/>
      <c r="H623" s="11"/>
      <c r="I623" s="11"/>
      <c r="J623" s="11"/>
      <c r="K623" s="11"/>
      <c r="L623" s="11"/>
      <c r="M623" s="11"/>
    </row>
    <row r="624" spans="1:13" ht="12" customHeight="1" thickBot="1" x14ac:dyDescent="0.3">
      <c r="A624" s="799"/>
      <c r="B624" s="37" t="s">
        <v>112</v>
      </c>
      <c r="C624" s="154"/>
      <c r="D624" s="154"/>
      <c r="E624" s="1344"/>
      <c r="F624" s="189"/>
      <c r="G624" s="919"/>
      <c r="H624" s="11"/>
      <c r="I624" s="11"/>
      <c r="J624" s="11"/>
      <c r="K624" s="11"/>
      <c r="L624" s="11"/>
      <c r="M624" s="11"/>
    </row>
    <row r="625" spans="1:13" ht="12" customHeight="1" thickBot="1" x14ac:dyDescent="0.3">
      <c r="A625" s="868"/>
      <c r="B625" s="137" t="s">
        <v>57</v>
      </c>
      <c r="C625" s="150">
        <f t="shared" ref="C625:D625" si="88">SUM(C617:C624)</f>
        <v>10000</v>
      </c>
      <c r="D625" s="150">
        <f t="shared" si="88"/>
        <v>10000</v>
      </c>
      <c r="E625" s="1306">
        <f t="shared" ref="E625" si="89">SUM(E617:E624)</f>
        <v>10000</v>
      </c>
      <c r="F625" s="174">
        <f>SUM(E625/D625)</f>
        <v>1</v>
      </c>
      <c r="G625" s="203"/>
      <c r="H625" s="11"/>
      <c r="I625" s="11"/>
      <c r="J625" s="11"/>
      <c r="K625" s="11"/>
      <c r="L625" s="11"/>
      <c r="M625" s="11"/>
    </row>
    <row r="626" spans="1:13" ht="12" x14ac:dyDescent="0.25">
      <c r="A626" s="795">
        <v>3340</v>
      </c>
      <c r="B626" s="63" t="s">
        <v>162</v>
      </c>
      <c r="C626" s="54"/>
      <c r="D626" s="54"/>
      <c r="E626" s="1303"/>
      <c r="F626" s="125"/>
      <c r="G626" s="861"/>
      <c r="H626" s="11"/>
      <c r="I626" s="11"/>
      <c r="J626" s="11"/>
      <c r="K626" s="11"/>
      <c r="L626" s="11"/>
      <c r="M626" s="11"/>
    </row>
    <row r="627" spans="1:13" ht="12" customHeight="1" x14ac:dyDescent="0.25">
      <c r="A627" s="755"/>
      <c r="B627" s="21" t="s">
        <v>45</v>
      </c>
      <c r="C627" s="54"/>
      <c r="D627" s="54"/>
      <c r="E627" s="1303"/>
      <c r="F627" s="188"/>
      <c r="G627" s="861"/>
      <c r="H627" s="11"/>
      <c r="I627" s="11"/>
      <c r="J627" s="11"/>
      <c r="K627" s="11"/>
      <c r="L627" s="11"/>
      <c r="M627" s="11"/>
    </row>
    <row r="628" spans="1:13" ht="12" customHeight="1" x14ac:dyDescent="0.25">
      <c r="A628" s="755"/>
      <c r="B628" s="3" t="s">
        <v>125</v>
      </c>
      <c r="C628" s="54"/>
      <c r="D628" s="54"/>
      <c r="E628" s="1303"/>
      <c r="F628" s="149"/>
      <c r="G628" s="863"/>
      <c r="H628" s="11"/>
      <c r="I628" s="11"/>
      <c r="J628" s="11"/>
      <c r="K628" s="11"/>
      <c r="L628" s="11"/>
      <c r="M628" s="11"/>
    </row>
    <row r="629" spans="1:13" ht="12" customHeight="1" x14ac:dyDescent="0.25">
      <c r="A629" s="740"/>
      <c r="B629" s="56" t="s">
        <v>117</v>
      </c>
      <c r="C629" s="152">
        <v>9000</v>
      </c>
      <c r="D629" s="152">
        <v>9000</v>
      </c>
      <c r="E629" s="1342">
        <f>9000+2983</f>
        <v>11983</v>
      </c>
      <c r="F629" s="149">
        <f>SUM(E629/D629)</f>
        <v>1.3314444444444444</v>
      </c>
      <c r="G629" s="843" t="s">
        <v>1060</v>
      </c>
      <c r="H629" s="11"/>
      <c r="I629" s="11"/>
      <c r="J629" s="11"/>
      <c r="K629" s="11"/>
      <c r="L629" s="11"/>
      <c r="M629" s="11"/>
    </row>
    <row r="630" spans="1:13" ht="12" customHeight="1" x14ac:dyDescent="0.25">
      <c r="A630" s="740"/>
      <c r="B630" s="135" t="s">
        <v>49</v>
      </c>
      <c r="C630" s="152"/>
      <c r="D630" s="152"/>
      <c r="E630" s="1342"/>
      <c r="F630" s="149"/>
      <c r="G630" s="842" t="s">
        <v>1054</v>
      </c>
      <c r="H630" s="11"/>
      <c r="I630" s="11"/>
      <c r="J630" s="11"/>
      <c r="K630" s="11"/>
      <c r="L630" s="11"/>
      <c r="M630" s="11"/>
    </row>
    <row r="631" spans="1:13" ht="12" customHeight="1" x14ac:dyDescent="0.25">
      <c r="A631" s="740"/>
      <c r="B631" s="135" t="s">
        <v>122</v>
      </c>
      <c r="C631" s="152"/>
      <c r="D631" s="152"/>
      <c r="E631" s="1342"/>
      <c r="F631" s="149"/>
      <c r="G631" s="922"/>
      <c r="H631" s="11"/>
      <c r="I631" s="11"/>
      <c r="J631" s="11"/>
      <c r="K631" s="11"/>
      <c r="L631" s="11"/>
      <c r="M631" s="11"/>
    </row>
    <row r="632" spans="1:13" ht="12" customHeight="1" x14ac:dyDescent="0.25">
      <c r="A632" s="740"/>
      <c r="B632" s="3" t="s">
        <v>97</v>
      </c>
      <c r="C632" s="152"/>
      <c r="D632" s="152"/>
      <c r="E632" s="1342"/>
      <c r="F632" s="149"/>
      <c r="G632" s="923"/>
      <c r="H632" s="11"/>
      <c r="I632" s="11"/>
      <c r="J632" s="11"/>
      <c r="K632" s="11"/>
      <c r="L632" s="11"/>
      <c r="M632" s="11"/>
    </row>
    <row r="633" spans="1:13" ht="12" customHeight="1" x14ac:dyDescent="0.25">
      <c r="A633" s="755"/>
      <c r="B633" s="133" t="s">
        <v>185</v>
      </c>
      <c r="C633" s="152"/>
      <c r="D633" s="152"/>
      <c r="E633" s="1342"/>
      <c r="F633" s="149"/>
      <c r="G633" s="861"/>
      <c r="H633" s="11"/>
      <c r="I633" s="11"/>
      <c r="J633" s="11"/>
      <c r="K633" s="11"/>
      <c r="L633" s="11"/>
      <c r="M633" s="11"/>
    </row>
    <row r="634" spans="1:13" ht="12" customHeight="1" thickBot="1" x14ac:dyDescent="0.3">
      <c r="A634" s="755"/>
      <c r="B634" s="37" t="s">
        <v>112</v>
      </c>
      <c r="C634" s="153"/>
      <c r="D634" s="153"/>
      <c r="E634" s="1343"/>
      <c r="F634" s="189"/>
      <c r="G634" s="783"/>
      <c r="H634" s="11"/>
      <c r="I634" s="11"/>
      <c r="J634" s="11"/>
      <c r="K634" s="11"/>
      <c r="L634" s="11"/>
      <c r="M634" s="11"/>
    </row>
    <row r="635" spans="1:13" ht="12" customHeight="1" thickBot="1" x14ac:dyDescent="0.3">
      <c r="A635" s="800"/>
      <c r="B635" s="137" t="s">
        <v>57</v>
      </c>
      <c r="C635" s="150">
        <f t="shared" ref="C635:D635" si="90">SUM(C627:C634)</f>
        <v>9000</v>
      </c>
      <c r="D635" s="150">
        <f t="shared" si="90"/>
        <v>9000</v>
      </c>
      <c r="E635" s="1306">
        <f t="shared" ref="E635" si="91">SUM(E627:E634)</f>
        <v>11983</v>
      </c>
      <c r="F635" s="174">
        <f>SUM(E635/D635)</f>
        <v>1.3314444444444444</v>
      </c>
      <c r="G635" s="203"/>
      <c r="H635" s="11"/>
      <c r="I635" s="11"/>
      <c r="J635" s="11"/>
      <c r="K635" s="11"/>
      <c r="L635" s="11"/>
      <c r="M635" s="11"/>
    </row>
    <row r="636" spans="1:13" ht="12" customHeight="1" x14ac:dyDescent="0.25">
      <c r="A636" s="795">
        <v>3341</v>
      </c>
      <c r="B636" s="63" t="s">
        <v>146</v>
      </c>
      <c r="C636" s="54"/>
      <c r="D636" s="54"/>
      <c r="E636" s="1303"/>
      <c r="F636" s="125"/>
      <c r="G636" s="861"/>
      <c r="H636" s="11"/>
      <c r="I636" s="11"/>
      <c r="J636" s="11"/>
      <c r="K636" s="11"/>
      <c r="L636" s="11"/>
      <c r="M636" s="11"/>
    </row>
    <row r="637" spans="1:13" ht="12" customHeight="1" x14ac:dyDescent="0.25">
      <c r="A637" s="755"/>
      <c r="B637" s="21" t="s">
        <v>45</v>
      </c>
      <c r="C637" s="54"/>
      <c r="D637" s="54"/>
      <c r="E637" s="1303"/>
      <c r="F637" s="125"/>
      <c r="G637" s="861"/>
      <c r="H637" s="11"/>
      <c r="I637" s="11"/>
      <c r="J637" s="11"/>
      <c r="K637" s="11"/>
      <c r="L637" s="11"/>
      <c r="M637" s="11"/>
    </row>
    <row r="638" spans="1:13" ht="12" customHeight="1" x14ac:dyDescent="0.25">
      <c r="A638" s="755"/>
      <c r="B638" s="3" t="s">
        <v>125</v>
      </c>
      <c r="C638" s="54"/>
      <c r="D638" s="54"/>
      <c r="E638" s="1303"/>
      <c r="F638" s="188"/>
      <c r="G638" s="876"/>
      <c r="H638" s="11"/>
      <c r="I638" s="11"/>
      <c r="J638" s="11"/>
      <c r="K638" s="11"/>
      <c r="L638" s="11"/>
      <c r="M638" s="11"/>
    </row>
    <row r="639" spans="1:13" ht="12" customHeight="1" x14ac:dyDescent="0.25">
      <c r="A639" s="740"/>
      <c r="B639" s="56" t="s">
        <v>117</v>
      </c>
      <c r="C639" s="152">
        <v>5000</v>
      </c>
      <c r="D639" s="152">
        <v>5000</v>
      </c>
      <c r="E639" s="1342">
        <f>5000+2656</f>
        <v>7656</v>
      </c>
      <c r="F639" s="149">
        <f>SUM(E639/D639)</f>
        <v>1.5311999999999999</v>
      </c>
      <c r="G639" s="843" t="s">
        <v>1060</v>
      </c>
      <c r="H639" s="11"/>
      <c r="I639" s="11"/>
      <c r="J639" s="11"/>
      <c r="K639" s="11"/>
      <c r="L639" s="11"/>
      <c r="M639" s="11"/>
    </row>
    <row r="640" spans="1:13" ht="12" customHeight="1" x14ac:dyDescent="0.25">
      <c r="A640" s="740"/>
      <c r="B640" s="135" t="s">
        <v>49</v>
      </c>
      <c r="C640" s="152"/>
      <c r="D640" s="152"/>
      <c r="E640" s="1342"/>
      <c r="F640" s="149"/>
      <c r="G640" s="842" t="s">
        <v>1054</v>
      </c>
      <c r="H640" s="11"/>
      <c r="I640" s="11"/>
      <c r="J640" s="11"/>
      <c r="K640" s="11"/>
      <c r="L640" s="11"/>
      <c r="M640" s="11"/>
    </row>
    <row r="641" spans="1:13" ht="12" customHeight="1" x14ac:dyDescent="0.25">
      <c r="A641" s="740"/>
      <c r="B641" s="135" t="s">
        <v>122</v>
      </c>
      <c r="C641" s="152"/>
      <c r="D641" s="152"/>
      <c r="E641" s="1342"/>
      <c r="F641" s="149"/>
      <c r="G641" s="923"/>
      <c r="H641" s="11"/>
      <c r="I641" s="11"/>
      <c r="J641" s="11"/>
      <c r="K641" s="11"/>
      <c r="L641" s="11"/>
      <c r="M641" s="11"/>
    </row>
    <row r="642" spans="1:13" ht="12" customHeight="1" x14ac:dyDescent="0.25">
      <c r="A642" s="740"/>
      <c r="B642" s="3" t="s">
        <v>97</v>
      </c>
      <c r="C642" s="152"/>
      <c r="D642" s="152"/>
      <c r="E642" s="1342"/>
      <c r="F642" s="149"/>
      <c r="G642" s="923"/>
      <c r="H642" s="11"/>
      <c r="I642" s="11"/>
      <c r="J642" s="11"/>
      <c r="K642" s="11"/>
      <c r="L642" s="11"/>
      <c r="M642" s="11"/>
    </row>
    <row r="643" spans="1:13" ht="12" customHeight="1" x14ac:dyDescent="0.25">
      <c r="A643" s="755"/>
      <c r="B643" s="133" t="s">
        <v>185</v>
      </c>
      <c r="C643" s="54"/>
      <c r="D643" s="54"/>
      <c r="E643" s="1303"/>
      <c r="F643" s="149"/>
      <c r="G643" s="862"/>
      <c r="H643" s="11"/>
      <c r="I643" s="11"/>
      <c r="J643" s="11"/>
      <c r="K643" s="11"/>
      <c r="L643" s="11"/>
      <c r="M643" s="11"/>
    </row>
    <row r="644" spans="1:13" ht="12" customHeight="1" thickBot="1" x14ac:dyDescent="0.3">
      <c r="A644" s="755"/>
      <c r="B644" s="37" t="s">
        <v>112</v>
      </c>
      <c r="C644" s="153"/>
      <c r="D644" s="153"/>
      <c r="E644" s="1343"/>
      <c r="F644" s="189"/>
      <c r="G644" s="783"/>
      <c r="H644" s="11"/>
      <c r="I644" s="11"/>
      <c r="J644" s="11"/>
      <c r="K644" s="11"/>
      <c r="L644" s="11"/>
      <c r="M644" s="11"/>
    </row>
    <row r="645" spans="1:13" ht="12" customHeight="1" thickBot="1" x14ac:dyDescent="0.3">
      <c r="A645" s="800"/>
      <c r="B645" s="137" t="s">
        <v>57</v>
      </c>
      <c r="C645" s="150">
        <f t="shared" ref="C645:D645" si="92">SUM(C637:C644)</f>
        <v>5000</v>
      </c>
      <c r="D645" s="150">
        <f t="shared" si="92"/>
        <v>5000</v>
      </c>
      <c r="E645" s="1306">
        <f t="shared" ref="E645" si="93">SUM(E637:E644)</f>
        <v>7656</v>
      </c>
      <c r="F645" s="174">
        <f>SUM(E645/D645)</f>
        <v>1.5311999999999999</v>
      </c>
      <c r="G645" s="203"/>
      <c r="H645" s="11"/>
      <c r="I645" s="11"/>
      <c r="J645" s="11"/>
      <c r="K645" s="11"/>
      <c r="L645" s="11"/>
      <c r="M645" s="11"/>
    </row>
    <row r="646" spans="1:13" ht="12" customHeight="1" x14ac:dyDescent="0.25">
      <c r="A646" s="795">
        <v>3342</v>
      </c>
      <c r="B646" s="63" t="s">
        <v>160</v>
      </c>
      <c r="C646" s="54"/>
      <c r="D646" s="54"/>
      <c r="E646" s="1303"/>
      <c r="F646" s="125"/>
      <c r="G646" s="861"/>
      <c r="H646" s="11"/>
      <c r="I646" s="11"/>
      <c r="J646" s="11"/>
      <c r="K646" s="11"/>
      <c r="L646" s="11"/>
      <c r="M646" s="11"/>
    </row>
    <row r="647" spans="1:13" ht="12" customHeight="1" x14ac:dyDescent="0.25">
      <c r="A647" s="755"/>
      <c r="B647" s="21" t="s">
        <v>45</v>
      </c>
      <c r="C647" s="54"/>
      <c r="D647" s="54"/>
      <c r="E647" s="1303"/>
      <c r="F647" s="125"/>
      <c r="G647" s="861"/>
      <c r="H647" s="11"/>
      <c r="I647" s="11"/>
      <c r="J647" s="11"/>
      <c r="K647" s="11"/>
      <c r="L647" s="11"/>
      <c r="M647" s="11"/>
    </row>
    <row r="648" spans="1:13" ht="12" customHeight="1" x14ac:dyDescent="0.25">
      <c r="A648" s="755"/>
      <c r="B648" s="3" t="s">
        <v>125</v>
      </c>
      <c r="C648" s="54"/>
      <c r="D648" s="54"/>
      <c r="E648" s="1303"/>
      <c r="F648" s="188"/>
      <c r="G648" s="861"/>
      <c r="H648" s="11"/>
      <c r="I648" s="11"/>
      <c r="J648" s="11"/>
      <c r="K648" s="11"/>
      <c r="L648" s="11"/>
      <c r="M648" s="11"/>
    </row>
    <row r="649" spans="1:13" ht="12" customHeight="1" x14ac:dyDescent="0.25">
      <c r="A649" s="740"/>
      <c r="B649" s="56" t="s">
        <v>117</v>
      </c>
      <c r="C649" s="152">
        <v>880</v>
      </c>
      <c r="D649" s="152">
        <v>880</v>
      </c>
      <c r="E649" s="1342">
        <v>880</v>
      </c>
      <c r="F649" s="149">
        <f>SUM(E649/D649)</f>
        <v>1</v>
      </c>
      <c r="G649" s="843" t="s">
        <v>1060</v>
      </c>
      <c r="H649" s="11"/>
      <c r="I649" s="11"/>
      <c r="J649" s="11"/>
      <c r="K649" s="11"/>
      <c r="L649" s="11"/>
      <c r="M649" s="11"/>
    </row>
    <row r="650" spans="1:13" ht="12" customHeight="1" x14ac:dyDescent="0.25">
      <c r="A650" s="740"/>
      <c r="B650" s="135" t="s">
        <v>49</v>
      </c>
      <c r="C650" s="152"/>
      <c r="D650" s="152"/>
      <c r="E650" s="1342"/>
      <c r="F650" s="149"/>
      <c r="G650" s="842" t="s">
        <v>1054</v>
      </c>
      <c r="H650" s="11"/>
      <c r="I650" s="11"/>
      <c r="J650" s="11"/>
      <c r="K650" s="11"/>
      <c r="L650" s="11"/>
      <c r="M650" s="11"/>
    </row>
    <row r="651" spans="1:13" ht="12" customHeight="1" x14ac:dyDescent="0.25">
      <c r="A651" s="755"/>
      <c r="B651" s="135" t="s">
        <v>122</v>
      </c>
      <c r="C651" s="54"/>
      <c r="D651" s="54"/>
      <c r="E651" s="1303"/>
      <c r="F651" s="149"/>
      <c r="G651" s="861"/>
      <c r="H651" s="11"/>
      <c r="I651" s="11"/>
      <c r="J651" s="11"/>
      <c r="K651" s="11"/>
      <c r="L651" s="11"/>
      <c r="M651" s="11"/>
    </row>
    <row r="652" spans="1:13" ht="12" customHeight="1" x14ac:dyDescent="0.25">
      <c r="A652" s="755"/>
      <c r="B652" s="3" t="s">
        <v>97</v>
      </c>
      <c r="C652" s="54"/>
      <c r="D652" s="54"/>
      <c r="E652" s="1303"/>
      <c r="F652" s="149"/>
      <c r="G652" s="861"/>
      <c r="H652" s="11"/>
      <c r="I652" s="11"/>
      <c r="J652" s="11"/>
      <c r="K652" s="11"/>
      <c r="L652" s="11"/>
      <c r="M652" s="11"/>
    </row>
    <row r="653" spans="1:13" ht="12" customHeight="1" x14ac:dyDescent="0.25">
      <c r="A653" s="755"/>
      <c r="B653" s="133" t="s">
        <v>185</v>
      </c>
      <c r="C653" s="54"/>
      <c r="D653" s="54"/>
      <c r="E653" s="1303"/>
      <c r="F653" s="149"/>
      <c r="G653" s="866"/>
      <c r="H653" s="11"/>
      <c r="I653" s="11"/>
      <c r="J653" s="11"/>
      <c r="K653" s="11"/>
      <c r="L653" s="11"/>
      <c r="M653" s="11"/>
    </row>
    <row r="654" spans="1:13" ht="12" customHeight="1" thickBot="1" x14ac:dyDescent="0.3">
      <c r="A654" s="755"/>
      <c r="B654" s="37" t="s">
        <v>112</v>
      </c>
      <c r="C654" s="153"/>
      <c r="D654" s="153"/>
      <c r="E654" s="1343"/>
      <c r="F654" s="189"/>
      <c r="G654" s="783"/>
      <c r="H654" s="11"/>
      <c r="I654" s="11"/>
      <c r="J654" s="11"/>
      <c r="K654" s="11"/>
      <c r="L654" s="11"/>
      <c r="M654" s="11"/>
    </row>
    <row r="655" spans="1:13" ht="12.6" thickBot="1" x14ac:dyDescent="0.3">
      <c r="A655" s="800"/>
      <c r="B655" s="137" t="s">
        <v>57</v>
      </c>
      <c r="C655" s="150">
        <f t="shared" ref="C655:D655" si="94">SUM(C647:C654)</f>
        <v>880</v>
      </c>
      <c r="D655" s="150">
        <f t="shared" si="94"/>
        <v>880</v>
      </c>
      <c r="E655" s="1306">
        <f t="shared" ref="E655" si="95">SUM(E647:E654)</f>
        <v>880</v>
      </c>
      <c r="F655" s="174">
        <f>SUM(E655/D655)</f>
        <v>1</v>
      </c>
      <c r="G655" s="203"/>
      <c r="H655" s="11"/>
      <c r="I655" s="11"/>
      <c r="J655" s="11"/>
      <c r="K655" s="11"/>
      <c r="L655" s="11"/>
      <c r="M655" s="11"/>
    </row>
    <row r="656" spans="1:13" ht="12" x14ac:dyDescent="0.25">
      <c r="A656" s="795">
        <v>3343</v>
      </c>
      <c r="B656" s="63" t="s">
        <v>224</v>
      </c>
      <c r="C656" s="54"/>
      <c r="D656" s="54"/>
      <c r="E656" s="1303"/>
      <c r="F656" s="125"/>
      <c r="G656" s="861"/>
      <c r="H656" s="11"/>
      <c r="I656" s="11"/>
      <c r="J656" s="11"/>
      <c r="K656" s="11"/>
      <c r="L656" s="11"/>
      <c r="M656" s="11"/>
    </row>
    <row r="657" spans="1:13" ht="12" x14ac:dyDescent="0.25">
      <c r="A657" s="755"/>
      <c r="B657" s="21" t="s">
        <v>45</v>
      </c>
      <c r="C657" s="54"/>
      <c r="D657" s="54"/>
      <c r="E657" s="1303"/>
      <c r="F657" s="125"/>
      <c r="G657" s="861"/>
      <c r="H657" s="11"/>
      <c r="I657" s="11"/>
      <c r="J657" s="11"/>
      <c r="K657" s="11"/>
      <c r="L657" s="11"/>
      <c r="M657" s="11"/>
    </row>
    <row r="658" spans="1:13" ht="12" x14ac:dyDescent="0.25">
      <c r="A658" s="755"/>
      <c r="B658" s="3" t="s">
        <v>125</v>
      </c>
      <c r="C658" s="54"/>
      <c r="D658" s="54"/>
      <c r="E658" s="1303"/>
      <c r="F658" s="188"/>
      <c r="G658" s="861"/>
      <c r="H658" s="11"/>
      <c r="I658" s="11"/>
      <c r="J658" s="11"/>
      <c r="K658" s="11"/>
      <c r="L658" s="11"/>
      <c r="M658" s="11"/>
    </row>
    <row r="659" spans="1:13" ht="12" x14ac:dyDescent="0.25">
      <c r="A659" s="740"/>
      <c r="B659" s="56" t="s">
        <v>117</v>
      </c>
      <c r="C659" s="152">
        <v>13500</v>
      </c>
      <c r="D659" s="152">
        <v>13500</v>
      </c>
      <c r="E659" s="1342">
        <v>13500</v>
      </c>
      <c r="F659" s="149">
        <f>SUM(E659/D659)</f>
        <v>1</v>
      </c>
      <c r="G659" s="843" t="s">
        <v>1060</v>
      </c>
      <c r="H659" s="11"/>
      <c r="I659" s="11"/>
      <c r="J659" s="11"/>
      <c r="K659" s="11"/>
      <c r="L659" s="11"/>
      <c r="M659" s="11"/>
    </row>
    <row r="660" spans="1:13" ht="12" x14ac:dyDescent="0.25">
      <c r="A660" s="740"/>
      <c r="B660" s="135" t="s">
        <v>49</v>
      </c>
      <c r="C660" s="152"/>
      <c r="D660" s="152"/>
      <c r="E660" s="1342"/>
      <c r="F660" s="149"/>
      <c r="G660" s="842" t="s">
        <v>1054</v>
      </c>
      <c r="H660" s="11"/>
      <c r="I660" s="11"/>
      <c r="J660" s="11"/>
      <c r="K660" s="11"/>
      <c r="L660" s="11"/>
      <c r="M660" s="11"/>
    </row>
    <row r="661" spans="1:13" ht="12" x14ac:dyDescent="0.25">
      <c r="A661" s="755"/>
      <c r="B661" s="135" t="s">
        <v>122</v>
      </c>
      <c r="C661" s="54"/>
      <c r="D661" s="54"/>
      <c r="E661" s="1303"/>
      <c r="F661" s="149"/>
      <c r="G661" s="861"/>
      <c r="H661" s="11"/>
      <c r="I661" s="11"/>
      <c r="J661" s="11"/>
      <c r="K661" s="11"/>
      <c r="L661" s="11"/>
      <c r="M661" s="11"/>
    </row>
    <row r="662" spans="1:13" ht="12" x14ac:dyDescent="0.25">
      <c r="A662" s="755"/>
      <c r="B662" s="3" t="s">
        <v>97</v>
      </c>
      <c r="C662" s="54"/>
      <c r="D662" s="54"/>
      <c r="E662" s="1303"/>
      <c r="F662" s="149"/>
      <c r="G662" s="861"/>
      <c r="H662" s="11"/>
      <c r="I662" s="11"/>
      <c r="J662" s="11"/>
      <c r="K662" s="11"/>
      <c r="L662" s="11"/>
      <c r="M662" s="11"/>
    </row>
    <row r="663" spans="1:13" ht="12" x14ac:dyDescent="0.25">
      <c r="A663" s="755"/>
      <c r="B663" s="133" t="s">
        <v>185</v>
      </c>
      <c r="C663" s="54"/>
      <c r="D663" s="54"/>
      <c r="E663" s="1303"/>
      <c r="F663" s="149"/>
      <c r="G663" s="866"/>
      <c r="H663" s="11"/>
      <c r="I663" s="11"/>
      <c r="J663" s="11"/>
      <c r="K663" s="11"/>
      <c r="L663" s="11"/>
      <c r="M663" s="11"/>
    </row>
    <row r="664" spans="1:13" ht="12.6" thickBot="1" x14ac:dyDescent="0.3">
      <c r="A664" s="755"/>
      <c r="B664" s="37" t="s">
        <v>112</v>
      </c>
      <c r="C664" s="153"/>
      <c r="D664" s="153"/>
      <c r="E664" s="1343"/>
      <c r="F664" s="189"/>
      <c r="G664" s="783"/>
      <c r="H664" s="11"/>
      <c r="I664" s="11"/>
      <c r="J664" s="11"/>
      <c r="K664" s="11"/>
      <c r="L664" s="11"/>
      <c r="M664" s="11"/>
    </row>
    <row r="665" spans="1:13" ht="12.6" thickBot="1" x14ac:dyDescent="0.3">
      <c r="A665" s="800"/>
      <c r="B665" s="137" t="s">
        <v>57</v>
      </c>
      <c r="C665" s="150">
        <f t="shared" ref="C665:D665" si="96">SUM(C657:C664)</f>
        <v>13500</v>
      </c>
      <c r="D665" s="150">
        <f t="shared" si="96"/>
        <v>13500</v>
      </c>
      <c r="E665" s="1306">
        <f t="shared" ref="E665" si="97">SUM(E657:E664)</f>
        <v>13500</v>
      </c>
      <c r="F665" s="174">
        <f>SUM(E665/D665)</f>
        <v>1</v>
      </c>
      <c r="G665" s="203"/>
      <c r="H665" s="11"/>
      <c r="I665" s="11"/>
      <c r="J665" s="11"/>
      <c r="K665" s="11"/>
      <c r="L665" s="11"/>
      <c r="M665" s="11"/>
    </row>
    <row r="666" spans="1:13" ht="12" x14ac:dyDescent="0.25">
      <c r="A666" s="755">
        <v>3344</v>
      </c>
      <c r="B666" s="55" t="s">
        <v>113</v>
      </c>
      <c r="C666" s="54"/>
      <c r="D666" s="54"/>
      <c r="E666" s="1303"/>
      <c r="F666" s="125"/>
      <c r="G666" s="861"/>
      <c r="H666" s="11"/>
      <c r="I666" s="11"/>
      <c r="J666" s="11"/>
      <c r="K666" s="11"/>
      <c r="L666" s="11"/>
      <c r="M666" s="11"/>
    </row>
    <row r="667" spans="1:13" ht="12" customHeight="1" x14ac:dyDescent="0.25">
      <c r="A667" s="755"/>
      <c r="B667" s="21" t="s">
        <v>45</v>
      </c>
      <c r="C667" s="54"/>
      <c r="D667" s="54"/>
      <c r="E667" s="1303"/>
      <c r="F667" s="125"/>
      <c r="G667" s="861"/>
      <c r="H667" s="11"/>
      <c r="I667" s="11"/>
      <c r="J667" s="11"/>
      <c r="K667" s="11"/>
      <c r="L667" s="11"/>
      <c r="M667" s="11"/>
    </row>
    <row r="668" spans="1:13" ht="12" customHeight="1" x14ac:dyDescent="0.25">
      <c r="A668" s="755"/>
      <c r="B668" s="3" t="s">
        <v>125</v>
      </c>
      <c r="C668" s="54"/>
      <c r="D668" s="54"/>
      <c r="E668" s="1303"/>
      <c r="F668" s="125"/>
      <c r="G668" s="863"/>
      <c r="H668" s="11"/>
      <c r="I668" s="11"/>
      <c r="J668" s="11"/>
      <c r="K668" s="11"/>
      <c r="L668" s="11"/>
      <c r="M668" s="11"/>
    </row>
    <row r="669" spans="1:13" ht="12" customHeight="1" x14ac:dyDescent="0.25">
      <c r="A669" s="755"/>
      <c r="B669" s="56" t="s">
        <v>117</v>
      </c>
      <c r="C669" s="152">
        <v>1540</v>
      </c>
      <c r="D669" s="152">
        <v>1540</v>
      </c>
      <c r="E669" s="1342">
        <f>1540+2567</f>
        <v>4107</v>
      </c>
      <c r="F669" s="149">
        <f>SUM(E669/D669)</f>
        <v>2.6668831168831169</v>
      </c>
      <c r="G669" s="843" t="s">
        <v>1060</v>
      </c>
      <c r="H669" s="11"/>
      <c r="I669" s="11"/>
      <c r="J669" s="11"/>
      <c r="K669" s="11"/>
      <c r="L669" s="11"/>
      <c r="M669" s="11"/>
    </row>
    <row r="670" spans="1:13" ht="12" customHeight="1" x14ac:dyDescent="0.25">
      <c r="A670" s="755"/>
      <c r="B670" s="135" t="s">
        <v>49</v>
      </c>
      <c r="C670" s="152"/>
      <c r="D670" s="152"/>
      <c r="E670" s="1342"/>
      <c r="F670" s="149"/>
      <c r="G670" s="842" t="s">
        <v>1054</v>
      </c>
      <c r="H670" s="11"/>
      <c r="I670" s="11"/>
      <c r="J670" s="11"/>
      <c r="K670" s="11"/>
      <c r="L670" s="11"/>
      <c r="M670" s="11"/>
    </row>
    <row r="671" spans="1:13" ht="12" customHeight="1" x14ac:dyDescent="0.25">
      <c r="A671" s="755"/>
      <c r="B671" s="135" t="s">
        <v>122</v>
      </c>
      <c r="C671" s="152"/>
      <c r="D671" s="152"/>
      <c r="E671" s="1342"/>
      <c r="F671" s="149"/>
      <c r="G671" s="923"/>
      <c r="H671" s="11"/>
      <c r="I671" s="11"/>
      <c r="J671" s="11"/>
      <c r="K671" s="11"/>
      <c r="L671" s="11"/>
      <c r="M671" s="11"/>
    </row>
    <row r="672" spans="1:13" ht="12" customHeight="1" x14ac:dyDescent="0.25">
      <c r="A672" s="755"/>
      <c r="B672" s="3" t="s">
        <v>97</v>
      </c>
      <c r="C672" s="152"/>
      <c r="D672" s="152"/>
      <c r="E672" s="1342"/>
      <c r="F672" s="149"/>
      <c r="G672" s="923"/>
      <c r="H672" s="11"/>
      <c r="I672" s="11"/>
      <c r="J672" s="11"/>
      <c r="K672" s="11"/>
      <c r="L672" s="11"/>
      <c r="M672" s="11"/>
    </row>
    <row r="673" spans="1:13" ht="12" customHeight="1" x14ac:dyDescent="0.25">
      <c r="A673" s="755"/>
      <c r="B673" s="133" t="s">
        <v>185</v>
      </c>
      <c r="C673" s="54"/>
      <c r="D673" s="54"/>
      <c r="E673" s="1303"/>
      <c r="F673" s="149"/>
      <c r="G673" s="861"/>
      <c r="H673" s="11"/>
      <c r="I673" s="11"/>
      <c r="J673" s="11"/>
      <c r="K673" s="11"/>
      <c r="L673" s="11"/>
      <c r="M673" s="11"/>
    </row>
    <row r="674" spans="1:13" ht="12" customHeight="1" thickBot="1" x14ac:dyDescent="0.3">
      <c r="A674" s="755"/>
      <c r="B674" s="37" t="s">
        <v>112</v>
      </c>
      <c r="C674" s="153"/>
      <c r="D674" s="153"/>
      <c r="E674" s="1343"/>
      <c r="F674" s="189"/>
      <c r="G674" s="780"/>
      <c r="H674" s="11"/>
      <c r="I674" s="11"/>
      <c r="J674" s="11"/>
      <c r="K674" s="11"/>
      <c r="L674" s="11"/>
      <c r="M674" s="11"/>
    </row>
    <row r="675" spans="1:13" ht="12" customHeight="1" thickBot="1" x14ac:dyDescent="0.3">
      <c r="A675" s="868"/>
      <c r="B675" s="137" t="s">
        <v>57</v>
      </c>
      <c r="C675" s="153">
        <f t="shared" ref="C675:D675" si="98">SUM(C667:C674)</f>
        <v>1540</v>
      </c>
      <c r="D675" s="153">
        <f t="shared" si="98"/>
        <v>1540</v>
      </c>
      <c r="E675" s="1343">
        <f t="shared" ref="E675" si="99">SUM(E667:E674)</f>
        <v>4107</v>
      </c>
      <c r="F675" s="174">
        <f>SUM(E675/D675)</f>
        <v>2.6668831168831169</v>
      </c>
      <c r="G675" s="783"/>
      <c r="H675" s="11"/>
      <c r="I675" s="11"/>
      <c r="J675" s="11"/>
      <c r="K675" s="11"/>
      <c r="L675" s="11"/>
      <c r="M675" s="11"/>
    </row>
    <row r="676" spans="1:13" ht="12" customHeight="1" x14ac:dyDescent="0.25">
      <c r="A676" s="755">
        <v>3345</v>
      </c>
      <c r="B676" s="156" t="s">
        <v>73</v>
      </c>
      <c r="C676" s="54"/>
      <c r="D676" s="54"/>
      <c r="E676" s="1303"/>
      <c r="F676" s="125"/>
      <c r="G676" s="869"/>
      <c r="H676" s="11"/>
      <c r="I676" s="11"/>
      <c r="J676" s="11"/>
      <c r="K676" s="11"/>
      <c r="L676" s="11"/>
      <c r="M676" s="11"/>
    </row>
    <row r="677" spans="1:13" ht="12" customHeight="1" x14ac:dyDescent="0.25">
      <c r="A677" s="755"/>
      <c r="B677" s="21" t="s">
        <v>45</v>
      </c>
      <c r="C677" s="54"/>
      <c r="D677" s="54"/>
      <c r="E677" s="1303"/>
      <c r="F677" s="125"/>
      <c r="G677" s="744"/>
      <c r="H677" s="11"/>
      <c r="I677" s="11"/>
      <c r="J677" s="11"/>
      <c r="K677" s="11"/>
      <c r="L677" s="11"/>
      <c r="M677" s="11"/>
    </row>
    <row r="678" spans="1:13" ht="12" customHeight="1" x14ac:dyDescent="0.25">
      <c r="A678" s="755"/>
      <c r="B678" s="3" t="s">
        <v>125</v>
      </c>
      <c r="C678" s="54"/>
      <c r="D678" s="54"/>
      <c r="E678" s="1303"/>
      <c r="F678" s="188"/>
      <c r="G678" s="744"/>
      <c r="H678" s="11"/>
      <c r="I678" s="11"/>
      <c r="J678" s="11"/>
      <c r="K678" s="11"/>
      <c r="L678" s="11"/>
      <c r="M678" s="11"/>
    </row>
    <row r="679" spans="1:13" ht="12" customHeight="1" x14ac:dyDescent="0.25">
      <c r="A679" s="755"/>
      <c r="B679" s="56" t="s">
        <v>117</v>
      </c>
      <c r="C679" s="152">
        <v>300</v>
      </c>
      <c r="D679" s="152">
        <v>300</v>
      </c>
      <c r="E679" s="1342">
        <v>300</v>
      </c>
      <c r="F679" s="149">
        <f>SUM(E679/D679)</f>
        <v>1</v>
      </c>
      <c r="G679" s="843" t="s">
        <v>1060</v>
      </c>
      <c r="H679" s="11"/>
      <c r="I679" s="11"/>
      <c r="J679" s="11"/>
      <c r="K679" s="11"/>
      <c r="L679" s="11"/>
      <c r="M679" s="11"/>
    </row>
    <row r="680" spans="1:13" ht="12" customHeight="1" x14ac:dyDescent="0.25">
      <c r="A680" s="755"/>
      <c r="B680" s="135" t="s">
        <v>49</v>
      </c>
      <c r="C680" s="152"/>
      <c r="D680" s="152"/>
      <c r="E680" s="1342"/>
      <c r="F680" s="149"/>
      <c r="G680" s="842" t="s">
        <v>1054</v>
      </c>
      <c r="H680" s="11"/>
      <c r="I680" s="11"/>
      <c r="J680" s="11"/>
      <c r="K680" s="11"/>
      <c r="L680" s="11"/>
      <c r="M680" s="11"/>
    </row>
    <row r="681" spans="1:13" ht="12" customHeight="1" x14ac:dyDescent="0.25">
      <c r="A681" s="755"/>
      <c r="B681" s="135" t="s">
        <v>122</v>
      </c>
      <c r="C681" s="152"/>
      <c r="D681" s="152"/>
      <c r="E681" s="1342"/>
      <c r="F681" s="149"/>
      <c r="G681" s="924"/>
      <c r="H681" s="11"/>
      <c r="I681" s="11"/>
      <c r="J681" s="11"/>
      <c r="K681" s="11"/>
      <c r="L681" s="11"/>
      <c r="M681" s="11"/>
    </row>
    <row r="682" spans="1:13" ht="12" customHeight="1" x14ac:dyDescent="0.25">
      <c r="A682" s="755"/>
      <c r="B682" s="3" t="s">
        <v>97</v>
      </c>
      <c r="C682" s="152"/>
      <c r="D682" s="152"/>
      <c r="E682" s="1342"/>
      <c r="F682" s="149"/>
      <c r="G682" s="917"/>
      <c r="H682" s="11"/>
      <c r="I682" s="11"/>
      <c r="J682" s="11"/>
      <c r="K682" s="11"/>
      <c r="L682" s="11"/>
      <c r="M682" s="11"/>
    </row>
    <row r="683" spans="1:13" ht="12" customHeight="1" x14ac:dyDescent="0.25">
      <c r="A683" s="755"/>
      <c r="B683" s="133" t="s">
        <v>185</v>
      </c>
      <c r="C683" s="54"/>
      <c r="D683" s="54"/>
      <c r="E683" s="1303"/>
      <c r="F683" s="149"/>
      <c r="G683" s="744"/>
      <c r="H683" s="11"/>
      <c r="I683" s="11"/>
      <c r="J683" s="11"/>
      <c r="K683" s="11"/>
      <c r="L683" s="11"/>
      <c r="M683" s="11"/>
    </row>
    <row r="684" spans="1:13" ht="12" customHeight="1" thickBot="1" x14ac:dyDescent="0.3">
      <c r="A684" s="755"/>
      <c r="B684" s="37" t="s">
        <v>112</v>
      </c>
      <c r="C684" s="153"/>
      <c r="D684" s="153"/>
      <c r="E684" s="1343"/>
      <c r="F684" s="189"/>
      <c r="G684" s="783"/>
      <c r="H684" s="11"/>
      <c r="I684" s="11"/>
      <c r="J684" s="11"/>
      <c r="K684" s="11"/>
      <c r="L684" s="11"/>
      <c r="M684" s="11"/>
    </row>
    <row r="685" spans="1:13" ht="13.5" customHeight="1" thickBot="1" x14ac:dyDescent="0.3">
      <c r="A685" s="868"/>
      <c r="B685" s="137" t="s">
        <v>57</v>
      </c>
      <c r="C685" s="153">
        <f t="shared" ref="C685:D685" si="100">SUM(C679:C684)</f>
        <v>300</v>
      </c>
      <c r="D685" s="153">
        <f t="shared" si="100"/>
        <v>300</v>
      </c>
      <c r="E685" s="1343">
        <f t="shared" ref="E685" si="101">SUM(E679:E684)</f>
        <v>300</v>
      </c>
      <c r="F685" s="174">
        <f>SUM(E685/D685)</f>
        <v>1</v>
      </c>
      <c r="G685" s="203"/>
      <c r="H685" s="11"/>
      <c r="I685" s="11"/>
      <c r="J685" s="11"/>
      <c r="K685" s="11"/>
      <c r="L685" s="11"/>
      <c r="M685" s="11"/>
    </row>
    <row r="686" spans="1:13" ht="12" customHeight="1" x14ac:dyDescent="0.25">
      <c r="A686" s="755">
        <v>3346</v>
      </c>
      <c r="B686" s="148" t="s">
        <v>47</v>
      </c>
      <c r="C686" s="54"/>
      <c r="D686" s="54"/>
      <c r="E686" s="1303"/>
      <c r="F686" s="125"/>
      <c r="G686" s="861"/>
      <c r="H686" s="11"/>
      <c r="I686" s="11"/>
      <c r="J686" s="11"/>
      <c r="K686" s="11"/>
      <c r="L686" s="11"/>
      <c r="M686" s="11"/>
    </row>
    <row r="687" spans="1:13" ht="12" customHeight="1" x14ac:dyDescent="0.25">
      <c r="A687" s="799"/>
      <c r="B687" s="21" t="s">
        <v>45</v>
      </c>
      <c r="C687" s="54"/>
      <c r="D687" s="54"/>
      <c r="E687" s="1303"/>
      <c r="F687" s="188"/>
      <c r="G687" s="861"/>
      <c r="H687" s="11"/>
      <c r="I687" s="11"/>
      <c r="J687" s="11"/>
      <c r="K687" s="11"/>
      <c r="L687" s="11"/>
      <c r="M687" s="11"/>
    </row>
    <row r="688" spans="1:13" ht="12" customHeight="1" x14ac:dyDescent="0.25">
      <c r="A688" s="799"/>
      <c r="B688" s="3" t="s">
        <v>125</v>
      </c>
      <c r="C688" s="54"/>
      <c r="D688" s="54"/>
      <c r="E688" s="1303"/>
      <c r="F688" s="149"/>
      <c r="G688" s="861"/>
      <c r="H688" s="11"/>
      <c r="I688" s="11"/>
      <c r="J688" s="11"/>
      <c r="K688" s="11"/>
      <c r="L688" s="11"/>
      <c r="M688" s="11"/>
    </row>
    <row r="689" spans="1:13" ht="12" customHeight="1" x14ac:dyDescent="0.25">
      <c r="A689" s="799"/>
      <c r="B689" s="56" t="s">
        <v>117</v>
      </c>
      <c r="C689" s="152">
        <v>4633</v>
      </c>
      <c r="D689" s="152">
        <v>4633</v>
      </c>
      <c r="E689" s="1342">
        <f>4633+3187</f>
        <v>7820</v>
      </c>
      <c r="F689" s="149">
        <f>SUM(E689/D689)</f>
        <v>1.6878912151953378</v>
      </c>
      <c r="G689" s="843" t="s">
        <v>1060</v>
      </c>
      <c r="H689" s="11"/>
      <c r="I689" s="11"/>
      <c r="J689" s="11"/>
      <c r="K689" s="11"/>
      <c r="L689" s="11"/>
      <c r="M689" s="11"/>
    </row>
    <row r="690" spans="1:13" ht="12" customHeight="1" x14ac:dyDescent="0.25">
      <c r="A690" s="799"/>
      <c r="B690" s="135" t="s">
        <v>49</v>
      </c>
      <c r="C690" s="152"/>
      <c r="D690" s="152"/>
      <c r="E690" s="1342"/>
      <c r="F690" s="149"/>
      <c r="G690" s="842" t="s">
        <v>1054</v>
      </c>
      <c r="H690" s="11"/>
      <c r="I690" s="11"/>
      <c r="J690" s="11"/>
      <c r="K690" s="11"/>
      <c r="L690" s="11"/>
      <c r="M690" s="11"/>
    </row>
    <row r="691" spans="1:13" ht="12" customHeight="1" x14ac:dyDescent="0.25">
      <c r="A691" s="799"/>
      <c r="B691" s="135" t="s">
        <v>122</v>
      </c>
      <c r="C691" s="152"/>
      <c r="D691" s="152"/>
      <c r="E691" s="1342"/>
      <c r="F691" s="149"/>
      <c r="G691" s="923"/>
      <c r="H691" s="11"/>
      <c r="I691" s="11"/>
      <c r="J691" s="11"/>
      <c r="K691" s="11"/>
      <c r="L691" s="11"/>
      <c r="M691" s="11"/>
    </row>
    <row r="692" spans="1:13" ht="12" customHeight="1" x14ac:dyDescent="0.25">
      <c r="A692" s="799"/>
      <c r="B692" s="3" t="s">
        <v>97</v>
      </c>
      <c r="C692" s="152"/>
      <c r="D692" s="152"/>
      <c r="E692" s="1342"/>
      <c r="F692" s="149"/>
      <c r="G692" s="923"/>
      <c r="H692" s="11"/>
      <c r="I692" s="11"/>
      <c r="J692" s="11"/>
      <c r="K692" s="11"/>
      <c r="L692" s="11"/>
      <c r="M692" s="11"/>
    </row>
    <row r="693" spans="1:13" ht="12" customHeight="1" x14ac:dyDescent="0.25">
      <c r="A693" s="799"/>
      <c r="B693" s="133" t="s">
        <v>185</v>
      </c>
      <c r="C693" s="54"/>
      <c r="D693" s="54"/>
      <c r="E693" s="1303"/>
      <c r="F693" s="149"/>
      <c r="G693" s="861"/>
      <c r="H693" s="11"/>
      <c r="I693" s="11"/>
      <c r="J693" s="11"/>
      <c r="K693" s="11"/>
      <c r="L693" s="11"/>
      <c r="M693" s="11"/>
    </row>
    <row r="694" spans="1:13" ht="12" customHeight="1" thickBot="1" x14ac:dyDescent="0.3">
      <c r="A694" s="799"/>
      <c r="B694" s="37" t="s">
        <v>112</v>
      </c>
      <c r="C694" s="153"/>
      <c r="D694" s="153"/>
      <c r="E694" s="1343"/>
      <c r="F694" s="189"/>
      <c r="G694" s="783"/>
      <c r="H694" s="11"/>
      <c r="I694" s="11"/>
      <c r="J694" s="11"/>
      <c r="K694" s="11"/>
      <c r="L694" s="11"/>
      <c r="M694" s="11"/>
    </row>
    <row r="695" spans="1:13" ht="12" customHeight="1" thickBot="1" x14ac:dyDescent="0.3">
      <c r="A695" s="868"/>
      <c r="B695" s="137" t="s">
        <v>57</v>
      </c>
      <c r="C695" s="150">
        <f t="shared" ref="C695:D695" si="102">SUM(C689:C694)</f>
        <v>4633</v>
      </c>
      <c r="D695" s="150">
        <f t="shared" si="102"/>
        <v>4633</v>
      </c>
      <c r="E695" s="1306">
        <f t="shared" ref="E695" si="103">SUM(E689:E694)</f>
        <v>7820</v>
      </c>
      <c r="F695" s="174">
        <f>SUM(E695/D695)</f>
        <v>1.6878912151953378</v>
      </c>
      <c r="G695" s="203"/>
      <c r="H695" s="11"/>
      <c r="I695" s="11"/>
      <c r="J695" s="11"/>
      <c r="K695" s="11"/>
      <c r="L695" s="11"/>
      <c r="M695" s="11"/>
    </row>
    <row r="696" spans="1:13" ht="12" customHeight="1" x14ac:dyDescent="0.25">
      <c r="A696" s="755">
        <v>3347</v>
      </c>
      <c r="B696" s="148" t="s">
        <v>48</v>
      </c>
      <c r="C696" s="54"/>
      <c r="D696" s="54"/>
      <c r="E696" s="1303"/>
      <c r="F696" s="125"/>
      <c r="G696" s="861"/>
      <c r="H696" s="11"/>
      <c r="I696" s="11"/>
      <c r="J696" s="11"/>
      <c r="K696" s="11"/>
      <c r="L696" s="11"/>
      <c r="M696" s="11"/>
    </row>
    <row r="697" spans="1:13" ht="12" customHeight="1" x14ac:dyDescent="0.25">
      <c r="A697" s="799"/>
      <c r="B697" s="21" t="s">
        <v>45</v>
      </c>
      <c r="C697" s="54"/>
      <c r="D697" s="54"/>
      <c r="E697" s="1303"/>
      <c r="F697" s="125"/>
      <c r="G697" s="861"/>
      <c r="H697" s="11"/>
      <c r="I697" s="11"/>
      <c r="J697" s="11"/>
      <c r="K697" s="11"/>
      <c r="L697" s="11"/>
      <c r="M697" s="11"/>
    </row>
    <row r="698" spans="1:13" ht="12" customHeight="1" x14ac:dyDescent="0.25">
      <c r="A698" s="799"/>
      <c r="B698" s="3" t="s">
        <v>125</v>
      </c>
      <c r="C698" s="54"/>
      <c r="D698" s="54"/>
      <c r="E698" s="1303"/>
      <c r="F698" s="188"/>
      <c r="G698" s="861"/>
      <c r="H698" s="11"/>
      <c r="I698" s="11"/>
      <c r="J698" s="11"/>
      <c r="K698" s="11"/>
      <c r="L698" s="11"/>
      <c r="M698" s="11"/>
    </row>
    <row r="699" spans="1:13" ht="12" customHeight="1" x14ac:dyDescent="0.25">
      <c r="A699" s="799"/>
      <c r="B699" s="56" t="s">
        <v>117</v>
      </c>
      <c r="C699" s="152">
        <v>2756</v>
      </c>
      <c r="D699" s="152">
        <v>2756</v>
      </c>
      <c r="E699" s="1342">
        <f>2756+2000</f>
        <v>4756</v>
      </c>
      <c r="F699" s="149">
        <f>SUM(E699/D699)</f>
        <v>1.725689404934688</v>
      </c>
      <c r="G699" s="843" t="s">
        <v>1060</v>
      </c>
      <c r="H699" s="11"/>
      <c r="I699" s="11"/>
      <c r="J699" s="11"/>
      <c r="K699" s="11"/>
      <c r="L699" s="11"/>
      <c r="M699" s="11"/>
    </row>
    <row r="700" spans="1:13" ht="12" customHeight="1" x14ac:dyDescent="0.25">
      <c r="A700" s="799"/>
      <c r="B700" s="135" t="s">
        <v>49</v>
      </c>
      <c r="C700" s="152"/>
      <c r="D700" s="152"/>
      <c r="E700" s="1342"/>
      <c r="F700" s="149"/>
      <c r="G700" s="842" t="s">
        <v>1054</v>
      </c>
      <c r="H700" s="11"/>
      <c r="I700" s="11"/>
      <c r="J700" s="11"/>
      <c r="K700" s="11"/>
      <c r="L700" s="11"/>
      <c r="M700" s="11"/>
    </row>
    <row r="701" spans="1:13" ht="12" customHeight="1" x14ac:dyDescent="0.25">
      <c r="A701" s="799"/>
      <c r="B701" s="135" t="s">
        <v>122</v>
      </c>
      <c r="C701" s="152"/>
      <c r="D701" s="152"/>
      <c r="E701" s="1342"/>
      <c r="F701" s="149"/>
      <c r="G701" s="923"/>
      <c r="H701" s="11"/>
      <c r="I701" s="11"/>
      <c r="J701" s="11"/>
      <c r="K701" s="11"/>
      <c r="L701" s="11"/>
      <c r="M701" s="11"/>
    </row>
    <row r="702" spans="1:13" ht="12" customHeight="1" x14ac:dyDescent="0.25">
      <c r="A702" s="799"/>
      <c r="B702" s="3" t="s">
        <v>97</v>
      </c>
      <c r="C702" s="152"/>
      <c r="D702" s="152"/>
      <c r="E702" s="1342"/>
      <c r="F702" s="149"/>
      <c r="G702" s="923"/>
      <c r="H702" s="11"/>
      <c r="I702" s="11"/>
      <c r="J702" s="11"/>
      <c r="K702" s="11"/>
      <c r="L702" s="11"/>
      <c r="M702" s="11"/>
    </row>
    <row r="703" spans="1:13" ht="12" customHeight="1" x14ac:dyDescent="0.25">
      <c r="A703" s="799"/>
      <c r="B703" s="133" t="s">
        <v>185</v>
      </c>
      <c r="C703" s="54"/>
      <c r="D703" s="54"/>
      <c r="E703" s="1303"/>
      <c r="F703" s="149"/>
      <c r="G703" s="861"/>
      <c r="H703" s="11"/>
      <c r="I703" s="11"/>
      <c r="J703" s="11"/>
      <c r="K703" s="11"/>
      <c r="L703" s="11"/>
      <c r="M703" s="11"/>
    </row>
    <row r="704" spans="1:13" ht="12" customHeight="1" thickBot="1" x14ac:dyDescent="0.3">
      <c r="A704" s="799"/>
      <c r="B704" s="37" t="s">
        <v>112</v>
      </c>
      <c r="C704" s="70"/>
      <c r="D704" s="70"/>
      <c r="E704" s="1357"/>
      <c r="F704" s="189"/>
      <c r="G704" s="783"/>
      <c r="H704" s="11"/>
      <c r="I704" s="11"/>
      <c r="J704" s="11"/>
      <c r="K704" s="11"/>
      <c r="L704" s="11"/>
      <c r="M704" s="11"/>
    </row>
    <row r="705" spans="1:13" ht="12" customHeight="1" thickBot="1" x14ac:dyDescent="0.3">
      <c r="A705" s="868"/>
      <c r="B705" s="137" t="s">
        <v>57</v>
      </c>
      <c r="C705" s="150">
        <f t="shared" ref="C705:D705" si="104">SUM(C699:C704)</f>
        <v>2756</v>
      </c>
      <c r="D705" s="150">
        <f t="shared" si="104"/>
        <v>2756</v>
      </c>
      <c r="E705" s="1306">
        <f t="shared" ref="E705" si="105">SUM(E699:E704)</f>
        <v>4756</v>
      </c>
      <c r="F705" s="174">
        <f>SUM(E705/D705)</f>
        <v>1.725689404934688</v>
      </c>
      <c r="G705" s="203"/>
      <c r="H705" s="11"/>
      <c r="I705" s="11"/>
      <c r="J705" s="11"/>
      <c r="K705" s="11"/>
      <c r="L705" s="11"/>
      <c r="M705" s="11"/>
    </row>
    <row r="706" spans="1:13" ht="12" customHeight="1" x14ac:dyDescent="0.25">
      <c r="A706" s="755">
        <v>3348</v>
      </c>
      <c r="B706" s="148" t="s">
        <v>83</v>
      </c>
      <c r="C706" s="54"/>
      <c r="D706" s="54"/>
      <c r="E706" s="1303"/>
      <c r="F706" s="125"/>
      <c r="G706" s="861"/>
      <c r="H706" s="11"/>
      <c r="I706" s="11"/>
      <c r="J706" s="11"/>
      <c r="K706" s="11"/>
      <c r="L706" s="11"/>
      <c r="M706" s="11"/>
    </row>
    <row r="707" spans="1:13" ht="12" customHeight="1" x14ac:dyDescent="0.25">
      <c r="A707" s="799"/>
      <c r="B707" s="21" t="s">
        <v>45</v>
      </c>
      <c r="C707" s="54"/>
      <c r="D707" s="54"/>
      <c r="E707" s="1303"/>
      <c r="F707" s="125"/>
      <c r="G707" s="861"/>
      <c r="H707" s="11"/>
      <c r="I707" s="11"/>
      <c r="J707" s="11"/>
      <c r="K707" s="11"/>
      <c r="L707" s="11"/>
      <c r="M707" s="11"/>
    </row>
    <row r="708" spans="1:13" ht="12" customHeight="1" x14ac:dyDescent="0.25">
      <c r="A708" s="799"/>
      <c r="B708" s="3" t="s">
        <v>125</v>
      </c>
      <c r="C708" s="54"/>
      <c r="D708" s="54"/>
      <c r="E708" s="1303"/>
      <c r="F708" s="188"/>
      <c r="G708" s="861"/>
      <c r="H708" s="11"/>
      <c r="I708" s="11"/>
      <c r="J708" s="11"/>
      <c r="K708" s="11"/>
      <c r="L708" s="11"/>
      <c r="M708" s="11"/>
    </row>
    <row r="709" spans="1:13" ht="12" customHeight="1" x14ac:dyDescent="0.25">
      <c r="A709" s="799"/>
      <c r="B709" s="56" t="s">
        <v>117</v>
      </c>
      <c r="C709" s="152">
        <v>3000</v>
      </c>
      <c r="D709" s="152">
        <v>3000</v>
      </c>
      <c r="E709" s="1342">
        <v>3000</v>
      </c>
      <c r="F709" s="149">
        <f>SUM(E709/D709)</f>
        <v>1</v>
      </c>
      <c r="G709" s="843" t="s">
        <v>1060</v>
      </c>
      <c r="H709" s="11"/>
      <c r="I709" s="11"/>
      <c r="J709" s="11"/>
      <c r="K709" s="11"/>
      <c r="L709" s="11"/>
      <c r="M709" s="11"/>
    </row>
    <row r="710" spans="1:13" ht="12" customHeight="1" x14ac:dyDescent="0.25">
      <c r="A710" s="799"/>
      <c r="B710" s="135" t="s">
        <v>49</v>
      </c>
      <c r="C710" s="152"/>
      <c r="D710" s="152"/>
      <c r="E710" s="1342"/>
      <c r="F710" s="149"/>
      <c r="G710" s="842" t="s">
        <v>1054</v>
      </c>
      <c r="H710" s="11"/>
      <c r="I710" s="11"/>
      <c r="J710" s="11"/>
      <c r="K710" s="11"/>
      <c r="L710" s="11"/>
      <c r="M710" s="11"/>
    </row>
    <row r="711" spans="1:13" ht="12" customHeight="1" x14ac:dyDescent="0.25">
      <c r="A711" s="799"/>
      <c r="B711" s="135" t="s">
        <v>122</v>
      </c>
      <c r="C711" s="152"/>
      <c r="D711" s="152"/>
      <c r="E711" s="1342"/>
      <c r="F711" s="149"/>
      <c r="G711" s="924"/>
      <c r="H711" s="11"/>
      <c r="I711" s="11"/>
      <c r="J711" s="11"/>
      <c r="K711" s="11"/>
      <c r="L711" s="11"/>
      <c r="M711" s="11"/>
    </row>
    <row r="712" spans="1:13" ht="12" customHeight="1" x14ac:dyDescent="0.25">
      <c r="A712" s="799"/>
      <c r="B712" s="3" t="s">
        <v>97</v>
      </c>
      <c r="C712" s="152"/>
      <c r="D712" s="152"/>
      <c r="E712" s="1342"/>
      <c r="F712" s="149"/>
      <c r="G712" s="923"/>
      <c r="H712" s="11"/>
      <c r="I712" s="11"/>
      <c r="J712" s="11"/>
      <c r="K712" s="11"/>
      <c r="L712" s="11"/>
      <c r="M712" s="11"/>
    </row>
    <row r="713" spans="1:13" ht="12" customHeight="1" x14ac:dyDescent="0.25">
      <c r="A713" s="799"/>
      <c r="B713" s="133" t="s">
        <v>185</v>
      </c>
      <c r="C713" s="54"/>
      <c r="D713" s="54"/>
      <c r="E713" s="1303"/>
      <c r="F713" s="149"/>
      <c r="G713" s="861"/>
      <c r="H713" s="11"/>
      <c r="I713" s="11"/>
      <c r="J713" s="11"/>
      <c r="K713" s="11"/>
      <c r="L713" s="11"/>
      <c r="M713" s="11"/>
    </row>
    <row r="714" spans="1:13" ht="12" customHeight="1" thickBot="1" x14ac:dyDescent="0.3">
      <c r="A714" s="799"/>
      <c r="B714" s="37" t="s">
        <v>112</v>
      </c>
      <c r="C714" s="153"/>
      <c r="D714" s="153"/>
      <c r="E714" s="1343"/>
      <c r="F714" s="189"/>
      <c r="G714" s="783"/>
      <c r="H714" s="11"/>
      <c r="I714" s="11"/>
      <c r="J714" s="11"/>
      <c r="K714" s="11"/>
      <c r="L714" s="11"/>
      <c r="M714" s="11"/>
    </row>
    <row r="715" spans="1:13" ht="12" customHeight="1" thickBot="1" x14ac:dyDescent="0.3">
      <c r="A715" s="868"/>
      <c r="B715" s="137" t="s">
        <v>57</v>
      </c>
      <c r="C715" s="150">
        <f t="shared" ref="C715:D715" si="106">SUM(C709:C714)</f>
        <v>3000</v>
      </c>
      <c r="D715" s="150">
        <f t="shared" si="106"/>
        <v>3000</v>
      </c>
      <c r="E715" s="1306">
        <f t="shared" ref="E715" si="107">SUM(E709:E714)</f>
        <v>3000</v>
      </c>
      <c r="F715" s="174">
        <f>SUM(E715/D715)</f>
        <v>1</v>
      </c>
      <c r="G715" s="203"/>
      <c r="H715" s="11"/>
      <c r="I715" s="11"/>
      <c r="J715" s="11"/>
      <c r="K715" s="11"/>
      <c r="L715" s="11"/>
      <c r="M715" s="11"/>
    </row>
    <row r="716" spans="1:13" ht="12" customHeight="1" x14ac:dyDescent="0.25">
      <c r="A716" s="755">
        <v>3349</v>
      </c>
      <c r="B716" s="148" t="s">
        <v>141</v>
      </c>
      <c r="C716" s="54"/>
      <c r="D716" s="54"/>
      <c r="E716" s="1303"/>
      <c r="F716" s="125"/>
      <c r="G716" s="861"/>
      <c r="H716" s="11"/>
      <c r="I716" s="11"/>
      <c r="J716" s="11"/>
      <c r="K716" s="11"/>
      <c r="L716" s="11"/>
      <c r="M716" s="11"/>
    </row>
    <row r="717" spans="1:13" ht="12" customHeight="1" x14ac:dyDescent="0.25">
      <c r="A717" s="799"/>
      <c r="B717" s="21" t="s">
        <v>45</v>
      </c>
      <c r="C717" s="54"/>
      <c r="D717" s="54"/>
      <c r="E717" s="1303"/>
      <c r="F717" s="188"/>
      <c r="G717" s="861"/>
      <c r="H717" s="11"/>
      <c r="I717" s="11"/>
      <c r="J717" s="11"/>
      <c r="K717" s="11"/>
      <c r="L717" s="11"/>
      <c r="M717" s="11"/>
    </row>
    <row r="718" spans="1:13" ht="12" customHeight="1" x14ac:dyDescent="0.25">
      <c r="A718" s="799"/>
      <c r="B718" s="3" t="s">
        <v>125</v>
      </c>
      <c r="C718" s="54"/>
      <c r="D718" s="54"/>
      <c r="E718" s="1303"/>
      <c r="F718" s="149"/>
      <c r="G718" s="861"/>
      <c r="H718" s="11"/>
      <c r="I718" s="11"/>
      <c r="J718" s="11"/>
      <c r="K718" s="11"/>
      <c r="L718" s="11"/>
      <c r="M718" s="11"/>
    </row>
    <row r="719" spans="1:13" ht="12" customHeight="1" x14ac:dyDescent="0.25">
      <c r="A719" s="799"/>
      <c r="B719" s="56" t="s">
        <v>117</v>
      </c>
      <c r="C719" s="152">
        <v>9600</v>
      </c>
      <c r="D719" s="152">
        <v>9600</v>
      </c>
      <c r="E719" s="1342">
        <v>9600</v>
      </c>
      <c r="F719" s="149">
        <f>SUM(E719/D719)</f>
        <v>1</v>
      </c>
      <c r="G719" s="843" t="s">
        <v>1060</v>
      </c>
      <c r="H719" s="11"/>
      <c r="I719" s="11"/>
      <c r="J719" s="11"/>
      <c r="K719" s="11"/>
      <c r="L719" s="11"/>
      <c r="M719" s="11"/>
    </row>
    <row r="720" spans="1:13" ht="12" customHeight="1" x14ac:dyDescent="0.25">
      <c r="A720" s="799"/>
      <c r="B720" s="135" t="s">
        <v>49</v>
      </c>
      <c r="C720" s="152"/>
      <c r="D720" s="152"/>
      <c r="E720" s="1342"/>
      <c r="F720" s="149"/>
      <c r="G720" s="842" t="s">
        <v>1054</v>
      </c>
      <c r="H720" s="11"/>
      <c r="I720" s="11"/>
      <c r="J720" s="11"/>
      <c r="K720" s="11"/>
      <c r="L720" s="11"/>
      <c r="M720" s="11"/>
    </row>
    <row r="721" spans="1:13" ht="12" customHeight="1" x14ac:dyDescent="0.25">
      <c r="A721" s="799"/>
      <c r="B721" s="135" t="s">
        <v>122</v>
      </c>
      <c r="C721" s="152"/>
      <c r="D721" s="152"/>
      <c r="E721" s="1342"/>
      <c r="F721" s="149"/>
      <c r="G721" s="924"/>
      <c r="H721" s="11"/>
      <c r="I721" s="11"/>
      <c r="J721" s="11"/>
      <c r="K721" s="11"/>
      <c r="L721" s="11"/>
      <c r="M721" s="11"/>
    </row>
    <row r="722" spans="1:13" ht="12" customHeight="1" x14ac:dyDescent="0.25">
      <c r="A722" s="799"/>
      <c r="B722" s="3" t="s">
        <v>97</v>
      </c>
      <c r="C722" s="152"/>
      <c r="D722" s="152"/>
      <c r="E722" s="1342"/>
      <c r="F722" s="149"/>
      <c r="G722" s="923"/>
      <c r="H722" s="11"/>
      <c r="I722" s="11"/>
      <c r="J722" s="11"/>
      <c r="K722" s="11"/>
      <c r="L722" s="11"/>
      <c r="M722" s="11"/>
    </row>
    <row r="723" spans="1:13" ht="12" customHeight="1" x14ac:dyDescent="0.25">
      <c r="A723" s="799"/>
      <c r="B723" s="133" t="s">
        <v>185</v>
      </c>
      <c r="C723" s="54"/>
      <c r="D723" s="54"/>
      <c r="E723" s="1303"/>
      <c r="F723" s="149"/>
      <c r="G723" s="861"/>
      <c r="H723" s="11"/>
      <c r="I723" s="11"/>
      <c r="J723" s="11"/>
      <c r="K723" s="11"/>
      <c r="L723" s="11"/>
      <c r="M723" s="11"/>
    </row>
    <row r="724" spans="1:13" ht="12" customHeight="1" thickBot="1" x14ac:dyDescent="0.3">
      <c r="A724" s="799"/>
      <c r="B724" s="37" t="s">
        <v>112</v>
      </c>
      <c r="C724" s="153"/>
      <c r="D724" s="153"/>
      <c r="E724" s="1343"/>
      <c r="F724" s="189"/>
      <c r="G724" s="783"/>
      <c r="H724" s="11"/>
      <c r="I724" s="11"/>
      <c r="J724" s="11"/>
      <c r="K724" s="11"/>
      <c r="L724" s="11"/>
      <c r="M724" s="11"/>
    </row>
    <row r="725" spans="1:13" ht="12" customHeight="1" thickBot="1" x14ac:dyDescent="0.3">
      <c r="A725" s="868"/>
      <c r="B725" s="137" t="s">
        <v>57</v>
      </c>
      <c r="C725" s="150">
        <f t="shared" ref="C725:D725" si="108">SUM(C719:C724)</f>
        <v>9600</v>
      </c>
      <c r="D725" s="150">
        <f t="shared" si="108"/>
        <v>9600</v>
      </c>
      <c r="E725" s="1306">
        <f t="shared" ref="E725" si="109">SUM(E719:E724)</f>
        <v>9600</v>
      </c>
      <c r="F725" s="174">
        <f>SUM(E725/D725)</f>
        <v>1</v>
      </c>
      <c r="G725" s="203"/>
      <c r="H725" s="11"/>
      <c r="I725" s="11"/>
      <c r="J725" s="11"/>
      <c r="K725" s="11"/>
      <c r="L725" s="11"/>
      <c r="M725" s="11"/>
    </row>
    <row r="726" spans="1:13" ht="12" customHeight="1" x14ac:dyDescent="0.25">
      <c r="A726" s="755">
        <v>3350</v>
      </c>
      <c r="B726" s="148" t="s">
        <v>178</v>
      </c>
      <c r="C726" s="54"/>
      <c r="D726" s="54"/>
      <c r="E726" s="1303"/>
      <c r="F726" s="125"/>
      <c r="G726" s="861"/>
      <c r="H726" s="11"/>
      <c r="I726" s="11"/>
      <c r="J726" s="11"/>
      <c r="K726" s="11"/>
      <c r="L726" s="11"/>
      <c r="M726" s="11"/>
    </row>
    <row r="727" spans="1:13" ht="12" customHeight="1" x14ac:dyDescent="0.25">
      <c r="A727" s="799"/>
      <c r="B727" s="21" t="s">
        <v>45</v>
      </c>
      <c r="C727" s="54"/>
      <c r="D727" s="54"/>
      <c r="E727" s="1303"/>
      <c r="F727" s="188"/>
      <c r="G727" s="861"/>
      <c r="H727" s="11"/>
      <c r="I727" s="11"/>
      <c r="J727" s="11"/>
      <c r="K727" s="11"/>
      <c r="L727" s="11"/>
      <c r="M727" s="11"/>
    </row>
    <row r="728" spans="1:13" ht="12" customHeight="1" x14ac:dyDescent="0.25">
      <c r="A728" s="799"/>
      <c r="B728" s="3" t="s">
        <v>125</v>
      </c>
      <c r="C728" s="54"/>
      <c r="D728" s="54"/>
      <c r="E728" s="1303"/>
      <c r="F728" s="149"/>
      <c r="G728" s="861"/>
      <c r="H728" s="11"/>
      <c r="I728" s="11"/>
      <c r="J728" s="11"/>
      <c r="K728" s="11"/>
      <c r="L728" s="11"/>
      <c r="M728" s="11"/>
    </row>
    <row r="729" spans="1:13" ht="12" customHeight="1" x14ac:dyDescent="0.25">
      <c r="A729" s="799"/>
      <c r="B729" s="56" t="s">
        <v>117</v>
      </c>
      <c r="C729" s="152">
        <v>9000</v>
      </c>
      <c r="D729" s="152">
        <v>9000</v>
      </c>
      <c r="E729" s="1342">
        <f>9000+393+6000</f>
        <v>15393</v>
      </c>
      <c r="F729" s="149">
        <f>SUM(E729/D729)</f>
        <v>1.7103333333333333</v>
      </c>
      <c r="G729" s="843" t="s">
        <v>1060</v>
      </c>
      <c r="H729" s="11"/>
      <c r="I729" s="11"/>
      <c r="J729" s="11"/>
      <c r="K729" s="11"/>
      <c r="L729" s="11"/>
      <c r="M729" s="11"/>
    </row>
    <row r="730" spans="1:13" ht="12" customHeight="1" x14ac:dyDescent="0.25">
      <c r="A730" s="799"/>
      <c r="B730" s="135" t="s">
        <v>49</v>
      </c>
      <c r="C730" s="152"/>
      <c r="D730" s="152"/>
      <c r="E730" s="1342"/>
      <c r="F730" s="149"/>
      <c r="G730" s="842" t="s">
        <v>1054</v>
      </c>
      <c r="H730" s="11"/>
      <c r="I730" s="11"/>
      <c r="J730" s="11"/>
      <c r="K730" s="11"/>
      <c r="L730" s="11"/>
      <c r="M730" s="11"/>
    </row>
    <row r="731" spans="1:13" ht="12" customHeight="1" x14ac:dyDescent="0.25">
      <c r="A731" s="799"/>
      <c r="B731" s="135" t="s">
        <v>122</v>
      </c>
      <c r="C731" s="152"/>
      <c r="D731" s="152"/>
      <c r="E731" s="1342"/>
      <c r="F731" s="149"/>
      <c r="G731" s="924"/>
      <c r="H731" s="11"/>
      <c r="I731" s="11"/>
      <c r="J731" s="11"/>
      <c r="K731" s="11"/>
      <c r="L731" s="11"/>
      <c r="M731" s="11"/>
    </row>
    <row r="732" spans="1:13" ht="12" customHeight="1" x14ac:dyDescent="0.25">
      <c r="A732" s="799"/>
      <c r="B732" s="3" t="s">
        <v>97</v>
      </c>
      <c r="C732" s="152"/>
      <c r="D732" s="152"/>
      <c r="E732" s="1342"/>
      <c r="F732" s="149"/>
      <c r="G732" s="923"/>
      <c r="H732" s="11"/>
      <c r="I732" s="11"/>
      <c r="J732" s="11"/>
      <c r="K732" s="11"/>
      <c r="L732" s="11"/>
      <c r="M732" s="11"/>
    </row>
    <row r="733" spans="1:13" ht="12" customHeight="1" x14ac:dyDescent="0.25">
      <c r="A733" s="799"/>
      <c r="B733" s="133" t="s">
        <v>185</v>
      </c>
      <c r="C733" s="54"/>
      <c r="D733" s="54"/>
      <c r="E733" s="1303"/>
      <c r="F733" s="149"/>
      <c r="G733" s="861"/>
      <c r="H733" s="11"/>
      <c r="I733" s="11"/>
      <c r="J733" s="11"/>
      <c r="K733" s="11"/>
      <c r="L733" s="11"/>
      <c r="M733" s="11"/>
    </row>
    <row r="734" spans="1:13" ht="12" customHeight="1" thickBot="1" x14ac:dyDescent="0.3">
      <c r="A734" s="799"/>
      <c r="B734" s="37" t="s">
        <v>112</v>
      </c>
      <c r="C734" s="153"/>
      <c r="D734" s="153"/>
      <c r="E734" s="1343"/>
      <c r="F734" s="189"/>
      <c r="G734" s="783"/>
      <c r="H734" s="11"/>
      <c r="I734" s="11"/>
      <c r="J734" s="11"/>
      <c r="K734" s="11"/>
      <c r="L734" s="11"/>
      <c r="M734" s="11"/>
    </row>
    <row r="735" spans="1:13" ht="12" customHeight="1" thickBot="1" x14ac:dyDescent="0.3">
      <c r="A735" s="868"/>
      <c r="B735" s="137" t="s">
        <v>57</v>
      </c>
      <c r="C735" s="150">
        <f t="shared" ref="C735:D735" si="110">SUM(C729:C734)</f>
        <v>9000</v>
      </c>
      <c r="D735" s="150">
        <f t="shared" si="110"/>
        <v>9000</v>
      </c>
      <c r="E735" s="1306">
        <f t="shared" ref="E735" si="111">SUM(E729:E734)</f>
        <v>15393</v>
      </c>
      <c r="F735" s="174">
        <f>SUM(E735/D735)</f>
        <v>1.7103333333333333</v>
      </c>
      <c r="G735" s="203"/>
      <c r="H735" s="11"/>
      <c r="I735" s="11"/>
      <c r="J735" s="11"/>
      <c r="K735" s="11"/>
      <c r="L735" s="11"/>
      <c r="M735" s="11"/>
    </row>
    <row r="736" spans="1:13" ht="12" x14ac:dyDescent="0.25">
      <c r="A736" s="755">
        <v>3352</v>
      </c>
      <c r="B736" s="148" t="s">
        <v>175</v>
      </c>
      <c r="C736" s="54"/>
      <c r="D736" s="54"/>
      <c r="E736" s="1303"/>
      <c r="F736" s="125"/>
      <c r="G736" s="861"/>
      <c r="H736" s="11"/>
      <c r="I736" s="11"/>
      <c r="J736" s="11"/>
      <c r="K736" s="11"/>
      <c r="L736" s="11"/>
      <c r="M736" s="11"/>
    </row>
    <row r="737" spans="1:13" ht="12" x14ac:dyDescent="0.25">
      <c r="A737" s="799"/>
      <c r="B737" s="21" t="s">
        <v>45</v>
      </c>
      <c r="C737" s="51"/>
      <c r="D737" s="51"/>
      <c r="E737" s="1304"/>
      <c r="F737" s="125"/>
      <c r="G737" s="861"/>
      <c r="H737" s="11"/>
      <c r="I737" s="11"/>
      <c r="J737" s="11"/>
      <c r="K737" s="11"/>
      <c r="L737" s="11"/>
      <c r="M737" s="11"/>
    </row>
    <row r="738" spans="1:13" ht="12" x14ac:dyDescent="0.25">
      <c r="A738" s="799"/>
      <c r="B738" s="3" t="s">
        <v>125</v>
      </c>
      <c r="C738" s="51"/>
      <c r="D738" s="51"/>
      <c r="E738" s="1304"/>
      <c r="F738" s="188"/>
      <c r="G738" s="861"/>
      <c r="H738" s="11"/>
      <c r="I738" s="11"/>
      <c r="J738" s="11"/>
      <c r="K738" s="11"/>
      <c r="L738" s="11"/>
      <c r="M738" s="11"/>
    </row>
    <row r="739" spans="1:13" ht="12" x14ac:dyDescent="0.25">
      <c r="A739" s="799"/>
      <c r="B739" s="56" t="s">
        <v>117</v>
      </c>
      <c r="C739" s="152">
        <v>25000</v>
      </c>
      <c r="D739" s="152">
        <v>25000</v>
      </c>
      <c r="E739" s="1342">
        <f>25000+13469</f>
        <v>38469</v>
      </c>
      <c r="F739" s="149">
        <f>SUM(E739/D739)</f>
        <v>1.5387599999999999</v>
      </c>
      <c r="G739" s="843" t="s">
        <v>1060</v>
      </c>
      <c r="H739" s="11"/>
      <c r="I739" s="11"/>
      <c r="J739" s="11"/>
      <c r="K739" s="11"/>
      <c r="L739" s="11"/>
      <c r="M739" s="11"/>
    </row>
    <row r="740" spans="1:13" ht="12" x14ac:dyDescent="0.25">
      <c r="A740" s="799"/>
      <c r="B740" s="135" t="s">
        <v>49</v>
      </c>
      <c r="C740" s="152"/>
      <c r="D740" s="152"/>
      <c r="E740" s="1342"/>
      <c r="F740" s="149"/>
      <c r="G740" s="842" t="s">
        <v>1054</v>
      </c>
      <c r="H740" s="11"/>
      <c r="I740" s="11"/>
      <c r="J740" s="11"/>
      <c r="K740" s="11"/>
      <c r="L740" s="11"/>
      <c r="M740" s="11"/>
    </row>
    <row r="741" spans="1:13" ht="12" x14ac:dyDescent="0.25">
      <c r="A741" s="799"/>
      <c r="B741" s="135" t="s">
        <v>122</v>
      </c>
      <c r="C741" s="152"/>
      <c r="D741" s="152"/>
      <c r="E741" s="1342"/>
      <c r="F741" s="149"/>
      <c r="G741" s="861"/>
      <c r="H741" s="11"/>
      <c r="I741" s="11"/>
      <c r="J741" s="11"/>
      <c r="K741" s="11"/>
      <c r="L741" s="11"/>
      <c r="M741" s="11"/>
    </row>
    <row r="742" spans="1:13" ht="12" x14ac:dyDescent="0.25">
      <c r="A742" s="799"/>
      <c r="B742" s="3" t="s">
        <v>97</v>
      </c>
      <c r="C742" s="152"/>
      <c r="D742" s="152"/>
      <c r="E742" s="1342"/>
      <c r="F742" s="149"/>
      <c r="G742" s="861"/>
      <c r="H742" s="11"/>
      <c r="I742" s="11"/>
      <c r="J742" s="11"/>
      <c r="K742" s="11"/>
      <c r="L742" s="11"/>
      <c r="M742" s="11"/>
    </row>
    <row r="743" spans="1:13" ht="12" x14ac:dyDescent="0.25">
      <c r="A743" s="799"/>
      <c r="B743" s="133" t="s">
        <v>185</v>
      </c>
      <c r="C743" s="51"/>
      <c r="D743" s="51"/>
      <c r="E743" s="1304"/>
      <c r="F743" s="149"/>
      <c r="G743" s="866"/>
      <c r="H743" s="11"/>
      <c r="I743" s="11"/>
      <c r="J743" s="11"/>
      <c r="K743" s="11"/>
      <c r="L743" s="11"/>
      <c r="M743" s="11"/>
    </row>
    <row r="744" spans="1:13" ht="12.6" thickBot="1" x14ac:dyDescent="0.3">
      <c r="A744" s="799"/>
      <c r="B744" s="37" t="s">
        <v>112</v>
      </c>
      <c r="C744" s="154"/>
      <c r="D744" s="154"/>
      <c r="E744" s="1344"/>
      <c r="F744" s="189"/>
      <c r="G744" s="783"/>
      <c r="H744" s="11"/>
      <c r="I744" s="11"/>
      <c r="J744" s="11"/>
      <c r="K744" s="11"/>
      <c r="L744" s="11"/>
      <c r="M744" s="11"/>
    </row>
    <row r="745" spans="1:13" ht="12.6" thickBot="1" x14ac:dyDescent="0.3">
      <c r="A745" s="868"/>
      <c r="B745" s="137" t="s">
        <v>57</v>
      </c>
      <c r="C745" s="153">
        <f t="shared" ref="C745:D745" si="112">SUM(C737:C744)</f>
        <v>25000</v>
      </c>
      <c r="D745" s="153">
        <f t="shared" si="112"/>
        <v>25000</v>
      </c>
      <c r="E745" s="1343">
        <f t="shared" ref="E745" si="113">SUM(E737:E744)</f>
        <v>38469</v>
      </c>
      <c r="F745" s="174">
        <f>SUM(E745/D745)</f>
        <v>1.5387599999999999</v>
      </c>
      <c r="G745" s="203"/>
      <c r="H745" s="11"/>
      <c r="I745" s="11"/>
      <c r="J745" s="11"/>
      <c r="K745" s="11"/>
      <c r="L745" s="11"/>
      <c r="M745" s="11"/>
    </row>
    <row r="746" spans="1:13" ht="12" x14ac:dyDescent="0.25">
      <c r="A746" s="755">
        <v>3353</v>
      </c>
      <c r="B746" s="148" t="s">
        <v>210</v>
      </c>
      <c r="C746" s="54"/>
      <c r="D746" s="54"/>
      <c r="E746" s="1303"/>
      <c r="F746" s="125"/>
      <c r="G746" s="861"/>
      <c r="H746" s="11"/>
      <c r="I746" s="11"/>
      <c r="J746" s="11"/>
      <c r="K746" s="11"/>
      <c r="L746" s="11"/>
      <c r="M746" s="11"/>
    </row>
    <row r="747" spans="1:13" ht="12" x14ac:dyDescent="0.25">
      <c r="A747" s="799"/>
      <c r="B747" s="21" t="s">
        <v>45</v>
      </c>
      <c r="C747" s="51"/>
      <c r="D747" s="51"/>
      <c r="E747" s="1304"/>
      <c r="F747" s="125"/>
      <c r="G747" s="861"/>
      <c r="H747" s="11"/>
      <c r="I747" s="11"/>
      <c r="J747" s="11"/>
      <c r="K747" s="11"/>
      <c r="L747" s="11"/>
      <c r="M747" s="11"/>
    </row>
    <row r="748" spans="1:13" ht="12" x14ac:dyDescent="0.25">
      <c r="A748" s="799"/>
      <c r="B748" s="3" t="s">
        <v>125</v>
      </c>
      <c r="C748" s="51"/>
      <c r="D748" s="51"/>
      <c r="E748" s="1304"/>
      <c r="F748" s="188"/>
      <c r="G748" s="861"/>
      <c r="H748" s="11"/>
      <c r="I748" s="11"/>
      <c r="J748" s="11"/>
      <c r="K748" s="11"/>
      <c r="L748" s="11"/>
      <c r="M748" s="11"/>
    </row>
    <row r="749" spans="1:13" ht="12" x14ac:dyDescent="0.25">
      <c r="A749" s="799"/>
      <c r="B749" s="56" t="s">
        <v>117</v>
      </c>
      <c r="C749" s="152">
        <v>1500</v>
      </c>
      <c r="D749" s="152">
        <v>1500</v>
      </c>
      <c r="E749" s="1342">
        <f>1500+1412</f>
        <v>2912</v>
      </c>
      <c r="F749" s="149">
        <f>SUM(E749/D749)</f>
        <v>1.9413333333333334</v>
      </c>
      <c r="G749" s="843" t="s">
        <v>1060</v>
      </c>
      <c r="H749" s="11"/>
      <c r="I749" s="11"/>
      <c r="J749" s="11"/>
      <c r="K749" s="11"/>
      <c r="L749" s="11"/>
      <c r="M749" s="11"/>
    </row>
    <row r="750" spans="1:13" ht="12" x14ac:dyDescent="0.25">
      <c r="A750" s="799"/>
      <c r="B750" s="135" t="s">
        <v>49</v>
      </c>
      <c r="C750" s="152"/>
      <c r="D750" s="152"/>
      <c r="E750" s="1342"/>
      <c r="F750" s="149"/>
      <c r="G750" s="842" t="s">
        <v>1054</v>
      </c>
      <c r="H750" s="11"/>
      <c r="I750" s="11"/>
      <c r="J750" s="11"/>
      <c r="K750" s="11"/>
      <c r="L750" s="11"/>
      <c r="M750" s="11"/>
    </row>
    <row r="751" spans="1:13" ht="12" x14ac:dyDescent="0.25">
      <c r="A751" s="799"/>
      <c r="B751" s="135" t="s">
        <v>122</v>
      </c>
      <c r="C751" s="152"/>
      <c r="D751" s="152"/>
      <c r="E751" s="1342"/>
      <c r="F751" s="149"/>
      <c r="G751" s="876"/>
      <c r="H751" s="11"/>
      <c r="I751" s="11"/>
      <c r="J751" s="11"/>
      <c r="K751" s="11"/>
      <c r="L751" s="11"/>
      <c r="M751" s="11"/>
    </row>
    <row r="752" spans="1:13" ht="12" x14ac:dyDescent="0.25">
      <c r="A752" s="799"/>
      <c r="B752" s="3" t="s">
        <v>97</v>
      </c>
      <c r="C752" s="152"/>
      <c r="D752" s="152"/>
      <c r="E752" s="1342"/>
      <c r="F752" s="149"/>
      <c r="G752" s="862"/>
      <c r="H752" s="11"/>
      <c r="I752" s="11"/>
      <c r="J752" s="11"/>
      <c r="K752" s="11"/>
      <c r="L752" s="11"/>
      <c r="M752" s="11"/>
    </row>
    <row r="753" spans="1:13" ht="12" x14ac:dyDescent="0.25">
      <c r="A753" s="799"/>
      <c r="B753" s="133" t="s">
        <v>185</v>
      </c>
      <c r="C753" s="51"/>
      <c r="D753" s="51"/>
      <c r="E753" s="1304"/>
      <c r="F753" s="149"/>
      <c r="G753" s="866"/>
      <c r="H753" s="11"/>
      <c r="I753" s="11"/>
      <c r="J753" s="11"/>
      <c r="K753" s="11"/>
      <c r="L753" s="11"/>
      <c r="M753" s="11"/>
    </row>
    <row r="754" spans="1:13" ht="12.6" thickBot="1" x14ac:dyDescent="0.3">
      <c r="A754" s="799"/>
      <c r="B754" s="37" t="s">
        <v>112</v>
      </c>
      <c r="C754" s="154"/>
      <c r="D754" s="154"/>
      <c r="E754" s="1344"/>
      <c r="F754" s="189"/>
      <c r="G754" s="783"/>
      <c r="H754" s="11"/>
      <c r="I754" s="11"/>
      <c r="J754" s="11"/>
      <c r="K754" s="11"/>
      <c r="L754" s="11"/>
      <c r="M754" s="11"/>
    </row>
    <row r="755" spans="1:13" ht="12.6" thickBot="1" x14ac:dyDescent="0.3">
      <c r="A755" s="868"/>
      <c r="B755" s="137" t="s">
        <v>57</v>
      </c>
      <c r="C755" s="153">
        <f t="shared" ref="C755:D755" si="114">SUM(C747:C754)</f>
        <v>1500</v>
      </c>
      <c r="D755" s="153">
        <f t="shared" si="114"/>
        <v>1500</v>
      </c>
      <c r="E755" s="1343">
        <f t="shared" ref="E755" si="115">SUM(E747:E754)</f>
        <v>2912</v>
      </c>
      <c r="F755" s="174">
        <f>SUM(E755/D755)</f>
        <v>1.9413333333333334</v>
      </c>
      <c r="G755" s="203"/>
      <c r="H755" s="11"/>
      <c r="I755" s="11"/>
      <c r="J755" s="11"/>
      <c r="K755" s="11"/>
      <c r="L755" s="11"/>
      <c r="M755" s="11"/>
    </row>
    <row r="756" spans="1:13" ht="12" customHeight="1" x14ac:dyDescent="0.25">
      <c r="A756" s="755">
        <v>3355</v>
      </c>
      <c r="B756" s="48" t="s">
        <v>279</v>
      </c>
      <c r="C756" s="54"/>
      <c r="D756" s="54"/>
      <c r="E756" s="1303"/>
      <c r="F756" s="125"/>
      <c r="G756" s="861"/>
      <c r="H756" s="11"/>
      <c r="I756" s="11"/>
      <c r="J756" s="11"/>
      <c r="K756" s="11"/>
      <c r="L756" s="11"/>
      <c r="M756" s="11"/>
    </row>
    <row r="757" spans="1:13" ht="12" customHeight="1" x14ac:dyDescent="0.25">
      <c r="A757" s="799"/>
      <c r="B757" s="21" t="s">
        <v>45</v>
      </c>
      <c r="C757" s="152">
        <v>1788</v>
      </c>
      <c r="D757" s="152">
        <v>1788</v>
      </c>
      <c r="E757" s="1342">
        <v>1788</v>
      </c>
      <c r="F757" s="149">
        <f>SUM(E757/D757)</f>
        <v>1</v>
      </c>
      <c r="G757" s="861"/>
      <c r="H757" s="11"/>
      <c r="I757" s="11"/>
      <c r="J757" s="11"/>
      <c r="K757" s="11"/>
      <c r="L757" s="11"/>
      <c r="M757" s="11"/>
    </row>
    <row r="758" spans="1:13" ht="12" customHeight="1" x14ac:dyDescent="0.25">
      <c r="A758" s="799"/>
      <c r="B758" s="3" t="s">
        <v>125</v>
      </c>
      <c r="C758" s="152">
        <v>448</v>
      </c>
      <c r="D758" s="152">
        <v>448</v>
      </c>
      <c r="E758" s="1342">
        <v>448</v>
      </c>
      <c r="F758" s="149">
        <f>SUM(E758/D758)</f>
        <v>1</v>
      </c>
      <c r="G758" s="863"/>
      <c r="H758" s="11"/>
      <c r="I758" s="11"/>
      <c r="J758" s="11"/>
      <c r="K758" s="11"/>
      <c r="L758" s="11"/>
      <c r="M758" s="11"/>
    </row>
    <row r="759" spans="1:13" ht="12" customHeight="1" x14ac:dyDescent="0.25">
      <c r="A759" s="799"/>
      <c r="B759" s="56" t="s">
        <v>117</v>
      </c>
      <c r="C759" s="152">
        <v>10264</v>
      </c>
      <c r="D759" s="152">
        <v>10264</v>
      </c>
      <c r="E759" s="1342">
        <f>10264+9730+6000</f>
        <v>25994</v>
      </c>
      <c r="F759" s="149">
        <f>SUM(E759/D759)</f>
        <v>2.5325409197194078</v>
      </c>
      <c r="G759" s="843" t="s">
        <v>1060</v>
      </c>
      <c r="H759" s="11"/>
      <c r="I759" s="11"/>
      <c r="J759" s="11"/>
      <c r="K759" s="11"/>
      <c r="L759" s="11"/>
      <c r="M759" s="11"/>
    </row>
    <row r="760" spans="1:13" ht="12" customHeight="1" x14ac:dyDescent="0.25">
      <c r="A760" s="799"/>
      <c r="B760" s="135" t="s">
        <v>49</v>
      </c>
      <c r="C760" s="152"/>
      <c r="D760" s="152"/>
      <c r="E760" s="1342"/>
      <c r="F760" s="149"/>
      <c r="G760" s="842" t="s">
        <v>1054</v>
      </c>
      <c r="H760" s="11"/>
      <c r="I760" s="11"/>
      <c r="J760" s="11"/>
      <c r="K760" s="11"/>
      <c r="L760" s="11"/>
      <c r="M760" s="11"/>
    </row>
    <row r="761" spans="1:13" ht="12" customHeight="1" x14ac:dyDescent="0.25">
      <c r="A761" s="799"/>
      <c r="B761" s="135" t="s">
        <v>122</v>
      </c>
      <c r="C761" s="152">
        <v>6500</v>
      </c>
      <c r="D761" s="152">
        <v>6500</v>
      </c>
      <c r="E761" s="1342">
        <v>6500</v>
      </c>
      <c r="F761" s="149"/>
      <c r="G761" s="861"/>
      <c r="H761" s="11"/>
      <c r="I761" s="11"/>
      <c r="J761" s="11"/>
      <c r="K761" s="11"/>
      <c r="L761" s="11"/>
      <c r="M761" s="11"/>
    </row>
    <row r="762" spans="1:13" ht="12" customHeight="1" x14ac:dyDescent="0.25">
      <c r="A762" s="799"/>
      <c r="B762" s="3" t="s">
        <v>97</v>
      </c>
      <c r="C762" s="550"/>
      <c r="D762" s="550"/>
      <c r="E762" s="1309"/>
      <c r="F762" s="188"/>
      <c r="G762" s="866"/>
      <c r="H762" s="11"/>
      <c r="I762" s="11"/>
      <c r="J762" s="11"/>
      <c r="K762" s="11"/>
      <c r="L762" s="11"/>
      <c r="M762" s="11"/>
    </row>
    <row r="763" spans="1:13" ht="12" customHeight="1" x14ac:dyDescent="0.25">
      <c r="A763" s="799"/>
      <c r="B763" s="133" t="s">
        <v>185</v>
      </c>
      <c r="C763" s="550"/>
      <c r="D763" s="550"/>
      <c r="E763" s="1309"/>
      <c r="F763" s="188"/>
      <c r="G763" s="866"/>
      <c r="H763" s="11"/>
      <c r="I763" s="11"/>
      <c r="J763" s="11"/>
      <c r="K763" s="11"/>
      <c r="L763" s="11"/>
      <c r="M763" s="11"/>
    </row>
    <row r="764" spans="1:13" ht="12" customHeight="1" thickBot="1" x14ac:dyDescent="0.3">
      <c r="A764" s="799"/>
      <c r="B764" s="159" t="s">
        <v>112</v>
      </c>
      <c r="C764" s="551"/>
      <c r="D764" s="551"/>
      <c r="E764" s="1349"/>
      <c r="F764" s="50"/>
      <c r="G764" s="741"/>
      <c r="H764" s="11"/>
      <c r="I764" s="11"/>
      <c r="J764" s="11"/>
      <c r="K764" s="11"/>
      <c r="L764" s="11"/>
      <c r="M764" s="11"/>
    </row>
    <row r="765" spans="1:13" ht="12" customHeight="1" thickBot="1" x14ac:dyDescent="0.3">
      <c r="A765" s="800"/>
      <c r="B765" s="202" t="s">
        <v>57</v>
      </c>
      <c r="C765" s="150">
        <f t="shared" ref="C765:D765" si="116">SUM(C757:C764)</f>
        <v>19000</v>
      </c>
      <c r="D765" s="150">
        <f t="shared" si="116"/>
        <v>19000</v>
      </c>
      <c r="E765" s="1306">
        <f t="shared" ref="E765" si="117">SUM(E757:E764)</f>
        <v>34730</v>
      </c>
      <c r="F765" s="174">
        <f>SUM(E765/D765)</f>
        <v>1.8278947368421052</v>
      </c>
      <c r="G765" s="203"/>
      <c r="H765" s="11"/>
      <c r="I765" s="11"/>
      <c r="J765" s="11"/>
      <c r="K765" s="11"/>
      <c r="L765" s="11"/>
      <c r="M765" s="11"/>
    </row>
    <row r="766" spans="1:13" ht="12" customHeight="1" x14ac:dyDescent="0.25">
      <c r="A766" s="755">
        <v>3356</v>
      </c>
      <c r="B766" s="48" t="s">
        <v>3</v>
      </c>
      <c r="C766" s="54"/>
      <c r="D766" s="54"/>
      <c r="E766" s="1303"/>
      <c r="F766" s="125"/>
      <c r="G766" s="861"/>
      <c r="H766" s="11"/>
      <c r="I766" s="11"/>
      <c r="J766" s="11"/>
      <c r="K766" s="11"/>
      <c r="L766" s="11"/>
      <c r="M766" s="11"/>
    </row>
    <row r="767" spans="1:13" ht="12" customHeight="1" x14ac:dyDescent="0.25">
      <c r="A767" s="799"/>
      <c r="B767" s="21" t="s">
        <v>45</v>
      </c>
      <c r="C767" s="152"/>
      <c r="D767" s="152"/>
      <c r="E767" s="1342"/>
      <c r="F767" s="125"/>
      <c r="G767" s="861"/>
      <c r="H767" s="11"/>
      <c r="I767" s="11"/>
      <c r="J767" s="11"/>
      <c r="K767" s="11"/>
      <c r="L767" s="11"/>
      <c r="M767" s="11"/>
    </row>
    <row r="768" spans="1:13" ht="12" customHeight="1" x14ac:dyDescent="0.25">
      <c r="A768" s="799"/>
      <c r="B768" s="3" t="s">
        <v>125</v>
      </c>
      <c r="C768" s="152"/>
      <c r="D768" s="152"/>
      <c r="E768" s="1342"/>
      <c r="F768" s="125"/>
      <c r="G768" s="861"/>
      <c r="H768" s="11"/>
      <c r="I768" s="11"/>
      <c r="J768" s="11"/>
      <c r="K768" s="11"/>
      <c r="L768" s="11"/>
      <c r="M768" s="11"/>
    </row>
    <row r="769" spans="1:13" ht="12" customHeight="1" x14ac:dyDescent="0.25">
      <c r="A769" s="799"/>
      <c r="B769" s="56" t="s">
        <v>117</v>
      </c>
      <c r="C769" s="152"/>
      <c r="D769" s="152"/>
      <c r="E769" s="1342"/>
      <c r="F769" s="188"/>
      <c r="G769" s="862"/>
      <c r="H769" s="11"/>
      <c r="I769" s="11"/>
      <c r="J769" s="11"/>
      <c r="K769" s="11"/>
      <c r="L769" s="11"/>
      <c r="M769" s="11"/>
    </row>
    <row r="770" spans="1:13" ht="12" customHeight="1" x14ac:dyDescent="0.25">
      <c r="A770" s="799"/>
      <c r="B770" s="135" t="s">
        <v>49</v>
      </c>
      <c r="C770" s="152"/>
      <c r="D770" s="152"/>
      <c r="E770" s="1342"/>
      <c r="F770" s="149"/>
      <c r="G770" s="861"/>
      <c r="H770" s="11"/>
      <c r="I770" s="11"/>
      <c r="J770" s="11"/>
      <c r="K770" s="11"/>
      <c r="L770" s="11"/>
      <c r="M770" s="11"/>
    </row>
    <row r="771" spans="1:13" ht="12" customHeight="1" x14ac:dyDescent="0.25">
      <c r="A771" s="799"/>
      <c r="B771" s="135" t="s">
        <v>122</v>
      </c>
      <c r="C771" s="152"/>
      <c r="D771" s="152"/>
      <c r="E771" s="1342"/>
      <c r="F771" s="149"/>
      <c r="G771" s="861"/>
      <c r="H771" s="11"/>
      <c r="I771" s="11"/>
      <c r="J771" s="11"/>
      <c r="K771" s="11"/>
      <c r="L771" s="11"/>
      <c r="M771" s="11"/>
    </row>
    <row r="772" spans="1:13" ht="12" customHeight="1" x14ac:dyDescent="0.25">
      <c r="A772" s="799"/>
      <c r="B772" s="3" t="s">
        <v>97</v>
      </c>
      <c r="C772" s="152"/>
      <c r="D772" s="152"/>
      <c r="E772" s="1342"/>
      <c r="F772" s="149"/>
      <c r="G772" s="861"/>
      <c r="H772" s="11"/>
      <c r="I772" s="11"/>
      <c r="J772" s="11"/>
      <c r="K772" s="11"/>
      <c r="L772" s="11"/>
      <c r="M772" s="11"/>
    </row>
    <row r="773" spans="1:13" ht="12" customHeight="1" x14ac:dyDescent="0.25">
      <c r="A773" s="799"/>
      <c r="B773" s="133" t="s">
        <v>185</v>
      </c>
      <c r="C773" s="152"/>
      <c r="D773" s="152"/>
      <c r="E773" s="1342"/>
      <c r="F773" s="149"/>
      <c r="G773" s="861"/>
      <c r="H773" s="11"/>
      <c r="I773" s="11"/>
      <c r="J773" s="11"/>
      <c r="K773" s="11"/>
      <c r="L773" s="11"/>
      <c r="M773" s="11"/>
    </row>
    <row r="774" spans="1:13" ht="12" customHeight="1" thickBot="1" x14ac:dyDescent="0.3">
      <c r="A774" s="799"/>
      <c r="B774" s="136" t="s">
        <v>112</v>
      </c>
      <c r="C774" s="153"/>
      <c r="D774" s="153"/>
      <c r="E774" s="1343"/>
      <c r="F774" s="189"/>
      <c r="G774" s="783"/>
      <c r="H774" s="11"/>
      <c r="I774" s="11"/>
      <c r="J774" s="11"/>
      <c r="K774" s="11"/>
      <c r="L774" s="11"/>
      <c r="M774" s="11"/>
    </row>
    <row r="775" spans="1:13" ht="12" customHeight="1" thickBot="1" x14ac:dyDescent="0.3">
      <c r="A775" s="868"/>
      <c r="B775" s="137" t="s">
        <v>57</v>
      </c>
      <c r="C775" s="150">
        <f t="shared" ref="C775" si="118">SUM(C767:C774)</f>
        <v>0</v>
      </c>
      <c r="D775" s="150">
        <f t="shared" ref="D775:E775" si="119">SUM(D767:D774)</f>
        <v>0</v>
      </c>
      <c r="E775" s="1306">
        <f t="shared" si="119"/>
        <v>0</v>
      </c>
      <c r="F775" s="174">
        <v>0</v>
      </c>
      <c r="G775" s="203"/>
      <c r="H775" s="11"/>
      <c r="I775" s="11"/>
      <c r="J775" s="11"/>
      <c r="K775" s="11"/>
      <c r="L775" s="11"/>
      <c r="M775" s="11"/>
    </row>
    <row r="776" spans="1:13" ht="12.6" thickBot="1" x14ac:dyDescent="0.3">
      <c r="A776" s="209">
        <v>3400</v>
      </c>
      <c r="B776" s="18" t="s">
        <v>31</v>
      </c>
      <c r="C776" s="153">
        <f>SUM(C777+C828)</f>
        <v>238628</v>
      </c>
      <c r="D776" s="153">
        <f>SUM(D777+D828)</f>
        <v>238628</v>
      </c>
      <c r="E776" s="1343">
        <f>SUM(E777+E828)</f>
        <v>278506</v>
      </c>
      <c r="F776" s="174">
        <f>SUM(E776/D776)</f>
        <v>1.1671136664599293</v>
      </c>
      <c r="G776" s="203"/>
      <c r="H776" s="11"/>
      <c r="I776" s="11"/>
      <c r="J776" s="11"/>
      <c r="K776" s="11"/>
      <c r="L776" s="11"/>
      <c r="M776" s="11"/>
    </row>
    <row r="777" spans="1:13" ht="13.5" customHeight="1" thickBot="1" x14ac:dyDescent="0.3">
      <c r="A777" s="755">
        <v>3410</v>
      </c>
      <c r="B777" s="18" t="s">
        <v>32</v>
      </c>
      <c r="C777" s="150">
        <f>C787+C797+C807+C817+C827</f>
        <v>94400</v>
      </c>
      <c r="D777" s="150">
        <f>D787+D797+D807+D817+D827</f>
        <v>94400</v>
      </c>
      <c r="E777" s="1306">
        <f>E787+E797+E807+E817+E827</f>
        <v>112725</v>
      </c>
      <c r="F777" s="174">
        <f>SUM(E777/D777)</f>
        <v>1.1941207627118644</v>
      </c>
      <c r="G777" s="203"/>
      <c r="H777" s="11"/>
      <c r="I777" s="11"/>
      <c r="J777" s="11"/>
      <c r="K777" s="11"/>
      <c r="L777" s="11"/>
      <c r="M777" s="11"/>
    </row>
    <row r="778" spans="1:13" ht="12" customHeight="1" x14ac:dyDescent="0.25">
      <c r="A778" s="738">
        <v>3411</v>
      </c>
      <c r="B778" s="48" t="s">
        <v>576</v>
      </c>
      <c r="C778" s="54"/>
      <c r="D778" s="54"/>
      <c r="E778" s="1303"/>
      <c r="F778" s="125"/>
      <c r="G778" s="878"/>
      <c r="H778" s="11"/>
      <c r="I778" s="11"/>
      <c r="J778" s="11"/>
      <c r="K778" s="11"/>
      <c r="L778" s="11"/>
      <c r="M778" s="11"/>
    </row>
    <row r="779" spans="1:13" ht="12" customHeight="1" x14ac:dyDescent="0.25">
      <c r="A779" s="799"/>
      <c r="B779" s="21" t="s">
        <v>45</v>
      </c>
      <c r="C779" s="51"/>
      <c r="D779" s="51"/>
      <c r="E779" s="1304"/>
      <c r="F779" s="125"/>
      <c r="G779" s="861"/>
      <c r="H779" s="11"/>
      <c r="I779" s="11"/>
      <c r="J779" s="11"/>
      <c r="K779" s="11"/>
      <c r="L779" s="11"/>
      <c r="M779" s="11"/>
    </row>
    <row r="780" spans="1:13" ht="12" customHeight="1" x14ac:dyDescent="0.25">
      <c r="A780" s="799"/>
      <c r="B780" s="3" t="s">
        <v>125</v>
      </c>
      <c r="C780" s="51"/>
      <c r="D780" s="51"/>
      <c r="E780" s="1304"/>
      <c r="F780" s="125"/>
      <c r="G780" s="876"/>
      <c r="H780" s="11"/>
      <c r="I780" s="11"/>
      <c r="J780" s="11"/>
      <c r="K780" s="11"/>
      <c r="L780" s="11"/>
      <c r="M780" s="11"/>
    </row>
    <row r="781" spans="1:13" ht="12" customHeight="1" x14ac:dyDescent="0.25">
      <c r="A781" s="799"/>
      <c r="B781" s="56" t="s">
        <v>117</v>
      </c>
      <c r="C781" s="152"/>
      <c r="D781" s="152"/>
      <c r="E781" s="1342"/>
      <c r="F781" s="125"/>
      <c r="G781" s="925"/>
      <c r="H781" s="11"/>
      <c r="I781" s="11"/>
      <c r="J781" s="11"/>
      <c r="K781" s="11"/>
      <c r="L781" s="11"/>
      <c r="M781" s="11"/>
    </row>
    <row r="782" spans="1:13" ht="12" customHeight="1" x14ac:dyDescent="0.25">
      <c r="A782" s="799"/>
      <c r="B782" s="135" t="s">
        <v>49</v>
      </c>
      <c r="C782" s="152"/>
      <c r="D782" s="152"/>
      <c r="E782" s="1342"/>
      <c r="F782" s="125"/>
      <c r="G782" s="861"/>
      <c r="H782" s="11"/>
      <c r="I782" s="11"/>
      <c r="J782" s="11"/>
      <c r="K782" s="11"/>
      <c r="L782" s="11"/>
      <c r="M782" s="11"/>
    </row>
    <row r="783" spans="1:13" ht="12" customHeight="1" x14ac:dyDescent="0.25">
      <c r="A783" s="799"/>
      <c r="B783" s="135" t="s">
        <v>122</v>
      </c>
      <c r="C783" s="51">
        <v>25000</v>
      </c>
      <c r="D783" s="51">
        <v>25000</v>
      </c>
      <c r="E783" s="1304">
        <v>25000</v>
      </c>
      <c r="F783" s="149"/>
      <c r="G783" s="866"/>
      <c r="H783" s="11"/>
      <c r="I783" s="11"/>
      <c r="J783" s="11"/>
      <c r="K783" s="11"/>
      <c r="L783" s="11"/>
      <c r="M783" s="11"/>
    </row>
    <row r="784" spans="1:13" ht="12" customHeight="1" x14ac:dyDescent="0.25">
      <c r="A784" s="799"/>
      <c r="B784" s="3" t="s">
        <v>97</v>
      </c>
      <c r="C784" s="51"/>
      <c r="D784" s="51"/>
      <c r="E784" s="1304"/>
      <c r="F784" s="149"/>
      <c r="G784" s="866"/>
      <c r="H784" s="11"/>
      <c r="I784" s="11"/>
      <c r="J784" s="11"/>
      <c r="K784" s="11"/>
      <c r="L784" s="11"/>
      <c r="M784" s="11"/>
    </row>
    <row r="785" spans="1:13" ht="12" customHeight="1" x14ac:dyDescent="0.25">
      <c r="A785" s="799"/>
      <c r="B785" s="133" t="s">
        <v>185</v>
      </c>
      <c r="C785" s="51"/>
      <c r="D785" s="51"/>
      <c r="E785" s="1304"/>
      <c r="F785" s="125"/>
      <c r="G785" s="744"/>
      <c r="H785" s="11"/>
      <c r="I785" s="11"/>
      <c r="J785" s="11"/>
      <c r="K785" s="11"/>
      <c r="L785" s="11"/>
      <c r="M785" s="11"/>
    </row>
    <row r="786" spans="1:13" ht="12" customHeight="1" thickBot="1" x14ac:dyDescent="0.3">
      <c r="A786" s="799"/>
      <c r="B786" s="136" t="s">
        <v>112</v>
      </c>
      <c r="C786" s="154"/>
      <c r="D786" s="154"/>
      <c r="E786" s="1344"/>
      <c r="F786" s="185"/>
      <c r="G786" s="783"/>
      <c r="H786" s="11"/>
      <c r="I786" s="11"/>
      <c r="J786" s="11"/>
      <c r="K786" s="11"/>
      <c r="L786" s="11"/>
      <c r="M786" s="11"/>
    </row>
    <row r="787" spans="1:13" ht="12" customHeight="1" thickBot="1" x14ac:dyDescent="0.3">
      <c r="A787" s="755"/>
      <c r="B787" s="137" t="s">
        <v>57</v>
      </c>
      <c r="C787" s="184">
        <f>SUM(C779:C786)</f>
        <v>25000</v>
      </c>
      <c r="D787" s="184">
        <f>SUM(D779:D786)</f>
        <v>25000</v>
      </c>
      <c r="E787" s="1358">
        <f>SUM(E779:E786)</f>
        <v>25000</v>
      </c>
      <c r="F787" s="174"/>
      <c r="G787" s="926"/>
      <c r="H787" s="11"/>
      <c r="I787" s="11"/>
      <c r="J787" s="11"/>
      <c r="K787" s="11"/>
      <c r="L787" s="11"/>
      <c r="M787" s="11"/>
    </row>
    <row r="788" spans="1:13" ht="12" customHeight="1" x14ac:dyDescent="0.25">
      <c r="A788" s="738">
        <v>3412</v>
      </c>
      <c r="B788" s="48" t="s">
        <v>147</v>
      </c>
      <c r="C788" s="176"/>
      <c r="D788" s="176"/>
      <c r="E788" s="1359"/>
      <c r="F788" s="125"/>
      <c r="G788" s="878"/>
      <c r="H788" s="11"/>
      <c r="I788" s="11"/>
      <c r="J788" s="11"/>
      <c r="K788" s="11"/>
      <c r="L788" s="11"/>
      <c r="M788" s="11"/>
    </row>
    <row r="789" spans="1:13" ht="12" customHeight="1" x14ac:dyDescent="0.25">
      <c r="A789" s="799"/>
      <c r="B789" s="21" t="s">
        <v>45</v>
      </c>
      <c r="C789" s="51">
        <v>2756</v>
      </c>
      <c r="D789" s="51">
        <v>2756</v>
      </c>
      <c r="E789" s="1304">
        <v>2756</v>
      </c>
      <c r="F789" s="149">
        <f>SUM(E789/D789)</f>
        <v>1</v>
      </c>
      <c r="G789" s="861"/>
      <c r="H789" s="11"/>
      <c r="I789" s="11"/>
      <c r="J789" s="11"/>
      <c r="K789" s="11"/>
      <c r="L789" s="11"/>
      <c r="M789" s="11"/>
    </row>
    <row r="790" spans="1:13" ht="12" customHeight="1" x14ac:dyDescent="0.25">
      <c r="A790" s="799"/>
      <c r="B790" s="3" t="s">
        <v>125</v>
      </c>
      <c r="C790" s="51">
        <v>1157</v>
      </c>
      <c r="D790" s="51">
        <v>1157</v>
      </c>
      <c r="E790" s="1304">
        <v>1157</v>
      </c>
      <c r="F790" s="149">
        <f>SUM(E790/D790)</f>
        <v>1</v>
      </c>
      <c r="G790" s="876"/>
      <c r="H790" s="11"/>
      <c r="I790" s="11"/>
      <c r="J790" s="11"/>
      <c r="K790" s="11"/>
      <c r="L790" s="11"/>
      <c r="M790" s="11"/>
    </row>
    <row r="791" spans="1:13" ht="12" customHeight="1" x14ac:dyDescent="0.25">
      <c r="A791" s="799"/>
      <c r="B791" s="56" t="s">
        <v>117</v>
      </c>
      <c r="C791" s="152">
        <f>23087+5000</f>
        <v>28087</v>
      </c>
      <c r="D791" s="152">
        <f>23087+5000</f>
        <v>28087</v>
      </c>
      <c r="E791" s="1342">
        <f>23087+5000+4993+2000</f>
        <v>35080</v>
      </c>
      <c r="F791" s="149">
        <f>SUM(E791/D791)</f>
        <v>1.2489763947733827</v>
      </c>
      <c r="G791" s="843" t="s">
        <v>1049</v>
      </c>
      <c r="H791" s="11"/>
      <c r="I791" s="11"/>
      <c r="J791" s="11"/>
      <c r="K791" s="11"/>
      <c r="L791" s="11"/>
      <c r="M791" s="11"/>
    </row>
    <row r="792" spans="1:13" ht="12" customHeight="1" x14ac:dyDescent="0.25">
      <c r="A792" s="799"/>
      <c r="B792" s="135" t="s">
        <v>49</v>
      </c>
      <c r="C792" s="152"/>
      <c r="D792" s="152"/>
      <c r="E792" s="1342"/>
      <c r="F792" s="149"/>
      <c r="G792" s="861"/>
      <c r="H792" s="11"/>
      <c r="I792" s="11"/>
      <c r="J792" s="11"/>
      <c r="K792" s="11"/>
      <c r="L792" s="11"/>
      <c r="M792" s="11"/>
    </row>
    <row r="793" spans="1:13" ht="12" x14ac:dyDescent="0.25">
      <c r="A793" s="799"/>
      <c r="B793" s="135" t="s">
        <v>122</v>
      </c>
      <c r="C793" s="51"/>
      <c r="D793" s="51"/>
      <c r="E793" s="1304"/>
      <c r="F793" s="149"/>
      <c r="G793" s="866"/>
      <c r="H793" s="11"/>
      <c r="I793" s="11"/>
      <c r="J793" s="11"/>
      <c r="K793" s="11"/>
      <c r="L793" s="11"/>
      <c r="M793" s="11"/>
    </row>
    <row r="794" spans="1:13" ht="12" x14ac:dyDescent="0.25">
      <c r="A794" s="799"/>
      <c r="B794" s="3" t="s">
        <v>97</v>
      </c>
      <c r="C794" s="51">
        <v>3000</v>
      </c>
      <c r="D794" s="51">
        <v>3000</v>
      </c>
      <c r="E794" s="1304">
        <f>3000+5514</f>
        <v>8514</v>
      </c>
      <c r="F794" s="149"/>
      <c r="G794" s="744"/>
      <c r="H794" s="11"/>
      <c r="I794" s="11"/>
      <c r="J794" s="11"/>
      <c r="K794" s="11"/>
      <c r="L794" s="11"/>
      <c r="M794" s="11"/>
    </row>
    <row r="795" spans="1:13" ht="12" x14ac:dyDescent="0.25">
      <c r="A795" s="799"/>
      <c r="B795" s="133" t="s">
        <v>185</v>
      </c>
      <c r="C795" s="552"/>
      <c r="D795" s="552"/>
      <c r="E795" s="1307"/>
      <c r="F795" s="188"/>
      <c r="G795" s="744"/>
      <c r="H795" s="11"/>
      <c r="I795" s="11"/>
      <c r="J795" s="11"/>
      <c r="K795" s="11"/>
      <c r="L795" s="11"/>
      <c r="M795" s="11"/>
    </row>
    <row r="796" spans="1:13" ht="12.6" thickBot="1" x14ac:dyDescent="0.3">
      <c r="A796" s="799"/>
      <c r="B796" s="159" t="s">
        <v>112</v>
      </c>
      <c r="C796" s="553"/>
      <c r="D796" s="553"/>
      <c r="E796" s="1360"/>
      <c r="F796" s="50"/>
      <c r="G796" s="741"/>
      <c r="H796" s="11"/>
      <c r="I796" s="11"/>
      <c r="J796" s="11"/>
      <c r="K796" s="11"/>
      <c r="L796" s="11"/>
      <c r="M796" s="11"/>
    </row>
    <row r="797" spans="1:13" ht="12" customHeight="1" thickBot="1" x14ac:dyDescent="0.3">
      <c r="A797" s="800"/>
      <c r="B797" s="202" t="s">
        <v>57</v>
      </c>
      <c r="C797" s="150">
        <f>SUM(C789:C796)</f>
        <v>35000</v>
      </c>
      <c r="D797" s="150">
        <f>SUM(D789:D796)</f>
        <v>35000</v>
      </c>
      <c r="E797" s="1306">
        <f>SUM(E789:E796)</f>
        <v>47507</v>
      </c>
      <c r="F797" s="174">
        <f>SUM(E797/D797)</f>
        <v>1.3573428571428572</v>
      </c>
      <c r="G797" s="554"/>
      <c r="H797" s="11"/>
      <c r="I797" s="11"/>
      <c r="J797" s="11"/>
      <c r="K797" s="11"/>
      <c r="L797" s="11"/>
      <c r="M797" s="11"/>
    </row>
    <row r="798" spans="1:13" ht="12" customHeight="1" x14ac:dyDescent="0.25">
      <c r="A798" s="755">
        <v>3413</v>
      </c>
      <c r="B798" s="148" t="s">
        <v>61</v>
      </c>
      <c r="C798" s="54"/>
      <c r="D798" s="54"/>
      <c r="E798" s="1303"/>
      <c r="F798" s="125"/>
      <c r="G798" s="878"/>
      <c r="H798" s="11"/>
      <c r="I798" s="11"/>
      <c r="J798" s="11"/>
      <c r="K798" s="11"/>
      <c r="L798" s="11"/>
      <c r="M798" s="11"/>
    </row>
    <row r="799" spans="1:13" ht="12" customHeight="1" x14ac:dyDescent="0.25">
      <c r="A799" s="799"/>
      <c r="B799" s="21" t="s">
        <v>45</v>
      </c>
      <c r="C799" s="51">
        <v>600</v>
      </c>
      <c r="D799" s="51">
        <v>600</v>
      </c>
      <c r="E799" s="1304">
        <v>600</v>
      </c>
      <c r="F799" s="149">
        <f>SUM(E799/D799)</f>
        <v>1</v>
      </c>
      <c r="G799" s="861"/>
      <c r="H799" s="11"/>
      <c r="I799" s="11"/>
      <c r="J799" s="11"/>
      <c r="K799" s="11"/>
      <c r="L799" s="11"/>
      <c r="M799" s="11"/>
    </row>
    <row r="800" spans="1:13" ht="12" customHeight="1" x14ac:dyDescent="0.25">
      <c r="A800" s="799"/>
      <c r="B800" s="3" t="s">
        <v>125</v>
      </c>
      <c r="C800" s="51">
        <v>200</v>
      </c>
      <c r="D800" s="51">
        <v>200</v>
      </c>
      <c r="E800" s="1304">
        <v>200</v>
      </c>
      <c r="F800" s="149">
        <f>SUM(E800/D800)</f>
        <v>1</v>
      </c>
      <c r="G800" s="863"/>
      <c r="H800" s="11"/>
      <c r="I800" s="11"/>
      <c r="J800" s="11"/>
      <c r="K800" s="11"/>
      <c r="L800" s="11"/>
      <c r="M800" s="11"/>
    </row>
    <row r="801" spans="1:13" ht="12" customHeight="1" x14ac:dyDescent="0.25">
      <c r="A801" s="799"/>
      <c r="B801" s="56" t="s">
        <v>117</v>
      </c>
      <c r="C801" s="152">
        <v>3200</v>
      </c>
      <c r="D801" s="152">
        <v>3200</v>
      </c>
      <c r="E801" s="1342">
        <f>3200+4318</f>
        <v>7518</v>
      </c>
      <c r="F801" s="149">
        <f>SUM(E801/D801)</f>
        <v>2.3493750000000002</v>
      </c>
      <c r="G801" s="843" t="s">
        <v>1049</v>
      </c>
      <c r="H801" s="11"/>
      <c r="I801" s="11"/>
      <c r="J801" s="11"/>
      <c r="K801" s="11"/>
      <c r="L801" s="11"/>
      <c r="M801" s="11"/>
    </row>
    <row r="802" spans="1:13" ht="12" customHeight="1" x14ac:dyDescent="0.25">
      <c r="A802" s="799"/>
      <c r="B802" s="135" t="s">
        <v>49</v>
      </c>
      <c r="C802" s="152"/>
      <c r="D802" s="152"/>
      <c r="E802" s="1342"/>
      <c r="F802" s="149"/>
      <c r="G802" s="861"/>
      <c r="H802" s="11"/>
      <c r="I802" s="11"/>
      <c r="J802" s="11"/>
      <c r="K802" s="11"/>
      <c r="L802" s="11"/>
      <c r="M802" s="11"/>
    </row>
    <row r="803" spans="1:13" ht="12" customHeight="1" x14ac:dyDescent="0.25">
      <c r="A803" s="799"/>
      <c r="B803" s="135" t="s">
        <v>122</v>
      </c>
      <c r="C803" s="51">
        <v>1000</v>
      </c>
      <c r="D803" s="51">
        <v>1000</v>
      </c>
      <c r="E803" s="1304">
        <v>1000</v>
      </c>
      <c r="F803" s="149"/>
      <c r="G803" s="861"/>
      <c r="H803" s="11"/>
      <c r="I803" s="11"/>
      <c r="J803" s="11"/>
      <c r="K803" s="11"/>
      <c r="L803" s="11"/>
      <c r="M803" s="11"/>
    </row>
    <row r="804" spans="1:13" ht="12" customHeight="1" x14ac:dyDescent="0.25">
      <c r="A804" s="799"/>
      <c r="B804" s="3" t="s">
        <v>97</v>
      </c>
      <c r="C804" s="51"/>
      <c r="D804" s="51"/>
      <c r="E804" s="1304"/>
      <c r="F804" s="149"/>
      <c r="G804" s="861"/>
      <c r="H804" s="11"/>
      <c r="I804" s="11"/>
      <c r="J804" s="11"/>
      <c r="K804" s="11"/>
      <c r="L804" s="11"/>
      <c r="M804" s="11"/>
    </row>
    <row r="805" spans="1:13" ht="12" customHeight="1" x14ac:dyDescent="0.25">
      <c r="A805" s="799"/>
      <c r="B805" s="133" t="s">
        <v>185</v>
      </c>
      <c r="C805" s="552"/>
      <c r="D805" s="552"/>
      <c r="E805" s="1307"/>
      <c r="F805" s="188"/>
      <c r="G805" s="866"/>
      <c r="H805" s="11"/>
      <c r="I805" s="11"/>
      <c r="J805" s="11"/>
      <c r="K805" s="11"/>
      <c r="L805" s="11"/>
      <c r="M805" s="11"/>
    </row>
    <row r="806" spans="1:13" ht="12" customHeight="1" thickBot="1" x14ac:dyDescent="0.3">
      <c r="A806" s="799"/>
      <c r="B806" s="132" t="s">
        <v>112</v>
      </c>
      <c r="C806" s="154"/>
      <c r="D806" s="154"/>
      <c r="E806" s="1344"/>
      <c r="F806" s="189"/>
      <c r="G806" s="783"/>
      <c r="H806" s="11"/>
      <c r="I806" s="11"/>
      <c r="J806" s="11"/>
      <c r="K806" s="11"/>
      <c r="L806" s="11"/>
      <c r="M806" s="11"/>
    </row>
    <row r="807" spans="1:13" ht="12" customHeight="1" thickBot="1" x14ac:dyDescent="0.3">
      <c r="A807" s="868"/>
      <c r="B807" s="137" t="s">
        <v>57</v>
      </c>
      <c r="C807" s="153">
        <f>SUM(C799:C806)</f>
        <v>5000</v>
      </c>
      <c r="D807" s="153">
        <f>SUM(D799:D806)</f>
        <v>5000</v>
      </c>
      <c r="E807" s="1343">
        <f>SUM(E799:E806)</f>
        <v>9318</v>
      </c>
      <c r="F807" s="174">
        <f>SUM(E807/D807)</f>
        <v>1.8635999999999999</v>
      </c>
      <c r="G807" s="554"/>
      <c r="H807" s="11"/>
      <c r="I807" s="11"/>
      <c r="J807" s="11"/>
      <c r="K807" s="11"/>
      <c r="L807" s="11"/>
      <c r="M807" s="11"/>
    </row>
    <row r="808" spans="1:13" ht="12" customHeight="1" x14ac:dyDescent="0.25">
      <c r="A808" s="755">
        <v>3415</v>
      </c>
      <c r="B808" s="148" t="s">
        <v>244</v>
      </c>
      <c r="C808" s="54"/>
      <c r="D808" s="54"/>
      <c r="E808" s="1303"/>
      <c r="F808" s="125"/>
      <c r="G808" s="878"/>
      <c r="H808" s="11"/>
      <c r="I808" s="11"/>
      <c r="J808" s="11"/>
      <c r="K808" s="11"/>
      <c r="L808" s="11"/>
      <c r="M808" s="11"/>
    </row>
    <row r="809" spans="1:13" ht="12" customHeight="1" x14ac:dyDescent="0.25">
      <c r="A809" s="799"/>
      <c r="B809" s="21" t="s">
        <v>45</v>
      </c>
      <c r="C809" s="51"/>
      <c r="D809" s="51"/>
      <c r="E809" s="1304"/>
      <c r="F809" s="125"/>
      <c r="G809" s="863"/>
      <c r="H809" s="11"/>
      <c r="I809" s="11"/>
      <c r="J809" s="11"/>
      <c r="K809" s="11"/>
      <c r="L809" s="11"/>
      <c r="M809" s="11"/>
    </row>
    <row r="810" spans="1:13" ht="12" customHeight="1" x14ac:dyDescent="0.25">
      <c r="A810" s="799"/>
      <c r="B810" s="3" t="s">
        <v>125</v>
      </c>
      <c r="C810" s="51"/>
      <c r="D810" s="51"/>
      <c r="E810" s="1304"/>
      <c r="F810" s="188"/>
      <c r="G810" s="863"/>
      <c r="H810" s="11"/>
      <c r="I810" s="11"/>
      <c r="J810" s="11"/>
      <c r="K810" s="11"/>
      <c r="L810" s="11"/>
      <c r="M810" s="11"/>
    </row>
    <row r="811" spans="1:13" ht="12" customHeight="1" x14ac:dyDescent="0.25">
      <c r="A811" s="799"/>
      <c r="B811" s="56" t="s">
        <v>117</v>
      </c>
      <c r="C811" s="152">
        <v>600</v>
      </c>
      <c r="D811" s="152">
        <v>600</v>
      </c>
      <c r="E811" s="1342">
        <v>600</v>
      </c>
      <c r="F811" s="149">
        <f>SUM(E811/D811)</f>
        <v>1</v>
      </c>
      <c r="G811" s="843" t="s">
        <v>1049</v>
      </c>
      <c r="H811" s="11"/>
      <c r="I811" s="11"/>
      <c r="J811" s="11"/>
      <c r="K811" s="11"/>
      <c r="L811" s="11"/>
      <c r="M811" s="11"/>
    </row>
    <row r="812" spans="1:13" ht="12" customHeight="1" x14ac:dyDescent="0.25">
      <c r="A812" s="799"/>
      <c r="B812" s="135" t="s">
        <v>49</v>
      </c>
      <c r="C812" s="152"/>
      <c r="D812" s="152"/>
      <c r="E812" s="1342"/>
      <c r="F812" s="149"/>
      <c r="G812" s="861"/>
      <c r="H812" s="11"/>
      <c r="I812" s="11"/>
      <c r="J812" s="11"/>
      <c r="K812" s="11"/>
      <c r="L812" s="11"/>
      <c r="M812" s="11"/>
    </row>
    <row r="813" spans="1:13" ht="12" customHeight="1" x14ac:dyDescent="0.25">
      <c r="A813" s="799"/>
      <c r="B813" s="135" t="s">
        <v>122</v>
      </c>
      <c r="C813" s="51">
        <v>7400</v>
      </c>
      <c r="D813" s="51">
        <v>7400</v>
      </c>
      <c r="E813" s="1304">
        <f>7400+1500</f>
        <v>8900</v>
      </c>
      <c r="F813" s="149">
        <f>SUM(E813/D813)</f>
        <v>1.2027027027027026</v>
      </c>
      <c r="G813" s="861"/>
      <c r="H813" s="11"/>
      <c r="I813" s="11"/>
      <c r="J813" s="11"/>
      <c r="K813" s="11"/>
      <c r="L813" s="11"/>
      <c r="M813" s="11"/>
    </row>
    <row r="814" spans="1:13" ht="12" customHeight="1" x14ac:dyDescent="0.25">
      <c r="A814" s="799"/>
      <c r="B814" s="3" t="s">
        <v>97</v>
      </c>
      <c r="C814" s="51">
        <v>1400</v>
      </c>
      <c r="D814" s="51">
        <v>1400</v>
      </c>
      <c r="E814" s="1304">
        <v>1400</v>
      </c>
      <c r="F814" s="149">
        <f>SUM(E814/D814)</f>
        <v>1</v>
      </c>
      <c r="G814" s="866"/>
      <c r="H814" s="11"/>
      <c r="I814" s="11"/>
      <c r="J814" s="11"/>
      <c r="K814" s="11"/>
      <c r="L814" s="11"/>
      <c r="M814" s="11"/>
    </row>
    <row r="815" spans="1:13" ht="12" customHeight="1" x14ac:dyDescent="0.25">
      <c r="A815" s="799"/>
      <c r="B815" s="133" t="s">
        <v>185</v>
      </c>
      <c r="C815" s="552"/>
      <c r="D815" s="552"/>
      <c r="E815" s="1307"/>
      <c r="F815" s="188"/>
      <c r="G815" s="866"/>
      <c r="H815" s="11"/>
      <c r="I815" s="11"/>
      <c r="J815" s="11"/>
      <c r="K815" s="11"/>
      <c r="L815" s="11"/>
      <c r="M815" s="11"/>
    </row>
    <row r="816" spans="1:13" ht="12" customHeight="1" thickBot="1" x14ac:dyDescent="0.3">
      <c r="A816" s="799"/>
      <c r="B816" s="159" t="s">
        <v>112</v>
      </c>
      <c r="C816" s="553"/>
      <c r="D816" s="553"/>
      <c r="E816" s="1360"/>
      <c r="F816" s="548"/>
      <c r="G816" s="893"/>
      <c r="H816" s="11"/>
      <c r="I816" s="11"/>
      <c r="J816" s="11"/>
      <c r="K816" s="11"/>
      <c r="L816" s="11"/>
      <c r="M816" s="11"/>
    </row>
    <row r="817" spans="1:13" ht="12" customHeight="1" thickBot="1" x14ac:dyDescent="0.3">
      <c r="A817" s="800"/>
      <c r="B817" s="202" t="s">
        <v>57</v>
      </c>
      <c r="C817" s="150">
        <f>C809+C810+C811+C812+C813+C814+C816</f>
        <v>9400</v>
      </c>
      <c r="D817" s="150">
        <f>D809+D810+D811+D812+D813+D814+D816</f>
        <v>9400</v>
      </c>
      <c r="E817" s="1306">
        <f>E809+E810+E811+E812+E813+E814+E816</f>
        <v>10900</v>
      </c>
      <c r="F817" s="174">
        <f>SUM(E817/D817)</f>
        <v>1.1595744680851063</v>
      </c>
      <c r="G817" s="554"/>
      <c r="H817" s="11"/>
      <c r="I817" s="11"/>
      <c r="J817" s="11"/>
      <c r="K817" s="11"/>
      <c r="L817" s="11"/>
      <c r="M817" s="11"/>
    </row>
    <row r="818" spans="1:13" ht="12" customHeight="1" x14ac:dyDescent="0.25">
      <c r="A818" s="755">
        <v>3416</v>
      </c>
      <c r="B818" s="148" t="s">
        <v>82</v>
      </c>
      <c r="C818" s="54"/>
      <c r="D818" s="54"/>
      <c r="E818" s="1303"/>
      <c r="F818" s="125"/>
      <c r="G818" s="878"/>
      <c r="H818" s="11"/>
      <c r="I818" s="11"/>
      <c r="J818" s="11"/>
      <c r="K818" s="11"/>
      <c r="L818" s="11"/>
      <c r="M818" s="11"/>
    </row>
    <row r="819" spans="1:13" ht="12" customHeight="1" x14ac:dyDescent="0.25">
      <c r="A819" s="799"/>
      <c r="B819" s="21" t="s">
        <v>45</v>
      </c>
      <c r="C819" s="51"/>
      <c r="D819" s="51"/>
      <c r="E819" s="1304"/>
      <c r="F819" s="125"/>
      <c r="G819" s="863"/>
      <c r="H819" s="11"/>
      <c r="I819" s="11"/>
      <c r="J819" s="11"/>
      <c r="K819" s="11"/>
      <c r="L819" s="11"/>
      <c r="M819" s="11"/>
    </row>
    <row r="820" spans="1:13" ht="12" customHeight="1" x14ac:dyDescent="0.25">
      <c r="A820" s="799"/>
      <c r="B820" s="3" t="s">
        <v>125</v>
      </c>
      <c r="C820" s="51"/>
      <c r="D820" s="51"/>
      <c r="E820" s="1304"/>
      <c r="F820" s="125"/>
      <c r="G820" s="861"/>
      <c r="H820" s="11"/>
      <c r="I820" s="11"/>
      <c r="J820" s="11"/>
      <c r="K820" s="11"/>
      <c r="L820" s="11"/>
      <c r="M820" s="11"/>
    </row>
    <row r="821" spans="1:13" ht="12" customHeight="1" x14ac:dyDescent="0.25">
      <c r="A821" s="799"/>
      <c r="B821" s="56" t="s">
        <v>117</v>
      </c>
      <c r="C821" s="51"/>
      <c r="D821" s="51"/>
      <c r="E821" s="1304"/>
      <c r="F821" s="188"/>
      <c r="G821" s="863"/>
      <c r="H821" s="11"/>
      <c r="I821" s="11"/>
      <c r="J821" s="11"/>
      <c r="K821" s="11"/>
      <c r="L821" s="11"/>
      <c r="M821" s="11"/>
    </row>
    <row r="822" spans="1:13" ht="12" customHeight="1" x14ac:dyDescent="0.25">
      <c r="A822" s="799"/>
      <c r="B822" s="135" t="s">
        <v>49</v>
      </c>
      <c r="C822" s="51"/>
      <c r="D822" s="51"/>
      <c r="E822" s="1304"/>
      <c r="F822" s="149"/>
      <c r="G822" s="843" t="s">
        <v>1049</v>
      </c>
      <c r="H822" s="11"/>
      <c r="I822" s="11"/>
      <c r="J822" s="11"/>
      <c r="K822" s="11"/>
      <c r="L822" s="11"/>
      <c r="M822" s="11"/>
    </row>
    <row r="823" spans="1:13" ht="12" customHeight="1" x14ac:dyDescent="0.25">
      <c r="A823" s="799"/>
      <c r="B823" s="135" t="s">
        <v>122</v>
      </c>
      <c r="C823" s="51">
        <v>20000</v>
      </c>
      <c r="D823" s="51">
        <v>20000</v>
      </c>
      <c r="E823" s="1304">
        <v>20000</v>
      </c>
      <c r="F823" s="149">
        <f>SUM(E823/D823)</f>
        <v>1</v>
      </c>
      <c r="G823" s="862"/>
      <c r="H823" s="11"/>
      <c r="I823" s="11"/>
      <c r="J823" s="11"/>
      <c r="K823" s="11"/>
      <c r="L823" s="11"/>
      <c r="M823" s="11"/>
    </row>
    <row r="824" spans="1:13" ht="12" customHeight="1" x14ac:dyDescent="0.25">
      <c r="A824" s="799"/>
      <c r="B824" s="3" t="s">
        <v>97</v>
      </c>
      <c r="C824" s="552"/>
      <c r="D824" s="552"/>
      <c r="E824" s="1307"/>
      <c r="F824" s="188"/>
      <c r="G824" s="876"/>
      <c r="H824" s="11"/>
      <c r="I824" s="11"/>
      <c r="J824" s="11"/>
      <c r="K824" s="11"/>
      <c r="L824" s="11"/>
      <c r="M824" s="11"/>
    </row>
    <row r="825" spans="1:13" ht="12" customHeight="1" x14ac:dyDescent="0.25">
      <c r="A825" s="799"/>
      <c r="B825" s="133" t="s">
        <v>185</v>
      </c>
      <c r="C825" s="552"/>
      <c r="D825" s="552"/>
      <c r="E825" s="1307"/>
      <c r="F825" s="188"/>
      <c r="G825" s="876"/>
      <c r="H825" s="11"/>
      <c r="I825" s="11"/>
      <c r="J825" s="11"/>
      <c r="K825" s="11"/>
      <c r="L825" s="11"/>
      <c r="M825" s="11"/>
    </row>
    <row r="826" spans="1:13" ht="12" customHeight="1" thickBot="1" x14ac:dyDescent="0.3">
      <c r="A826" s="799"/>
      <c r="B826" s="159" t="s">
        <v>112</v>
      </c>
      <c r="C826" s="553"/>
      <c r="D826" s="553"/>
      <c r="E826" s="1360"/>
      <c r="F826" s="548"/>
      <c r="G826" s="906"/>
      <c r="H826" s="11"/>
      <c r="I826" s="11"/>
      <c r="J826" s="11"/>
      <c r="K826" s="11"/>
      <c r="L826" s="11"/>
      <c r="M826" s="11"/>
    </row>
    <row r="827" spans="1:13" ht="12" customHeight="1" thickBot="1" x14ac:dyDescent="0.3">
      <c r="A827" s="800"/>
      <c r="B827" s="202" t="s">
        <v>57</v>
      </c>
      <c r="C827" s="150">
        <f t="shared" ref="C827:D827" si="120">SUM(C819:C826)</f>
        <v>20000</v>
      </c>
      <c r="D827" s="150">
        <f t="shared" si="120"/>
        <v>20000</v>
      </c>
      <c r="E827" s="1306">
        <f t="shared" ref="E827" si="121">SUM(E819:E826)</f>
        <v>20000</v>
      </c>
      <c r="F827" s="174">
        <f>SUM(E827/D827)</f>
        <v>1</v>
      </c>
      <c r="G827" s="554"/>
      <c r="H827" s="11"/>
      <c r="I827" s="11"/>
      <c r="J827" s="11"/>
      <c r="K827" s="11"/>
      <c r="L827" s="11"/>
      <c r="M827" s="11"/>
    </row>
    <row r="828" spans="1:13" ht="12" customHeight="1" x14ac:dyDescent="0.25">
      <c r="A828" s="755">
        <v>3420</v>
      </c>
      <c r="B828" s="61" t="s">
        <v>72</v>
      </c>
      <c r="C828" s="54">
        <f>SUM(C848+C858+C878+C888+C898+C908+C838+C868)</f>
        <v>144228</v>
      </c>
      <c r="D828" s="54">
        <f>SUM(D848+D858+D878+D888+D898+D908+D838+D868)</f>
        <v>144228</v>
      </c>
      <c r="E828" s="1303">
        <f>SUM(E848+E858+E878+E888+E898+E908+E838+E868)</f>
        <v>165781</v>
      </c>
      <c r="F828" s="198">
        <f>SUM(E828/D828)</f>
        <v>1.1494370025237819</v>
      </c>
      <c r="G828" s="878"/>
      <c r="H828" s="11"/>
      <c r="I828" s="11"/>
      <c r="J828" s="11"/>
      <c r="K828" s="11"/>
      <c r="L828" s="11"/>
      <c r="M828" s="11"/>
    </row>
    <row r="829" spans="1:13" ht="12" customHeight="1" x14ac:dyDescent="0.25">
      <c r="A829" s="755">
        <v>3421</v>
      </c>
      <c r="B829" s="148" t="s">
        <v>153</v>
      </c>
      <c r="C829" s="204"/>
      <c r="D829" s="204"/>
      <c r="E829" s="1361"/>
      <c r="F829" s="125"/>
      <c r="G829" s="869"/>
      <c r="H829" s="11"/>
      <c r="I829" s="11"/>
      <c r="J829" s="11"/>
      <c r="K829" s="11"/>
      <c r="L829" s="11"/>
      <c r="M829" s="11"/>
    </row>
    <row r="830" spans="1:13" ht="12" customHeight="1" x14ac:dyDescent="0.25">
      <c r="A830" s="927"/>
      <c r="B830" s="21" t="s">
        <v>45</v>
      </c>
      <c r="C830" s="51">
        <v>5000</v>
      </c>
      <c r="D830" s="51">
        <v>5000</v>
      </c>
      <c r="E830" s="1304">
        <f>5000+5509</f>
        <v>10509</v>
      </c>
      <c r="F830" s="149">
        <f>SUM(E830/D830)</f>
        <v>2.1017999999999999</v>
      </c>
      <c r="G830" s="862"/>
      <c r="H830" s="11"/>
      <c r="I830" s="11"/>
      <c r="J830" s="11"/>
      <c r="K830" s="11"/>
      <c r="L830" s="11"/>
      <c r="M830" s="11"/>
    </row>
    <row r="831" spans="1:13" ht="12" customHeight="1" x14ac:dyDescent="0.25">
      <c r="A831" s="927"/>
      <c r="B831" s="3" t="s">
        <v>125</v>
      </c>
      <c r="C831" s="51">
        <v>2300</v>
      </c>
      <c r="D831" s="51">
        <v>2300</v>
      </c>
      <c r="E831" s="1304">
        <f>2300+770</f>
        <v>3070</v>
      </c>
      <c r="F831" s="149">
        <f>SUM(E831/D831)</f>
        <v>1.3347826086956522</v>
      </c>
      <c r="G831" s="863"/>
      <c r="H831" s="11"/>
      <c r="I831" s="11"/>
      <c r="J831" s="11"/>
      <c r="K831" s="11"/>
      <c r="L831" s="11"/>
      <c r="M831" s="11"/>
    </row>
    <row r="832" spans="1:13" ht="12" customHeight="1" x14ac:dyDescent="0.25">
      <c r="A832" s="927"/>
      <c r="B832" s="56" t="s">
        <v>117</v>
      </c>
      <c r="C832" s="51">
        <v>36700</v>
      </c>
      <c r="D832" s="51">
        <v>36700</v>
      </c>
      <c r="E832" s="1304">
        <f>36700</f>
        <v>36700</v>
      </c>
      <c r="F832" s="149">
        <f>SUM(E832/D832)</f>
        <v>1</v>
      </c>
      <c r="G832" s="876"/>
      <c r="H832" s="11"/>
      <c r="I832" s="11"/>
      <c r="J832" s="11"/>
      <c r="K832" s="11"/>
      <c r="L832" s="11"/>
      <c r="M832" s="11"/>
    </row>
    <row r="833" spans="1:13" ht="12" customHeight="1" x14ac:dyDescent="0.25">
      <c r="A833" s="927"/>
      <c r="B833" s="135" t="s">
        <v>49</v>
      </c>
      <c r="C833" s="51"/>
      <c r="D833" s="51"/>
      <c r="E833" s="1304"/>
      <c r="F833" s="149"/>
      <c r="G833" s="843" t="s">
        <v>1049</v>
      </c>
      <c r="H833" s="11"/>
      <c r="I833" s="11"/>
      <c r="J833" s="11"/>
      <c r="K833" s="11"/>
      <c r="L833" s="11"/>
      <c r="M833" s="11"/>
    </row>
    <row r="834" spans="1:13" ht="12" customHeight="1" x14ac:dyDescent="0.25">
      <c r="A834" s="927"/>
      <c r="B834" s="135" t="s">
        <v>122</v>
      </c>
      <c r="C834" s="51">
        <v>3000</v>
      </c>
      <c r="D834" s="51">
        <v>3000</v>
      </c>
      <c r="E834" s="1304">
        <v>3000</v>
      </c>
      <c r="F834" s="149"/>
      <c r="G834" s="842" t="s">
        <v>1054</v>
      </c>
      <c r="H834" s="11"/>
      <c r="I834" s="11"/>
      <c r="J834" s="11"/>
      <c r="K834" s="11"/>
      <c r="L834" s="11"/>
      <c r="M834" s="11"/>
    </row>
    <row r="835" spans="1:13" ht="12" customHeight="1" x14ac:dyDescent="0.25">
      <c r="A835" s="927"/>
      <c r="B835" s="3" t="s">
        <v>97</v>
      </c>
      <c r="C835" s="51">
        <v>3000</v>
      </c>
      <c r="D835" s="51">
        <v>3000</v>
      </c>
      <c r="E835" s="1304">
        <v>3000</v>
      </c>
      <c r="F835" s="188">
        <f>SUM(E835/D835)</f>
        <v>1</v>
      </c>
      <c r="G835" s="744"/>
      <c r="H835" s="11"/>
      <c r="I835" s="11"/>
      <c r="J835" s="11"/>
      <c r="K835" s="11"/>
      <c r="L835" s="11"/>
      <c r="M835" s="11"/>
    </row>
    <row r="836" spans="1:13" ht="12" customHeight="1" x14ac:dyDescent="0.25">
      <c r="A836" s="927"/>
      <c r="B836" s="133" t="s">
        <v>185</v>
      </c>
      <c r="C836" s="51"/>
      <c r="D836" s="51"/>
      <c r="E836" s="1304"/>
      <c r="F836" s="149"/>
      <c r="G836" s="757"/>
      <c r="H836" s="11"/>
      <c r="I836" s="11"/>
      <c r="J836" s="11"/>
      <c r="K836" s="11"/>
      <c r="L836" s="11"/>
      <c r="M836" s="11"/>
    </row>
    <row r="837" spans="1:13" ht="12" customHeight="1" thickBot="1" x14ac:dyDescent="0.3">
      <c r="A837" s="927"/>
      <c r="B837" s="159" t="s">
        <v>112</v>
      </c>
      <c r="C837" s="51"/>
      <c r="D837" s="51"/>
      <c r="E837" s="1304"/>
      <c r="F837" s="149"/>
      <c r="G837" s="744"/>
      <c r="H837" s="11"/>
      <c r="I837" s="11"/>
      <c r="J837" s="11"/>
      <c r="K837" s="11"/>
      <c r="L837" s="11"/>
      <c r="M837" s="11"/>
    </row>
    <row r="838" spans="1:13" ht="12" customHeight="1" thickBot="1" x14ac:dyDescent="0.3">
      <c r="A838" s="900"/>
      <c r="B838" s="137" t="s">
        <v>57</v>
      </c>
      <c r="C838" s="150">
        <f t="shared" ref="C838:D838" si="122">SUM(C830:C835)</f>
        <v>50000</v>
      </c>
      <c r="D838" s="150">
        <f t="shared" si="122"/>
        <v>50000</v>
      </c>
      <c r="E838" s="1306">
        <f t="shared" ref="E838" si="123">SUM(E830:E835)</f>
        <v>56279</v>
      </c>
      <c r="F838" s="174">
        <f>SUM(E838/D838)</f>
        <v>1.12558</v>
      </c>
      <c r="G838" s="203"/>
      <c r="H838" s="11"/>
      <c r="I838" s="11"/>
      <c r="J838" s="11"/>
      <c r="K838" s="11"/>
      <c r="L838" s="11"/>
      <c r="M838" s="11"/>
    </row>
    <row r="839" spans="1:13" ht="12" customHeight="1" x14ac:dyDescent="0.25">
      <c r="A839" s="755">
        <v>3422</v>
      </c>
      <c r="B839" s="148" t="s">
        <v>226</v>
      </c>
      <c r="C839" s="54"/>
      <c r="D839" s="54"/>
      <c r="E839" s="1303"/>
      <c r="F839" s="198"/>
      <c r="G839" s="885"/>
      <c r="H839" s="11"/>
      <c r="I839" s="11"/>
      <c r="J839" s="11"/>
      <c r="K839" s="11"/>
      <c r="L839" s="11"/>
      <c r="M839" s="11"/>
    </row>
    <row r="840" spans="1:13" ht="12" customHeight="1" x14ac:dyDescent="0.25">
      <c r="A840" s="799"/>
      <c r="B840" s="21" t="s">
        <v>45</v>
      </c>
      <c r="C840" s="51">
        <v>4150</v>
      </c>
      <c r="D840" s="51">
        <v>4150</v>
      </c>
      <c r="E840" s="1304">
        <f>4150+405</f>
        <v>4555</v>
      </c>
      <c r="F840" s="149">
        <f>SUM(E840/D840)</f>
        <v>1.0975903614457831</v>
      </c>
      <c r="G840" s="863"/>
      <c r="H840" s="11"/>
      <c r="I840" s="11"/>
      <c r="J840" s="11"/>
      <c r="K840" s="11"/>
      <c r="L840" s="11"/>
      <c r="M840" s="11"/>
    </row>
    <row r="841" spans="1:13" ht="12" customHeight="1" x14ac:dyDescent="0.25">
      <c r="A841" s="799"/>
      <c r="B841" s="3" t="s">
        <v>125</v>
      </c>
      <c r="C841" s="51">
        <v>1439</v>
      </c>
      <c r="D841" s="51">
        <v>1439</v>
      </c>
      <c r="E841" s="1304">
        <f>1439+301</f>
        <v>1740</v>
      </c>
      <c r="F841" s="149">
        <f>SUM(E841/D841)</f>
        <v>1.2091730368311326</v>
      </c>
      <c r="G841" s="885"/>
      <c r="H841" s="11"/>
      <c r="I841" s="11"/>
      <c r="J841" s="11"/>
      <c r="K841" s="11"/>
      <c r="L841" s="11"/>
      <c r="M841" s="11"/>
    </row>
    <row r="842" spans="1:13" ht="12" customHeight="1" x14ac:dyDescent="0.25">
      <c r="A842" s="799"/>
      <c r="B842" s="56" t="s">
        <v>117</v>
      </c>
      <c r="C842" s="51">
        <v>10411</v>
      </c>
      <c r="D842" s="51">
        <v>10411</v>
      </c>
      <c r="E842" s="1304">
        <f>10411+4917</f>
        <v>15328</v>
      </c>
      <c r="F842" s="149">
        <f>SUM(E842/D842)</f>
        <v>1.4722889251752953</v>
      </c>
      <c r="G842" s="843" t="s">
        <v>1049</v>
      </c>
      <c r="H842" s="11"/>
      <c r="I842" s="11"/>
      <c r="J842" s="11"/>
      <c r="K842" s="11"/>
      <c r="L842" s="11"/>
      <c r="M842" s="11"/>
    </row>
    <row r="843" spans="1:13" ht="12" customHeight="1" x14ac:dyDescent="0.25">
      <c r="A843" s="799"/>
      <c r="B843" s="135" t="s">
        <v>49</v>
      </c>
      <c r="C843" s="51"/>
      <c r="D843" s="51"/>
      <c r="E843" s="1304"/>
      <c r="F843" s="149"/>
      <c r="G843" s="842" t="s">
        <v>1054</v>
      </c>
      <c r="H843" s="11"/>
      <c r="I843" s="11"/>
      <c r="J843" s="11"/>
      <c r="K843" s="11"/>
      <c r="L843" s="11"/>
      <c r="M843" s="11"/>
    </row>
    <row r="844" spans="1:13" ht="12" customHeight="1" x14ac:dyDescent="0.25">
      <c r="A844" s="799"/>
      <c r="B844" s="135" t="s">
        <v>122</v>
      </c>
      <c r="C844" s="51"/>
      <c r="D844" s="51"/>
      <c r="E844" s="1304"/>
      <c r="F844" s="149"/>
      <c r="G844" s="906"/>
      <c r="H844" s="11"/>
      <c r="I844" s="11"/>
      <c r="J844" s="11"/>
      <c r="K844" s="11"/>
      <c r="L844" s="11"/>
      <c r="M844" s="11"/>
    </row>
    <row r="845" spans="1:13" ht="12" customHeight="1" x14ac:dyDescent="0.25">
      <c r="A845" s="799"/>
      <c r="B845" s="3" t="s">
        <v>97</v>
      </c>
      <c r="C845" s="51"/>
      <c r="D845" s="51"/>
      <c r="E845" s="1304"/>
      <c r="F845" s="149"/>
      <c r="G845" s="906"/>
      <c r="H845" s="11"/>
      <c r="I845" s="11"/>
      <c r="J845" s="11"/>
      <c r="K845" s="11"/>
      <c r="L845" s="11"/>
      <c r="M845" s="11"/>
    </row>
    <row r="846" spans="1:13" ht="12" customHeight="1" x14ac:dyDescent="0.25">
      <c r="A846" s="799"/>
      <c r="B846" s="133" t="s">
        <v>185</v>
      </c>
      <c r="C846" s="51"/>
      <c r="D846" s="51"/>
      <c r="E846" s="1304"/>
      <c r="F846" s="149"/>
      <c r="G846" s="876"/>
      <c r="H846" s="11"/>
      <c r="I846" s="11"/>
      <c r="J846" s="11"/>
      <c r="K846" s="11"/>
      <c r="L846" s="11"/>
      <c r="M846" s="11"/>
    </row>
    <row r="847" spans="1:13" ht="12" customHeight="1" thickBot="1" x14ac:dyDescent="0.3">
      <c r="A847" s="799"/>
      <c r="B847" s="159" t="s">
        <v>112</v>
      </c>
      <c r="C847" s="154"/>
      <c r="D847" s="154"/>
      <c r="E847" s="1344"/>
      <c r="F847" s="149"/>
      <c r="G847" s="783"/>
      <c r="H847" s="11"/>
      <c r="I847" s="11"/>
      <c r="J847" s="11"/>
      <c r="K847" s="11"/>
      <c r="L847" s="11"/>
      <c r="M847" s="11"/>
    </row>
    <row r="848" spans="1:13" ht="12" customHeight="1" thickBot="1" x14ac:dyDescent="0.3">
      <c r="A848" s="868"/>
      <c r="B848" s="137" t="s">
        <v>57</v>
      </c>
      <c r="C848" s="150">
        <f t="shared" ref="C848:D848" si="124">SUM(C840:C847)</f>
        <v>16000</v>
      </c>
      <c r="D848" s="150">
        <f t="shared" si="124"/>
        <v>16000</v>
      </c>
      <c r="E848" s="1306">
        <f t="shared" ref="E848" si="125">SUM(E840:E847)</f>
        <v>21623</v>
      </c>
      <c r="F848" s="174">
        <f>SUM(E848/D848)</f>
        <v>1.3514375000000001</v>
      </c>
      <c r="G848" s="203"/>
      <c r="H848" s="11"/>
      <c r="I848" s="11"/>
      <c r="J848" s="11"/>
      <c r="K848" s="11"/>
      <c r="L848" s="11"/>
      <c r="M848" s="11"/>
    </row>
    <row r="849" spans="1:13" ht="12" customHeight="1" x14ac:dyDescent="0.25">
      <c r="A849" s="755">
        <v>3423</v>
      </c>
      <c r="B849" s="148" t="s">
        <v>62</v>
      </c>
      <c r="C849" s="204"/>
      <c r="D849" s="204"/>
      <c r="E849" s="1361"/>
      <c r="F849" s="206"/>
      <c r="G849" s="861"/>
      <c r="H849" s="11"/>
      <c r="I849" s="11"/>
      <c r="J849" s="11"/>
      <c r="K849" s="11"/>
      <c r="L849" s="11"/>
      <c r="M849" s="11"/>
    </row>
    <row r="850" spans="1:13" ht="12" customHeight="1" x14ac:dyDescent="0.25">
      <c r="A850" s="927"/>
      <c r="B850" s="21" t="s">
        <v>45</v>
      </c>
      <c r="C850" s="51">
        <v>4100</v>
      </c>
      <c r="D850" s="51">
        <v>4100</v>
      </c>
      <c r="E850" s="1304">
        <f>4100+296</f>
        <v>4396</v>
      </c>
      <c r="F850" s="149">
        <f>SUM(E850/D850)</f>
        <v>1.0721951219512196</v>
      </c>
      <c r="G850" s="861"/>
      <c r="H850" s="11"/>
      <c r="I850" s="11"/>
      <c r="J850" s="11"/>
      <c r="K850" s="11"/>
      <c r="L850" s="11"/>
      <c r="M850" s="11"/>
    </row>
    <row r="851" spans="1:13" ht="12" customHeight="1" x14ac:dyDescent="0.25">
      <c r="A851" s="927"/>
      <c r="B851" s="3" t="s">
        <v>125</v>
      </c>
      <c r="C851" s="51">
        <v>2300</v>
      </c>
      <c r="D851" s="51">
        <v>2300</v>
      </c>
      <c r="E851" s="1304">
        <f>2300+114</f>
        <v>2414</v>
      </c>
      <c r="F851" s="149">
        <f>SUM(E851/D851)</f>
        <v>1.0495652173913044</v>
      </c>
      <c r="G851" s="862"/>
      <c r="H851" s="11"/>
      <c r="I851" s="11"/>
      <c r="J851" s="11"/>
      <c r="K851" s="11"/>
      <c r="L851" s="11"/>
      <c r="M851" s="11"/>
    </row>
    <row r="852" spans="1:13" ht="12" customHeight="1" x14ac:dyDescent="0.25">
      <c r="A852" s="927"/>
      <c r="B852" s="56" t="s">
        <v>117</v>
      </c>
      <c r="C852" s="51">
        <v>10600</v>
      </c>
      <c r="D852" s="51">
        <v>10600</v>
      </c>
      <c r="E852" s="1304">
        <f>10600+2431</f>
        <v>13031</v>
      </c>
      <c r="F852" s="149">
        <f>SUM(E852/D852)</f>
        <v>1.2293396226415094</v>
      </c>
      <c r="G852" s="877"/>
      <c r="H852" s="11"/>
      <c r="I852" s="11"/>
      <c r="J852" s="11"/>
      <c r="K852" s="11"/>
      <c r="L852" s="11"/>
      <c r="M852" s="11"/>
    </row>
    <row r="853" spans="1:13" ht="12" customHeight="1" x14ac:dyDescent="0.25">
      <c r="A853" s="927"/>
      <c r="B853" s="135" t="s">
        <v>49</v>
      </c>
      <c r="C853" s="51"/>
      <c r="D853" s="51"/>
      <c r="E853" s="1304"/>
      <c r="F853" s="149"/>
      <c r="G853" s="861"/>
      <c r="H853" s="11"/>
      <c r="I853" s="11"/>
      <c r="J853" s="11"/>
      <c r="K853" s="11"/>
      <c r="L853" s="11"/>
      <c r="M853" s="11"/>
    </row>
    <row r="854" spans="1:13" ht="12" customHeight="1" x14ac:dyDescent="0.25">
      <c r="A854" s="927"/>
      <c r="B854" s="135" t="s">
        <v>122</v>
      </c>
      <c r="C854" s="51">
        <v>3000</v>
      </c>
      <c r="D854" s="51">
        <v>3000</v>
      </c>
      <c r="E854" s="1304">
        <v>3000</v>
      </c>
      <c r="F854" s="149">
        <f>SUM(E854/D854)</f>
        <v>1</v>
      </c>
      <c r="G854" s="861"/>
      <c r="H854" s="11"/>
      <c r="I854" s="11"/>
      <c r="J854" s="11"/>
      <c r="K854" s="11"/>
      <c r="L854" s="11"/>
      <c r="M854" s="11"/>
    </row>
    <row r="855" spans="1:13" ht="12" customHeight="1" x14ac:dyDescent="0.25">
      <c r="A855" s="927"/>
      <c r="B855" s="3" t="s">
        <v>97</v>
      </c>
      <c r="C855" s="207"/>
      <c r="D855" s="207"/>
      <c r="E855" s="1362"/>
      <c r="F855" s="188"/>
      <c r="G855" s="866"/>
      <c r="H855" s="11"/>
      <c r="I855" s="11"/>
      <c r="J855" s="11"/>
      <c r="K855" s="11"/>
      <c r="L855" s="11"/>
      <c r="M855" s="11"/>
    </row>
    <row r="856" spans="1:13" ht="12" customHeight="1" x14ac:dyDescent="0.25">
      <c r="A856" s="927"/>
      <c r="B856" s="133" t="s">
        <v>185</v>
      </c>
      <c r="C856" s="207"/>
      <c r="D856" s="207"/>
      <c r="E856" s="1362"/>
      <c r="F856" s="188"/>
      <c r="G856" s="866"/>
      <c r="H856" s="11"/>
      <c r="I856" s="11"/>
      <c r="J856" s="11"/>
      <c r="K856" s="11"/>
      <c r="L856" s="11"/>
      <c r="M856" s="11"/>
    </row>
    <row r="857" spans="1:13" ht="12" customHeight="1" thickBot="1" x14ac:dyDescent="0.3">
      <c r="A857" s="927"/>
      <c r="B857" s="159" t="s">
        <v>112</v>
      </c>
      <c r="C857" s="207"/>
      <c r="D857" s="207"/>
      <c r="E857" s="1307">
        <v>3000</v>
      </c>
      <c r="F857" s="188"/>
      <c r="G857" s="744"/>
      <c r="H857" s="11"/>
      <c r="I857" s="11"/>
      <c r="J857" s="11"/>
      <c r="K857" s="11"/>
      <c r="L857" s="11"/>
      <c r="M857" s="11"/>
    </row>
    <row r="858" spans="1:13" ht="12.75" customHeight="1" thickBot="1" x14ac:dyDescent="0.3">
      <c r="A858" s="900"/>
      <c r="B858" s="137" t="s">
        <v>57</v>
      </c>
      <c r="C858" s="150">
        <f>SUM(C850:C857)</f>
        <v>20000</v>
      </c>
      <c r="D858" s="150">
        <f>SUM(D850:D857)</f>
        <v>20000</v>
      </c>
      <c r="E858" s="1306">
        <f>SUM(E850:E857)</f>
        <v>25841</v>
      </c>
      <c r="F858" s="199">
        <f>SUM(E858/D858)</f>
        <v>1.2920499999999999</v>
      </c>
      <c r="G858" s="554"/>
      <c r="H858" s="11"/>
      <c r="I858" s="11"/>
      <c r="J858" s="11"/>
      <c r="K858" s="11"/>
      <c r="L858" s="11"/>
      <c r="M858" s="11"/>
    </row>
    <row r="859" spans="1:13" ht="12.75" customHeight="1" x14ac:dyDescent="0.25">
      <c r="A859" s="755">
        <v>3424</v>
      </c>
      <c r="B859" s="148" t="s">
        <v>225</v>
      </c>
      <c r="C859" s="54"/>
      <c r="D859" s="54"/>
      <c r="E859" s="1303"/>
      <c r="F859" s="125"/>
      <c r="G859" s="885"/>
      <c r="H859" s="11"/>
      <c r="I859" s="11"/>
      <c r="J859" s="11"/>
      <c r="K859" s="11"/>
      <c r="L859" s="11"/>
      <c r="M859" s="11"/>
    </row>
    <row r="860" spans="1:13" ht="12.75" customHeight="1" x14ac:dyDescent="0.25">
      <c r="A860" s="799"/>
      <c r="B860" s="21" t="s">
        <v>45</v>
      </c>
      <c r="C860" s="51">
        <v>35008</v>
      </c>
      <c r="D860" s="51">
        <v>35008</v>
      </c>
      <c r="E860" s="1304">
        <f>35008+1837</f>
        <v>36845</v>
      </c>
      <c r="F860" s="149">
        <f>SUM(E860/D860)</f>
        <v>1.0524737202925045</v>
      </c>
      <c r="G860" s="863"/>
      <c r="H860" s="11"/>
      <c r="I860" s="11"/>
      <c r="J860" s="11"/>
      <c r="K860" s="11"/>
      <c r="L860" s="11"/>
      <c r="M860" s="11"/>
    </row>
    <row r="861" spans="1:13" ht="12.75" customHeight="1" x14ac:dyDescent="0.25">
      <c r="A861" s="799"/>
      <c r="B861" s="3" t="s">
        <v>125</v>
      </c>
      <c r="C861" s="51">
        <v>7159</v>
      </c>
      <c r="D861" s="51">
        <v>7159</v>
      </c>
      <c r="E861" s="1304">
        <f>7159+1803</f>
        <v>8962</v>
      </c>
      <c r="F861" s="149">
        <f>SUM(E861/D861)</f>
        <v>1.2518508171532337</v>
      </c>
      <c r="G861" s="885"/>
      <c r="H861" s="11"/>
      <c r="I861" s="11"/>
      <c r="J861" s="11"/>
      <c r="K861" s="11"/>
      <c r="L861" s="11"/>
      <c r="M861" s="11"/>
    </row>
    <row r="862" spans="1:13" ht="12.75" customHeight="1" x14ac:dyDescent="0.25">
      <c r="A862" s="799"/>
      <c r="B862" s="56" t="s">
        <v>117</v>
      </c>
      <c r="C862" s="51">
        <v>1561</v>
      </c>
      <c r="D862" s="51">
        <v>1561</v>
      </c>
      <c r="E862" s="1304">
        <v>1561</v>
      </c>
      <c r="F862" s="149">
        <f>SUM(E862/D862)</f>
        <v>1</v>
      </c>
      <c r="G862" s="843" t="s">
        <v>1049</v>
      </c>
      <c r="H862" s="11"/>
      <c r="I862" s="11"/>
      <c r="J862" s="11"/>
      <c r="K862" s="11"/>
      <c r="L862" s="11"/>
      <c r="M862" s="11"/>
    </row>
    <row r="863" spans="1:13" ht="12.75" customHeight="1" x14ac:dyDescent="0.25">
      <c r="A863" s="799"/>
      <c r="B863" s="135" t="s">
        <v>49</v>
      </c>
      <c r="C863" s="51"/>
      <c r="D863" s="51"/>
      <c r="E863" s="1304"/>
      <c r="F863" s="149"/>
      <c r="G863" s="842" t="s">
        <v>1054</v>
      </c>
      <c r="H863" s="11"/>
      <c r="I863" s="11"/>
      <c r="J863" s="11"/>
      <c r="K863" s="11"/>
      <c r="L863" s="11"/>
      <c r="M863" s="11"/>
    </row>
    <row r="864" spans="1:13" ht="12.75" customHeight="1" x14ac:dyDescent="0.25">
      <c r="A864" s="799"/>
      <c r="B864" s="135" t="s">
        <v>122</v>
      </c>
      <c r="C864" s="51"/>
      <c r="D864" s="51"/>
      <c r="E864" s="1304"/>
      <c r="F864" s="149"/>
      <c r="G864" s="906"/>
      <c r="H864" s="11"/>
      <c r="I864" s="11"/>
      <c r="J864" s="11"/>
      <c r="K864" s="11"/>
      <c r="L864" s="11"/>
      <c r="M864" s="11"/>
    </row>
    <row r="865" spans="1:13" ht="12.75" customHeight="1" x14ac:dyDescent="0.25">
      <c r="A865" s="799"/>
      <c r="B865" s="3" t="s">
        <v>97</v>
      </c>
      <c r="C865" s="51"/>
      <c r="D865" s="51"/>
      <c r="E865" s="1304">
        <v>170</v>
      </c>
      <c r="F865" s="149"/>
      <c r="G865" s="906"/>
      <c r="H865" s="11"/>
      <c r="I865" s="11"/>
      <c r="J865" s="11"/>
      <c r="K865" s="11"/>
      <c r="L865" s="11"/>
      <c r="M865" s="11"/>
    </row>
    <row r="866" spans="1:13" ht="12.75" customHeight="1" x14ac:dyDescent="0.25">
      <c r="A866" s="799"/>
      <c r="B866" s="133" t="s">
        <v>185</v>
      </c>
      <c r="C866" s="51"/>
      <c r="D866" s="51"/>
      <c r="E866" s="1304"/>
      <c r="F866" s="149"/>
      <c r="G866" s="876"/>
      <c r="H866" s="11"/>
      <c r="I866" s="11"/>
      <c r="J866" s="11"/>
      <c r="K866" s="11"/>
      <c r="L866" s="11"/>
      <c r="M866" s="11"/>
    </row>
    <row r="867" spans="1:13" ht="12.75" customHeight="1" thickBot="1" x14ac:dyDescent="0.3">
      <c r="A867" s="799"/>
      <c r="B867" s="159" t="s">
        <v>112</v>
      </c>
      <c r="C867" s="154"/>
      <c r="D867" s="154"/>
      <c r="E867" s="1344"/>
      <c r="F867" s="189"/>
      <c r="G867" s="783"/>
      <c r="H867" s="11"/>
      <c r="I867" s="11"/>
      <c r="J867" s="11"/>
      <c r="K867" s="11"/>
      <c r="L867" s="11"/>
      <c r="M867" s="11"/>
    </row>
    <row r="868" spans="1:13" ht="12.6" thickBot="1" x14ac:dyDescent="0.3">
      <c r="A868" s="868"/>
      <c r="B868" s="137" t="s">
        <v>57</v>
      </c>
      <c r="C868" s="150">
        <f>SUM(C860:C867)</f>
        <v>43728</v>
      </c>
      <c r="D868" s="150">
        <f>SUM(D860:D867)</f>
        <v>43728</v>
      </c>
      <c r="E868" s="1306">
        <f>SUM(E860:E867)</f>
        <v>47538</v>
      </c>
      <c r="F868" s="174">
        <f>SUM(E868/D868)</f>
        <v>1.0871295279912185</v>
      </c>
      <c r="G868" s="203"/>
      <c r="H868" s="11"/>
      <c r="I868" s="11"/>
      <c r="J868" s="11"/>
      <c r="K868" s="11"/>
      <c r="L868" s="11"/>
      <c r="M868" s="11"/>
    </row>
    <row r="869" spans="1:13" ht="12" x14ac:dyDescent="0.25">
      <c r="A869" s="755">
        <v>3428</v>
      </c>
      <c r="B869" s="148" t="s">
        <v>1</v>
      </c>
      <c r="C869" s="54"/>
      <c r="D869" s="54"/>
      <c r="E869" s="1303"/>
      <c r="F869" s="125"/>
      <c r="G869" s="861"/>
      <c r="H869" s="11"/>
      <c r="I869" s="11"/>
      <c r="J869" s="11"/>
      <c r="K869" s="11"/>
      <c r="L869" s="11"/>
      <c r="M869" s="11"/>
    </row>
    <row r="870" spans="1:13" ht="12.75" customHeight="1" x14ac:dyDescent="0.25">
      <c r="A870" s="799"/>
      <c r="B870" s="21" t="s">
        <v>45</v>
      </c>
      <c r="C870" s="51"/>
      <c r="D870" s="51"/>
      <c r="E870" s="1304"/>
      <c r="F870" s="125"/>
      <c r="G870" s="861"/>
      <c r="H870" s="11"/>
      <c r="I870" s="11"/>
      <c r="J870" s="11"/>
      <c r="K870" s="11"/>
      <c r="L870" s="11"/>
      <c r="M870" s="11"/>
    </row>
    <row r="871" spans="1:13" ht="12.75" customHeight="1" x14ac:dyDescent="0.25">
      <c r="A871" s="799"/>
      <c r="B871" s="3" t="s">
        <v>125</v>
      </c>
      <c r="C871" s="51"/>
      <c r="D871" s="51"/>
      <c r="E871" s="1304"/>
      <c r="F871" s="188"/>
      <c r="G871" s="861"/>
      <c r="H871" s="11"/>
      <c r="I871" s="11"/>
      <c r="J871" s="11"/>
      <c r="K871" s="11"/>
      <c r="L871" s="11"/>
      <c r="M871" s="11"/>
    </row>
    <row r="872" spans="1:13" ht="12.75" customHeight="1" x14ac:dyDescent="0.25">
      <c r="A872" s="799"/>
      <c r="B872" s="56" t="s">
        <v>117</v>
      </c>
      <c r="C872" s="51">
        <v>4000</v>
      </c>
      <c r="D872" s="51">
        <v>4000</v>
      </c>
      <c r="E872" s="1304">
        <v>4000</v>
      </c>
      <c r="F872" s="149">
        <f>SUM(E872/D872)</f>
        <v>1</v>
      </c>
      <c r="G872" s="843" t="s">
        <v>1049</v>
      </c>
      <c r="H872" s="11"/>
      <c r="I872" s="11"/>
      <c r="J872" s="11"/>
      <c r="K872" s="11"/>
      <c r="L872" s="11"/>
      <c r="M872" s="11"/>
    </row>
    <row r="873" spans="1:13" ht="12.75" customHeight="1" x14ac:dyDescent="0.25">
      <c r="A873" s="799"/>
      <c r="B873" s="135" t="s">
        <v>49</v>
      </c>
      <c r="C873" s="51"/>
      <c r="D873" s="51"/>
      <c r="E873" s="1304"/>
      <c r="F873" s="149"/>
      <c r="G873" s="842" t="s">
        <v>1054</v>
      </c>
      <c r="H873" s="11"/>
      <c r="I873" s="11"/>
      <c r="J873" s="11"/>
      <c r="K873" s="11"/>
      <c r="L873" s="11"/>
      <c r="M873" s="11"/>
    </row>
    <row r="874" spans="1:13" ht="12.75" customHeight="1" x14ac:dyDescent="0.25">
      <c r="A874" s="799"/>
      <c r="B874" s="135" t="s">
        <v>122</v>
      </c>
      <c r="C874" s="51"/>
      <c r="D874" s="51"/>
      <c r="E874" s="1304"/>
      <c r="F874" s="149"/>
      <c r="G874" s="862"/>
      <c r="H874" s="11"/>
      <c r="I874" s="11"/>
      <c r="J874" s="11"/>
      <c r="K874" s="11"/>
      <c r="L874" s="11"/>
      <c r="M874" s="11"/>
    </row>
    <row r="875" spans="1:13" ht="12.75" customHeight="1" x14ac:dyDescent="0.25">
      <c r="A875" s="799"/>
      <c r="B875" s="3" t="s">
        <v>97</v>
      </c>
      <c r="C875" s="51"/>
      <c r="D875" s="51"/>
      <c r="E875" s="1304"/>
      <c r="F875" s="149"/>
      <c r="G875" s="862"/>
      <c r="H875" s="11"/>
      <c r="I875" s="11"/>
      <c r="J875" s="11"/>
      <c r="K875" s="11"/>
      <c r="L875" s="11"/>
      <c r="M875" s="11"/>
    </row>
    <row r="876" spans="1:13" ht="12.75" customHeight="1" x14ac:dyDescent="0.25">
      <c r="A876" s="799"/>
      <c r="B876" s="133" t="s">
        <v>185</v>
      </c>
      <c r="C876" s="51"/>
      <c r="D876" s="51"/>
      <c r="E876" s="1304"/>
      <c r="F876" s="149"/>
      <c r="G876" s="861"/>
      <c r="H876" s="11"/>
      <c r="I876" s="11"/>
      <c r="J876" s="11"/>
      <c r="K876" s="11"/>
      <c r="L876" s="11"/>
      <c r="M876" s="11"/>
    </row>
    <row r="877" spans="1:13" ht="12.75" customHeight="1" thickBot="1" x14ac:dyDescent="0.3">
      <c r="A877" s="799"/>
      <c r="B877" s="159" t="s">
        <v>112</v>
      </c>
      <c r="C877" s="108"/>
      <c r="D877" s="108"/>
      <c r="E877" s="1305"/>
      <c r="F877" s="189"/>
      <c r="G877" s="783"/>
      <c r="H877" s="11"/>
      <c r="I877" s="11"/>
      <c r="J877" s="11"/>
      <c r="K877" s="11"/>
      <c r="L877" s="11"/>
      <c r="M877" s="11"/>
    </row>
    <row r="878" spans="1:13" ht="12.75" customHeight="1" thickBot="1" x14ac:dyDescent="0.3">
      <c r="A878" s="868"/>
      <c r="B878" s="137" t="s">
        <v>57</v>
      </c>
      <c r="C878" s="150">
        <f t="shared" ref="C878:D878" si="126">SUM(C870:C877)</f>
        <v>4000</v>
      </c>
      <c r="D878" s="150">
        <f t="shared" si="126"/>
        <v>4000</v>
      </c>
      <c r="E878" s="1306">
        <f t="shared" ref="E878" si="127">SUM(E870:E877)</f>
        <v>4000</v>
      </c>
      <c r="F878" s="174">
        <f>SUM(E878/D878)</f>
        <v>1</v>
      </c>
      <c r="G878" s="203"/>
      <c r="H878" s="11"/>
      <c r="I878" s="11"/>
      <c r="J878" s="11"/>
      <c r="K878" s="11"/>
      <c r="L878" s="11"/>
      <c r="M878" s="11"/>
    </row>
    <row r="879" spans="1:13" ht="12.75" customHeight="1" x14ac:dyDescent="0.25">
      <c r="A879" s="825">
        <v>3429</v>
      </c>
      <c r="B879" s="143" t="s">
        <v>7</v>
      </c>
      <c r="C879" s="139"/>
      <c r="D879" s="139"/>
      <c r="E879" s="1330"/>
      <c r="F879" s="125"/>
      <c r="G879" s="881"/>
      <c r="H879" s="11"/>
      <c r="I879" s="11"/>
      <c r="J879" s="11"/>
      <c r="K879" s="11"/>
      <c r="L879" s="11"/>
      <c r="M879" s="11"/>
    </row>
    <row r="880" spans="1:13" ht="12.75" customHeight="1" x14ac:dyDescent="0.25">
      <c r="A880" s="790"/>
      <c r="B880" s="21" t="s">
        <v>45</v>
      </c>
      <c r="C880" s="140"/>
      <c r="D880" s="140"/>
      <c r="E880" s="1331"/>
      <c r="F880" s="125"/>
      <c r="G880" s="881"/>
      <c r="H880" s="11"/>
      <c r="I880" s="11"/>
      <c r="J880" s="11"/>
      <c r="K880" s="11"/>
      <c r="L880" s="11"/>
      <c r="M880" s="11"/>
    </row>
    <row r="881" spans="1:13" ht="12.75" customHeight="1" x14ac:dyDescent="0.25">
      <c r="A881" s="790"/>
      <c r="B881" s="3" t="s">
        <v>125</v>
      </c>
      <c r="C881" s="140"/>
      <c r="D881" s="140"/>
      <c r="E881" s="1331"/>
      <c r="F881" s="191"/>
      <c r="G881" s="881"/>
      <c r="H881" s="11"/>
      <c r="I881" s="11"/>
      <c r="J881" s="11"/>
      <c r="K881" s="11"/>
      <c r="L881" s="11"/>
      <c r="M881" s="11"/>
    </row>
    <row r="882" spans="1:13" ht="12.75" customHeight="1" x14ac:dyDescent="0.25">
      <c r="A882" s="790"/>
      <c r="B882" s="56" t="s">
        <v>117</v>
      </c>
      <c r="C882" s="140">
        <v>2500</v>
      </c>
      <c r="D882" s="140">
        <v>2500</v>
      </c>
      <c r="E882" s="1331">
        <v>2500</v>
      </c>
      <c r="F882" s="149">
        <f>SUM(E882/D882)</f>
        <v>1</v>
      </c>
      <c r="G882" s="843" t="s">
        <v>1049</v>
      </c>
      <c r="H882" s="11"/>
      <c r="I882" s="11"/>
      <c r="J882" s="11"/>
      <c r="K882" s="11"/>
      <c r="L882" s="11"/>
      <c r="M882" s="11"/>
    </row>
    <row r="883" spans="1:13" ht="12.75" customHeight="1" x14ac:dyDescent="0.25">
      <c r="A883" s="790"/>
      <c r="B883" s="135" t="s">
        <v>49</v>
      </c>
      <c r="C883" s="140"/>
      <c r="D883" s="140"/>
      <c r="E883" s="1331"/>
      <c r="F883" s="149"/>
      <c r="G883" s="842" t="s">
        <v>1054</v>
      </c>
      <c r="H883" s="11"/>
      <c r="I883" s="11"/>
      <c r="J883" s="11"/>
      <c r="K883" s="11"/>
      <c r="L883" s="11"/>
      <c r="M883" s="11"/>
    </row>
    <row r="884" spans="1:13" ht="12.75" customHeight="1" x14ac:dyDescent="0.25">
      <c r="A884" s="790"/>
      <c r="B884" s="135" t="s">
        <v>122</v>
      </c>
      <c r="C884" s="140"/>
      <c r="D884" s="140"/>
      <c r="E884" s="1331"/>
      <c r="F884" s="149"/>
      <c r="G884" s="861"/>
      <c r="H884" s="11"/>
      <c r="I884" s="11"/>
      <c r="J884" s="11"/>
      <c r="K884" s="11"/>
      <c r="L884" s="11"/>
      <c r="M884" s="11"/>
    </row>
    <row r="885" spans="1:13" ht="12.75" customHeight="1" x14ac:dyDescent="0.25">
      <c r="A885" s="790"/>
      <c r="B885" s="3" t="s">
        <v>97</v>
      </c>
      <c r="C885" s="140"/>
      <c r="D885" s="140"/>
      <c r="E885" s="1331"/>
      <c r="F885" s="149"/>
      <c r="G885" s="861"/>
      <c r="H885" s="11"/>
      <c r="I885" s="11"/>
      <c r="J885" s="11"/>
      <c r="K885" s="11"/>
      <c r="L885" s="11"/>
      <c r="M885" s="11"/>
    </row>
    <row r="886" spans="1:13" ht="12.75" customHeight="1" x14ac:dyDescent="0.25">
      <c r="A886" s="790"/>
      <c r="B886" s="133" t="s">
        <v>185</v>
      </c>
      <c r="C886" s="140"/>
      <c r="D886" s="140"/>
      <c r="E886" s="1331"/>
      <c r="F886" s="149"/>
      <c r="G886" s="881"/>
      <c r="H886" s="11"/>
      <c r="I886" s="11"/>
      <c r="J886" s="11"/>
      <c r="K886" s="11"/>
      <c r="L886" s="11"/>
      <c r="M886" s="11"/>
    </row>
    <row r="887" spans="1:13" ht="12.75" customHeight="1" thickBot="1" x14ac:dyDescent="0.3">
      <c r="A887" s="790"/>
      <c r="B887" s="159" t="s">
        <v>112</v>
      </c>
      <c r="C887" s="147"/>
      <c r="D887" s="147"/>
      <c r="E887" s="1341"/>
      <c r="F887" s="189"/>
      <c r="G887" s="928"/>
      <c r="H887" s="11"/>
      <c r="I887" s="11"/>
      <c r="J887" s="11"/>
      <c r="K887" s="11"/>
      <c r="L887" s="11"/>
      <c r="M887" s="11"/>
    </row>
    <row r="888" spans="1:13" ht="12.75" customHeight="1" thickBot="1" x14ac:dyDescent="0.3">
      <c r="A888" s="883"/>
      <c r="B888" s="137" t="s">
        <v>57</v>
      </c>
      <c r="C888" s="138">
        <f t="shared" ref="C888:D888" si="128">SUM(C880:C887)</f>
        <v>2500</v>
      </c>
      <c r="D888" s="138">
        <f t="shared" si="128"/>
        <v>2500</v>
      </c>
      <c r="E888" s="1333">
        <f t="shared" ref="E888" si="129">SUM(E880:E887)</f>
        <v>2500</v>
      </c>
      <c r="F888" s="174">
        <f>SUM(E888/D888)</f>
        <v>1</v>
      </c>
      <c r="G888" s="929"/>
      <c r="H888" s="11"/>
      <c r="I888" s="11"/>
      <c r="J888" s="11"/>
      <c r="K888" s="11"/>
      <c r="L888" s="11"/>
      <c r="M888" s="11"/>
    </row>
    <row r="889" spans="1:13" ht="12.75" customHeight="1" x14ac:dyDescent="0.25">
      <c r="A889" s="825">
        <v>3431</v>
      </c>
      <c r="B889" s="143" t="s">
        <v>80</v>
      </c>
      <c r="C889" s="139"/>
      <c r="D889" s="139"/>
      <c r="E889" s="1330"/>
      <c r="F889" s="125"/>
      <c r="G889" s="881"/>
      <c r="H889" s="11"/>
      <c r="I889" s="11"/>
      <c r="J889" s="11"/>
      <c r="K889" s="11"/>
      <c r="L889" s="11"/>
      <c r="M889" s="11"/>
    </row>
    <row r="890" spans="1:13" ht="12.75" customHeight="1" x14ac:dyDescent="0.25">
      <c r="A890" s="790"/>
      <c r="B890" s="21" t="s">
        <v>45</v>
      </c>
      <c r="C890" s="140"/>
      <c r="D890" s="140"/>
      <c r="E890" s="1331"/>
      <c r="F890" s="125"/>
      <c r="G890" s="881"/>
      <c r="H890" s="11"/>
      <c r="I890" s="11"/>
      <c r="J890" s="11"/>
      <c r="K890" s="11"/>
      <c r="L890" s="11"/>
      <c r="M890" s="11"/>
    </row>
    <row r="891" spans="1:13" ht="12.75" customHeight="1" x14ac:dyDescent="0.25">
      <c r="A891" s="790"/>
      <c r="B891" s="3" t="s">
        <v>125</v>
      </c>
      <c r="C891" s="140"/>
      <c r="D891" s="140"/>
      <c r="E891" s="1331"/>
      <c r="F891" s="188"/>
      <c r="G891" s="881"/>
      <c r="H891" s="11"/>
      <c r="I891" s="11"/>
      <c r="J891" s="11"/>
      <c r="K891" s="11"/>
      <c r="L891" s="11"/>
      <c r="M891" s="11"/>
    </row>
    <row r="892" spans="1:13" ht="12.75" customHeight="1" x14ac:dyDescent="0.25">
      <c r="A892" s="790"/>
      <c r="B892" s="56" t="s">
        <v>117</v>
      </c>
      <c r="C892" s="140">
        <v>0</v>
      </c>
      <c r="D892" s="140">
        <v>0</v>
      </c>
      <c r="E892" s="1331">
        <v>0</v>
      </c>
      <c r="F892" s="149"/>
      <c r="G892" s="843" t="s">
        <v>1049</v>
      </c>
      <c r="H892" s="11"/>
      <c r="I892" s="11"/>
      <c r="J892" s="11"/>
      <c r="K892" s="11"/>
      <c r="L892" s="11"/>
      <c r="M892" s="11"/>
    </row>
    <row r="893" spans="1:13" ht="12.75" customHeight="1" x14ac:dyDescent="0.25">
      <c r="A893" s="790"/>
      <c r="B893" s="135" t="s">
        <v>49</v>
      </c>
      <c r="C893" s="140"/>
      <c r="D893" s="140"/>
      <c r="E893" s="1331"/>
      <c r="F893" s="149"/>
      <c r="G893" s="842" t="s">
        <v>1054</v>
      </c>
      <c r="H893" s="11"/>
      <c r="I893" s="11"/>
      <c r="J893" s="11"/>
      <c r="K893" s="11"/>
      <c r="L893" s="11"/>
      <c r="M893" s="11"/>
    </row>
    <row r="894" spans="1:13" ht="12.75" customHeight="1" x14ac:dyDescent="0.25">
      <c r="A894" s="790"/>
      <c r="B894" s="135" t="s">
        <v>122</v>
      </c>
      <c r="C894" s="140"/>
      <c r="D894" s="140"/>
      <c r="E894" s="1331"/>
      <c r="F894" s="149"/>
      <c r="G894" s="881"/>
      <c r="H894" s="11"/>
      <c r="I894" s="11"/>
      <c r="J894" s="11"/>
      <c r="K894" s="11"/>
      <c r="L894" s="11"/>
      <c r="M894" s="11"/>
    </row>
    <row r="895" spans="1:13" ht="12.75" customHeight="1" x14ac:dyDescent="0.25">
      <c r="A895" s="790"/>
      <c r="B895" s="3" t="s">
        <v>97</v>
      </c>
      <c r="C895" s="140"/>
      <c r="D895" s="140"/>
      <c r="E895" s="1331"/>
      <c r="F895" s="149"/>
      <c r="G895" s="881"/>
      <c r="H895" s="11"/>
      <c r="I895" s="11"/>
      <c r="J895" s="11"/>
      <c r="K895" s="11"/>
      <c r="L895" s="11"/>
      <c r="M895" s="11"/>
    </row>
    <row r="896" spans="1:13" ht="12.75" customHeight="1" x14ac:dyDescent="0.25">
      <c r="A896" s="790"/>
      <c r="B896" s="133" t="s">
        <v>185</v>
      </c>
      <c r="C896" s="140"/>
      <c r="D896" s="140"/>
      <c r="E896" s="1331"/>
      <c r="F896" s="149"/>
      <c r="G896" s="881"/>
      <c r="H896" s="11"/>
      <c r="I896" s="11"/>
      <c r="J896" s="11"/>
      <c r="K896" s="11"/>
      <c r="L896" s="11"/>
      <c r="M896" s="11"/>
    </row>
    <row r="897" spans="1:13" ht="12.75" customHeight="1" thickBot="1" x14ac:dyDescent="0.3">
      <c r="A897" s="790"/>
      <c r="B897" s="159" t="s">
        <v>112</v>
      </c>
      <c r="C897" s="147"/>
      <c r="D897" s="147"/>
      <c r="E897" s="1341"/>
      <c r="F897" s="189"/>
      <c r="G897" s="928"/>
      <c r="H897" s="11"/>
      <c r="I897" s="11"/>
      <c r="J897" s="11"/>
      <c r="K897" s="11"/>
      <c r="L897" s="11"/>
      <c r="M897" s="11"/>
    </row>
    <row r="898" spans="1:13" ht="12.75" customHeight="1" thickBot="1" x14ac:dyDescent="0.3">
      <c r="A898" s="883"/>
      <c r="B898" s="137" t="s">
        <v>57</v>
      </c>
      <c r="C898" s="138">
        <f t="shared" ref="C898" si="130">SUM(C890:C897)</f>
        <v>0</v>
      </c>
      <c r="D898" s="138">
        <f t="shared" ref="D898:E898" si="131">SUM(D890:D897)</f>
        <v>0</v>
      </c>
      <c r="E898" s="1333">
        <f t="shared" si="131"/>
        <v>0</v>
      </c>
      <c r="F898" s="174"/>
      <c r="G898" s="929"/>
      <c r="H898" s="11"/>
      <c r="I898" s="11"/>
      <c r="J898" s="11"/>
      <c r="K898" s="11"/>
      <c r="L898" s="11"/>
      <c r="M898" s="11"/>
    </row>
    <row r="899" spans="1:13" ht="12.75" customHeight="1" x14ac:dyDescent="0.25">
      <c r="A899" s="825">
        <v>3432</v>
      </c>
      <c r="B899" s="143" t="s">
        <v>143</v>
      </c>
      <c r="C899" s="139"/>
      <c r="D899" s="139"/>
      <c r="E899" s="1330"/>
      <c r="F899" s="125"/>
      <c r="G899" s="881"/>
      <c r="H899" s="11"/>
      <c r="I899" s="11"/>
      <c r="J899" s="11"/>
      <c r="K899" s="11"/>
      <c r="L899" s="11"/>
      <c r="M899" s="11"/>
    </row>
    <row r="900" spans="1:13" ht="12.75" customHeight="1" x14ac:dyDescent="0.25">
      <c r="A900" s="790"/>
      <c r="B900" s="21" t="s">
        <v>45</v>
      </c>
      <c r="C900" s="140"/>
      <c r="D900" s="140"/>
      <c r="E900" s="1331"/>
      <c r="F900" s="188"/>
      <c r="G900" s="881"/>
      <c r="H900" s="11"/>
      <c r="I900" s="11"/>
      <c r="J900" s="11"/>
      <c r="K900" s="11"/>
      <c r="L900" s="11"/>
      <c r="M900" s="11"/>
    </row>
    <row r="901" spans="1:13" ht="12.75" customHeight="1" x14ac:dyDescent="0.25">
      <c r="A901" s="790"/>
      <c r="B901" s="3" t="s">
        <v>125</v>
      </c>
      <c r="C901" s="140"/>
      <c r="D901" s="140"/>
      <c r="E901" s="1331"/>
      <c r="F901" s="149"/>
      <c r="G901" s="876"/>
      <c r="H901" s="11"/>
      <c r="I901" s="11"/>
      <c r="J901" s="11"/>
      <c r="K901" s="11"/>
      <c r="L901" s="11"/>
      <c r="M901" s="11"/>
    </row>
    <row r="902" spans="1:13" ht="12.75" customHeight="1" x14ac:dyDescent="0.25">
      <c r="A902" s="790"/>
      <c r="B902" s="56" t="s">
        <v>117</v>
      </c>
      <c r="C902" s="140">
        <v>8000</v>
      </c>
      <c r="D902" s="140">
        <v>8000</v>
      </c>
      <c r="E902" s="1331">
        <v>8000</v>
      </c>
      <c r="F902" s="149">
        <f>SUM(E902/D902)</f>
        <v>1</v>
      </c>
      <c r="G902" s="843" t="s">
        <v>1049</v>
      </c>
      <c r="H902" s="11"/>
      <c r="I902" s="11"/>
      <c r="J902" s="11"/>
      <c r="K902" s="11"/>
      <c r="L902" s="11"/>
      <c r="M902" s="11"/>
    </row>
    <row r="903" spans="1:13" ht="12.75" customHeight="1" x14ac:dyDescent="0.25">
      <c r="A903" s="790"/>
      <c r="B903" s="135" t="s">
        <v>49</v>
      </c>
      <c r="C903" s="140"/>
      <c r="D903" s="140"/>
      <c r="E903" s="1331"/>
      <c r="F903" s="149"/>
      <c r="G903" s="842" t="s">
        <v>1054</v>
      </c>
      <c r="H903" s="11"/>
      <c r="I903" s="11"/>
      <c r="J903" s="11"/>
      <c r="K903" s="11"/>
      <c r="L903" s="11"/>
      <c r="M903" s="11"/>
    </row>
    <row r="904" spans="1:13" ht="12.75" customHeight="1" x14ac:dyDescent="0.25">
      <c r="A904" s="790"/>
      <c r="B904" s="135" t="s">
        <v>122</v>
      </c>
      <c r="C904" s="140"/>
      <c r="D904" s="140"/>
      <c r="E904" s="1331"/>
      <c r="F904" s="149"/>
      <c r="G904" s="861"/>
      <c r="H904" s="11"/>
      <c r="I904" s="11"/>
      <c r="J904" s="11"/>
      <c r="K904" s="11"/>
      <c r="L904" s="11"/>
      <c r="M904" s="11"/>
    </row>
    <row r="905" spans="1:13" ht="12.75" customHeight="1" x14ac:dyDescent="0.25">
      <c r="A905" s="790"/>
      <c r="B905" s="3" t="s">
        <v>97</v>
      </c>
      <c r="C905" s="140"/>
      <c r="D905" s="140"/>
      <c r="E905" s="1331"/>
      <c r="F905" s="149"/>
      <c r="G905" s="861"/>
      <c r="H905" s="11"/>
      <c r="I905" s="11"/>
      <c r="J905" s="11"/>
      <c r="K905" s="11"/>
      <c r="L905" s="11"/>
      <c r="M905" s="11"/>
    </row>
    <row r="906" spans="1:13" ht="12.75" customHeight="1" x14ac:dyDescent="0.25">
      <c r="A906" s="790"/>
      <c r="B906" s="133" t="s">
        <v>185</v>
      </c>
      <c r="C906" s="140"/>
      <c r="D906" s="140"/>
      <c r="E906" s="1331"/>
      <c r="F906" s="149"/>
      <c r="G906" s="881"/>
      <c r="H906" s="11"/>
      <c r="I906" s="11"/>
      <c r="J906" s="11"/>
      <c r="K906" s="11"/>
      <c r="L906" s="11"/>
      <c r="M906" s="11"/>
    </row>
    <row r="907" spans="1:13" ht="12.75" customHeight="1" thickBot="1" x14ac:dyDescent="0.3">
      <c r="A907" s="790"/>
      <c r="B907" s="159" t="s">
        <v>112</v>
      </c>
      <c r="C907" s="147"/>
      <c r="D907" s="147"/>
      <c r="E907" s="1341"/>
      <c r="F907" s="189"/>
      <c r="G907" s="928"/>
      <c r="H907" s="11"/>
      <c r="I907" s="11"/>
      <c r="J907" s="11"/>
      <c r="K907" s="11"/>
      <c r="L907" s="11"/>
      <c r="M907" s="11"/>
    </row>
    <row r="908" spans="1:13" ht="14.25" customHeight="1" thickBot="1" x14ac:dyDescent="0.3">
      <c r="A908" s="883"/>
      <c r="B908" s="137" t="s">
        <v>57</v>
      </c>
      <c r="C908" s="138">
        <f t="shared" ref="C908:D908" si="132">SUM(C900:C907)</f>
        <v>8000</v>
      </c>
      <c r="D908" s="138">
        <f t="shared" si="132"/>
        <v>8000</v>
      </c>
      <c r="E908" s="1333">
        <f t="shared" ref="E908" si="133">SUM(E900:E907)</f>
        <v>8000</v>
      </c>
      <c r="F908" s="174">
        <f>SUM(E908/D908)</f>
        <v>1</v>
      </c>
      <c r="G908" s="929"/>
      <c r="H908" s="11"/>
      <c r="I908" s="11"/>
      <c r="J908" s="11"/>
      <c r="K908" s="11"/>
      <c r="L908" s="11"/>
      <c r="M908" s="11"/>
    </row>
    <row r="909" spans="1:13" ht="12.75" customHeight="1" x14ac:dyDescent="0.25">
      <c r="A909" s="825">
        <v>3433</v>
      </c>
      <c r="B909" s="177" t="s">
        <v>242</v>
      </c>
      <c r="C909" s="139"/>
      <c r="D909" s="139"/>
      <c r="E909" s="1330"/>
      <c r="F909" s="125"/>
      <c r="G909" s="885"/>
      <c r="H909" s="11"/>
      <c r="I909" s="11"/>
      <c r="J909" s="11"/>
      <c r="K909" s="11"/>
      <c r="L909" s="11"/>
      <c r="M909" s="11"/>
    </row>
    <row r="910" spans="1:13" ht="12.75" customHeight="1" x14ac:dyDescent="0.25">
      <c r="A910" s="790"/>
      <c r="B910" s="22" t="s">
        <v>45</v>
      </c>
      <c r="C910" s="140"/>
      <c r="D910" s="140"/>
      <c r="E910" s="1331"/>
      <c r="F910" s="125"/>
      <c r="G910" s="879"/>
      <c r="H910" s="11"/>
      <c r="I910" s="11"/>
      <c r="J910" s="11"/>
      <c r="K910" s="11"/>
      <c r="L910" s="11"/>
      <c r="M910" s="11"/>
    </row>
    <row r="911" spans="1:13" ht="12.75" customHeight="1" x14ac:dyDescent="0.25">
      <c r="A911" s="790"/>
      <c r="B911" s="3" t="s">
        <v>125</v>
      </c>
      <c r="C911" s="140"/>
      <c r="D911" s="140"/>
      <c r="E911" s="1331"/>
      <c r="F911" s="188"/>
      <c r="G911" s="879"/>
      <c r="H911" s="11"/>
      <c r="I911" s="11"/>
      <c r="J911" s="11"/>
      <c r="K911" s="11"/>
      <c r="L911" s="11"/>
      <c r="M911" s="11"/>
    </row>
    <row r="912" spans="1:13" ht="12.75" customHeight="1" x14ac:dyDescent="0.25">
      <c r="A912" s="790"/>
      <c r="B912" s="56" t="s">
        <v>117</v>
      </c>
      <c r="C912" s="140">
        <v>38000</v>
      </c>
      <c r="D912" s="140">
        <v>38000</v>
      </c>
      <c r="E912" s="1331">
        <f>38000+19539</f>
        <v>57539</v>
      </c>
      <c r="F912" s="149"/>
      <c r="G912" s="864"/>
      <c r="H912" s="11"/>
      <c r="I912" s="11"/>
      <c r="J912" s="11"/>
      <c r="K912" s="11"/>
      <c r="L912" s="11"/>
      <c r="M912" s="11"/>
    </row>
    <row r="913" spans="1:13" ht="12.75" customHeight="1" x14ac:dyDescent="0.25">
      <c r="A913" s="790"/>
      <c r="B913" s="135" t="s">
        <v>49</v>
      </c>
      <c r="C913" s="140"/>
      <c r="D913" s="140"/>
      <c r="E913" s="1331"/>
      <c r="F913" s="149"/>
      <c r="G913" s="864"/>
      <c r="H913" s="11"/>
      <c r="I913" s="11"/>
      <c r="J913" s="11"/>
      <c r="K913" s="11"/>
      <c r="L913" s="11"/>
      <c r="M913" s="11"/>
    </row>
    <row r="914" spans="1:13" ht="12.75" customHeight="1" x14ac:dyDescent="0.25">
      <c r="A914" s="790"/>
      <c r="B914" s="135" t="s">
        <v>122</v>
      </c>
      <c r="C914" s="140"/>
      <c r="D914" s="140"/>
      <c r="E914" s="1331"/>
      <c r="F914" s="149"/>
      <c r="G914" s="881"/>
      <c r="H914" s="11"/>
      <c r="I914" s="11"/>
      <c r="J914" s="11"/>
      <c r="K914" s="11"/>
      <c r="L914" s="11"/>
      <c r="M914" s="11"/>
    </row>
    <row r="915" spans="1:13" ht="12.75" customHeight="1" x14ac:dyDescent="0.25">
      <c r="A915" s="790"/>
      <c r="B915" s="3" t="s">
        <v>97</v>
      </c>
      <c r="C915" s="140">
        <v>2000</v>
      </c>
      <c r="D915" s="140">
        <v>2000</v>
      </c>
      <c r="E915" s="1331">
        <v>2000</v>
      </c>
      <c r="F915" s="149"/>
      <c r="G915" s="881"/>
      <c r="H915" s="11"/>
      <c r="I915" s="11"/>
      <c r="J915" s="11"/>
      <c r="K915" s="11"/>
      <c r="L915" s="11"/>
      <c r="M915" s="11"/>
    </row>
    <row r="916" spans="1:13" ht="12.75" customHeight="1" x14ac:dyDescent="0.25">
      <c r="A916" s="790"/>
      <c r="B916" s="133" t="s">
        <v>185</v>
      </c>
      <c r="C916" s="197"/>
      <c r="D916" s="197"/>
      <c r="E916" s="1338"/>
      <c r="F916" s="188"/>
      <c r="G916" s="930"/>
      <c r="H916" s="11"/>
      <c r="I916" s="11"/>
      <c r="J916" s="11"/>
      <c r="K916" s="11"/>
      <c r="L916" s="11"/>
      <c r="M916" s="11"/>
    </row>
    <row r="917" spans="1:13" ht="12.75" customHeight="1" thickBot="1" x14ac:dyDescent="0.3">
      <c r="A917" s="790"/>
      <c r="B917" s="159" t="s">
        <v>112</v>
      </c>
      <c r="C917" s="147"/>
      <c r="D917" s="147"/>
      <c r="E917" s="1341"/>
      <c r="F917" s="189"/>
      <c r="G917" s="928"/>
      <c r="H917" s="11"/>
      <c r="I917" s="11"/>
      <c r="J917" s="11"/>
      <c r="K917" s="11"/>
      <c r="L917" s="11"/>
      <c r="M917" s="11"/>
    </row>
    <row r="918" spans="1:13" ht="12.75" customHeight="1" thickBot="1" x14ac:dyDescent="0.3">
      <c r="A918" s="883"/>
      <c r="B918" s="137" t="s">
        <v>57</v>
      </c>
      <c r="C918" s="138">
        <f>SUM(C912:C917)</f>
        <v>40000</v>
      </c>
      <c r="D918" s="138">
        <f>SUM(D912:D917)</f>
        <v>40000</v>
      </c>
      <c r="E918" s="1333">
        <f>SUM(E912:E917)</f>
        <v>59539</v>
      </c>
      <c r="F918" s="174"/>
      <c r="G918" s="929"/>
      <c r="H918" s="11"/>
      <c r="I918" s="11"/>
      <c r="J918" s="11"/>
      <c r="K918" s="11"/>
      <c r="L918" s="11"/>
      <c r="M918" s="11"/>
    </row>
    <row r="919" spans="1:13" ht="12.75" customHeight="1" x14ac:dyDescent="0.25">
      <c r="A919" s="825">
        <v>3434</v>
      </c>
      <c r="B919" s="177" t="s">
        <v>288</v>
      </c>
      <c r="C919" s="139"/>
      <c r="D919" s="139"/>
      <c r="E919" s="1330"/>
      <c r="F919" s="125"/>
      <c r="G919" s="885"/>
      <c r="H919" s="11"/>
      <c r="I919" s="11"/>
      <c r="J919" s="11"/>
      <c r="K919" s="11"/>
      <c r="L919" s="11"/>
      <c r="M919" s="11"/>
    </row>
    <row r="920" spans="1:13" ht="12.75" customHeight="1" x14ac:dyDescent="0.25">
      <c r="A920" s="825"/>
      <c r="B920" s="22" t="s">
        <v>45</v>
      </c>
      <c r="C920" s="140"/>
      <c r="D920" s="140"/>
      <c r="E920" s="1331"/>
      <c r="F920" s="125"/>
      <c r="G920" s="879"/>
      <c r="H920" s="11"/>
      <c r="I920" s="11"/>
      <c r="J920" s="11"/>
      <c r="K920" s="11"/>
      <c r="L920" s="11"/>
      <c r="M920" s="11"/>
    </row>
    <row r="921" spans="1:13" ht="12.75" customHeight="1" x14ac:dyDescent="0.25">
      <c r="A921" s="825"/>
      <c r="B921" s="3" t="s">
        <v>125</v>
      </c>
      <c r="C921" s="140"/>
      <c r="D921" s="140"/>
      <c r="E921" s="1331"/>
      <c r="F921" s="188"/>
      <c r="G921" s="879"/>
      <c r="H921" s="11"/>
      <c r="I921" s="11"/>
      <c r="J921" s="11"/>
      <c r="K921" s="11"/>
      <c r="L921" s="11"/>
      <c r="M921" s="11"/>
    </row>
    <row r="922" spans="1:13" ht="12.75" customHeight="1" x14ac:dyDescent="0.25">
      <c r="A922" s="825"/>
      <c r="B922" s="56" t="s">
        <v>117</v>
      </c>
      <c r="C922" s="140"/>
      <c r="D922" s="140"/>
      <c r="E922" s="1331"/>
      <c r="F922" s="149"/>
      <c r="G922" s="864"/>
      <c r="H922" s="11"/>
      <c r="I922" s="11"/>
      <c r="J922" s="11"/>
      <c r="K922" s="11"/>
      <c r="L922" s="11"/>
      <c r="M922" s="11"/>
    </row>
    <row r="923" spans="1:13" ht="12.75" customHeight="1" x14ac:dyDescent="0.25">
      <c r="A923" s="825"/>
      <c r="B923" s="135" t="s">
        <v>49</v>
      </c>
      <c r="C923" s="140"/>
      <c r="D923" s="140"/>
      <c r="E923" s="1331"/>
      <c r="F923" s="149"/>
      <c r="G923" s="864"/>
      <c r="H923" s="11"/>
      <c r="I923" s="11"/>
      <c r="J923" s="11"/>
      <c r="K923" s="11"/>
      <c r="L923" s="11"/>
      <c r="M923" s="11"/>
    </row>
    <row r="924" spans="1:13" ht="12.75" customHeight="1" x14ac:dyDescent="0.25">
      <c r="A924" s="825"/>
      <c r="B924" s="135" t="s">
        <v>122</v>
      </c>
      <c r="C924" s="140">
        <v>3000</v>
      </c>
      <c r="D924" s="140">
        <v>3000</v>
      </c>
      <c r="E924" s="1331">
        <v>3000</v>
      </c>
      <c r="F924" s="149"/>
      <c r="G924" s="881"/>
      <c r="H924" s="11"/>
      <c r="I924" s="11"/>
      <c r="J924" s="11"/>
      <c r="K924" s="11"/>
      <c r="L924" s="11"/>
      <c r="M924" s="11"/>
    </row>
    <row r="925" spans="1:13" ht="12.75" customHeight="1" x14ac:dyDescent="0.25">
      <c r="A925" s="825"/>
      <c r="B925" s="3" t="s">
        <v>97</v>
      </c>
      <c r="C925" s="140"/>
      <c r="D925" s="140"/>
      <c r="E925" s="1331"/>
      <c r="F925" s="149"/>
      <c r="G925" s="881"/>
      <c r="H925" s="11"/>
      <c r="I925" s="11"/>
      <c r="J925" s="11"/>
      <c r="K925" s="11"/>
      <c r="L925" s="11"/>
      <c r="M925" s="11"/>
    </row>
    <row r="926" spans="1:13" ht="12.75" customHeight="1" x14ac:dyDescent="0.25">
      <c r="A926" s="825"/>
      <c r="B926" s="133" t="s">
        <v>185</v>
      </c>
      <c r="C926" s="197"/>
      <c r="D926" s="197"/>
      <c r="E926" s="1338"/>
      <c r="F926" s="188"/>
      <c r="G926" s="930"/>
      <c r="H926" s="11"/>
      <c r="I926" s="11"/>
      <c r="J926" s="11"/>
      <c r="K926" s="11"/>
      <c r="L926" s="11"/>
      <c r="M926" s="11"/>
    </row>
    <row r="927" spans="1:13" ht="12.75" customHeight="1" thickBot="1" x14ac:dyDescent="0.3">
      <c r="A927" s="825"/>
      <c r="B927" s="159" t="s">
        <v>112</v>
      </c>
      <c r="C927" s="147"/>
      <c r="D927" s="147"/>
      <c r="E927" s="1341"/>
      <c r="F927" s="189"/>
      <c r="G927" s="928"/>
      <c r="H927" s="11"/>
      <c r="I927" s="11"/>
      <c r="J927" s="11"/>
      <c r="K927" s="11"/>
      <c r="L927" s="11"/>
      <c r="M927" s="11"/>
    </row>
    <row r="928" spans="1:13" ht="12.75" customHeight="1" thickBot="1" x14ac:dyDescent="0.3">
      <c r="A928" s="825"/>
      <c r="B928" s="1079" t="s">
        <v>57</v>
      </c>
      <c r="C928" s="1080">
        <f>SUM(C922:C927)</f>
        <v>3000</v>
      </c>
      <c r="D928" s="1080">
        <f>SUM(D922:D927)</f>
        <v>3000</v>
      </c>
      <c r="E928" s="1363">
        <f>SUM(E922:E927)</f>
        <v>3000</v>
      </c>
      <c r="F928" s="1081"/>
      <c r="G928" s="1082"/>
      <c r="H928" s="11"/>
      <c r="I928" s="11"/>
      <c r="J928" s="11"/>
      <c r="K928" s="11"/>
      <c r="L928" s="11"/>
      <c r="M928" s="11"/>
    </row>
    <row r="929" spans="1:13" ht="12.75" customHeight="1" x14ac:dyDescent="0.25">
      <c r="A929" s="830">
        <v>3451</v>
      </c>
      <c r="B929" s="146" t="s">
        <v>56</v>
      </c>
      <c r="C929" s="1083"/>
      <c r="D929" s="1083"/>
      <c r="E929" s="1364"/>
      <c r="F929" s="198"/>
      <c r="G929" s="1084"/>
      <c r="H929" s="11"/>
      <c r="I929" s="11"/>
      <c r="J929" s="11"/>
      <c r="K929" s="11"/>
      <c r="L929" s="11"/>
      <c r="M929" s="11"/>
    </row>
    <row r="930" spans="1:13" ht="12.75" customHeight="1" x14ac:dyDescent="0.25">
      <c r="A930" s="790"/>
      <c r="B930" s="22" t="s">
        <v>45</v>
      </c>
      <c r="C930" s="140"/>
      <c r="D930" s="140"/>
      <c r="E930" s="1331"/>
      <c r="F930" s="125"/>
      <c r="G930" s="881"/>
      <c r="H930" s="11"/>
      <c r="I930" s="11"/>
      <c r="J930" s="11"/>
      <c r="K930" s="11"/>
      <c r="L930" s="11"/>
      <c r="M930" s="11"/>
    </row>
    <row r="931" spans="1:13" ht="12.75" customHeight="1" x14ac:dyDescent="0.25">
      <c r="A931" s="790"/>
      <c r="B931" s="3" t="s">
        <v>125</v>
      </c>
      <c r="C931" s="140"/>
      <c r="D931" s="140"/>
      <c r="E931" s="1331"/>
      <c r="F931" s="125"/>
      <c r="G931" s="879"/>
      <c r="H931" s="11"/>
      <c r="I931" s="11"/>
      <c r="J931" s="11"/>
      <c r="K931" s="11"/>
      <c r="L931" s="11"/>
      <c r="M931" s="11"/>
    </row>
    <row r="932" spans="1:13" ht="12.75" customHeight="1" x14ac:dyDescent="0.25">
      <c r="A932" s="790"/>
      <c r="B932" s="56" t="s">
        <v>117</v>
      </c>
      <c r="C932" s="140">
        <v>4725</v>
      </c>
      <c r="D932" s="140">
        <v>4725</v>
      </c>
      <c r="E932" s="1331">
        <f>4725+2077</f>
        <v>6802</v>
      </c>
      <c r="F932" s="149">
        <f>SUM(E932/D932)</f>
        <v>1.4395767195767195</v>
      </c>
      <c r="G932" s="864"/>
      <c r="H932" s="11"/>
      <c r="I932" s="11"/>
      <c r="J932" s="11"/>
      <c r="K932" s="11"/>
      <c r="L932" s="11"/>
      <c r="M932" s="11"/>
    </row>
    <row r="933" spans="1:13" ht="12.75" customHeight="1" x14ac:dyDescent="0.25">
      <c r="A933" s="790"/>
      <c r="B933" s="135" t="s">
        <v>49</v>
      </c>
      <c r="C933" s="140"/>
      <c r="D933" s="140"/>
      <c r="E933" s="1331"/>
      <c r="F933" s="125"/>
      <c r="G933" s="864"/>
      <c r="H933" s="11"/>
      <c r="I933" s="11"/>
      <c r="J933" s="11"/>
      <c r="K933" s="11"/>
      <c r="L933" s="11"/>
      <c r="M933" s="11"/>
    </row>
    <row r="934" spans="1:13" ht="12.75" customHeight="1" x14ac:dyDescent="0.25">
      <c r="A934" s="790"/>
      <c r="B934" s="135" t="s">
        <v>122</v>
      </c>
      <c r="C934" s="140"/>
      <c r="D934" s="140"/>
      <c r="E934" s="1331"/>
      <c r="F934" s="125"/>
      <c r="G934" s="864"/>
      <c r="H934" s="11"/>
      <c r="I934" s="11"/>
      <c r="J934" s="11"/>
      <c r="K934" s="11"/>
      <c r="L934" s="11"/>
      <c r="M934" s="11"/>
    </row>
    <row r="935" spans="1:13" ht="12.75" customHeight="1" x14ac:dyDescent="0.25">
      <c r="A935" s="790"/>
      <c r="B935" s="3" t="s">
        <v>97</v>
      </c>
      <c r="C935" s="140"/>
      <c r="D935" s="140"/>
      <c r="E935" s="1331"/>
      <c r="F935" s="125"/>
      <c r="G935" s="864"/>
      <c r="H935" s="11"/>
      <c r="I935" s="11"/>
      <c r="J935" s="11"/>
      <c r="K935" s="11"/>
      <c r="L935" s="11"/>
      <c r="M935" s="11"/>
    </row>
    <row r="936" spans="1:13" ht="12.75" customHeight="1" x14ac:dyDescent="0.25">
      <c r="A936" s="790"/>
      <c r="B936" s="133" t="s">
        <v>185</v>
      </c>
      <c r="C936" s="140"/>
      <c r="D936" s="140"/>
      <c r="E936" s="1331"/>
      <c r="F936" s="125"/>
      <c r="G936" s="881"/>
      <c r="H936" s="11"/>
      <c r="I936" s="11"/>
      <c r="J936" s="11"/>
      <c r="K936" s="11"/>
      <c r="L936" s="11"/>
      <c r="M936" s="11"/>
    </row>
    <row r="937" spans="1:13" ht="12.75" customHeight="1" thickBot="1" x14ac:dyDescent="0.3">
      <c r="A937" s="790"/>
      <c r="B937" s="159" t="s">
        <v>112</v>
      </c>
      <c r="C937" s="147"/>
      <c r="D937" s="147"/>
      <c r="E937" s="1341"/>
      <c r="F937" s="186"/>
      <c r="G937" s="928"/>
      <c r="H937" s="11"/>
      <c r="I937" s="11"/>
      <c r="J937" s="11"/>
      <c r="K937" s="11"/>
      <c r="L937" s="11"/>
      <c r="M937" s="11"/>
    </row>
    <row r="938" spans="1:13" ht="12.75" customHeight="1" thickBot="1" x14ac:dyDescent="0.3">
      <c r="A938" s="883"/>
      <c r="B938" s="137" t="s">
        <v>57</v>
      </c>
      <c r="C938" s="138">
        <f t="shared" ref="C938:D938" si="134">SUM(C930:C937)</f>
        <v>4725</v>
      </c>
      <c r="D938" s="138">
        <f t="shared" si="134"/>
        <v>4725</v>
      </c>
      <c r="E938" s="1333">
        <f t="shared" ref="E938" si="135">SUM(E930:E937)</f>
        <v>6802</v>
      </c>
      <c r="F938" s="174">
        <f>SUM(E938/D938)</f>
        <v>1.4395767195767195</v>
      </c>
      <c r="G938" s="929"/>
      <c r="H938" s="11"/>
      <c r="I938" s="11"/>
      <c r="J938" s="11"/>
      <c r="K938" s="11"/>
      <c r="L938" s="11"/>
      <c r="M938" s="11"/>
    </row>
    <row r="939" spans="1:13" ht="12" customHeight="1" x14ac:dyDescent="0.25">
      <c r="A939" s="740">
        <v>3600</v>
      </c>
      <c r="B939" s="148" t="s">
        <v>13</v>
      </c>
      <c r="C939" s="54"/>
      <c r="D939" s="54"/>
      <c r="E939" s="1303"/>
      <c r="F939" s="125"/>
      <c r="G939" s="869"/>
      <c r="H939" s="11"/>
      <c r="I939" s="11"/>
      <c r="J939" s="11"/>
      <c r="K939" s="11"/>
      <c r="L939" s="11"/>
      <c r="M939" s="11"/>
    </row>
    <row r="940" spans="1:13" ht="12" customHeight="1" x14ac:dyDescent="0.25">
      <c r="A940" s="740"/>
      <c r="B940" s="36" t="s">
        <v>20</v>
      </c>
      <c r="C940" s="54"/>
      <c r="D940" s="54"/>
      <c r="E940" s="1303"/>
      <c r="F940" s="188"/>
      <c r="G940" s="869"/>
      <c r="H940" s="11"/>
      <c r="I940" s="11"/>
      <c r="J940" s="11"/>
      <c r="K940" s="11"/>
      <c r="L940" s="11"/>
      <c r="M940" s="11"/>
    </row>
    <row r="941" spans="1:13" ht="12" customHeight="1" x14ac:dyDescent="0.25">
      <c r="A941" s="762"/>
      <c r="B941" s="21" t="s">
        <v>45</v>
      </c>
      <c r="C941" s="51">
        <f>C11+C21+C31+C41+C51+C62+C72+C83+C95+C105+C115+C125+C135+C146+C156+C166+C176+C186+C197+C207+C217+C227+C237+C257+C268+C281+C291+C301+C311+C321+C331+C341+C351+C362+C375+C386+C396+C408+C426+C436+C446+C456+C466+C497+C507+C517+C527+C537+C547+C557+C567+C577+C587+C597+C607+C617+C627+C637+C647+C657+C667+C677+C687+C697+C707+C717+C727+C737+C747+C757+C767+C779+C789+C799+C809+C819+C830+C840+C850+C860+C870+C880+C890+C900+C910+C920+C930+C476+C486</f>
        <v>420407</v>
      </c>
      <c r="D941" s="51">
        <f>D11+D21+D31+D41+D51+D62+D72+D83+D95+D105+D115+D125+D135+D146+D156+D166+D176+D186+D197+D207+D217+D227+D237+D257+D268+D281+D291+D301+D311+D321+D331+D341+D351+D362+D375+D386+D396+D408+D426+D436+D446+D456+D466+D497+D507+D517+D527+D537+D547+D557+D567+D577+D587+D597+D607+D617+D627+D637+D647+D657+D667+D677+D687+D697+D707+D717+D727+D737+D747+D757+D767+D779+D789+D799+D809+D819+D830+D840+D850+D860+D870+D880+D890+D900+D910+D920+D930+D476+D486</f>
        <v>420407</v>
      </c>
      <c r="E941" s="1304">
        <f>E11+E21+E31+E41+E51+E62+E72+E83+E95+E105+E115+E125+E135+E146+E156+E166+E176+E186+E197+E207+E217+E227+E237+E257+E268+E281+E291+E301+E311+E321+E331+E341+E351+E362+E375+E386+E396+E408+E426+E436+E446+E456+E466+E497+E507+E517+E527+E537+E547+E557+E567+E577+E587+E597+E607+E617+E627+E637+E647+E657+E667+E677+E687+E697+E707+E717+E727+E737+E747+E757+E767+E779+E789+E799+E809+E819+E830+E840+E850+E860+E870+E880+E890+E900+E910+E920+E930+E476+E486</f>
        <v>436344</v>
      </c>
      <c r="F941" s="149">
        <f t="shared" ref="F941:F946" si="136">SUM(E941/D941)</f>
        <v>1.037908502950712</v>
      </c>
      <c r="G941" s="744"/>
      <c r="H941" s="11"/>
      <c r="I941" s="11"/>
      <c r="J941" s="11"/>
      <c r="K941" s="11"/>
      <c r="L941" s="11"/>
      <c r="M941" s="11"/>
    </row>
    <row r="942" spans="1:13" ht="12" customHeight="1" x14ac:dyDescent="0.25">
      <c r="A942" s="762"/>
      <c r="B942" s="133" t="s">
        <v>125</v>
      </c>
      <c r="C942" s="51">
        <f t="shared" ref="C942:D945" si="137">C12+C22+C32+C42+C52+C63+C73+C84+C96+C106+C116+C126+C136+C147+C157+C167+C177+C187+C198+C208+C218+C228+C238+C258+C269+C282+C292+C302+C312+C322+C332+C342+C352+C363+C376+C387+C397+C409+C427+C437+C447+C457+C467+C498+C508+C518+C528+C538+C548+C558+C568+C578+C588+C598+C608+C618+C628+C638+C648+C658+C668+C678+C688+C698+C708+C718+C728+C738+C748+C758+C768+C780+C790+C800+C810+C820+C831+C841+C851+C861+C871+C881+C891+C901+C911+C921+C931+C477+C487</f>
        <v>64421</v>
      </c>
      <c r="D942" s="51">
        <f t="shared" si="137"/>
        <v>64421</v>
      </c>
      <c r="E942" s="1304">
        <f t="shared" ref="E942" si="138">E12+E22+E32+E42+E52+E63+E73+E84+E96+E106+E116+E126+E136+E147+E157+E167+E177+E187+E198+E208+E218+E228+E238+E258+E269+E282+E292+E302+E312+E322+E332+E342+E352+E363+E376+E387+E397+E409+E427+E437+E447+E457+E467+E498+E508+E518+E528+E538+E548+E558+E568+E578+E588+E598+E608+E618+E628+E638+E648+E658+E668+E678+E688+E698+E708+E718+E728+E738+E748+E758+E768+E780+E790+E800+E810+E820+E831+E841+E851+E861+E871+E881+E891+E901+E911+E921+E931+E477+E487</f>
        <v>68721</v>
      </c>
      <c r="F942" s="149">
        <f t="shared" si="136"/>
        <v>1.0667484205460953</v>
      </c>
      <c r="G942" s="744"/>
      <c r="H942" s="11"/>
      <c r="I942" s="11"/>
      <c r="J942" s="11"/>
      <c r="K942" s="11"/>
      <c r="L942" s="11"/>
      <c r="M942" s="11"/>
    </row>
    <row r="943" spans="1:13" ht="12" customHeight="1" x14ac:dyDescent="0.25">
      <c r="A943" s="762"/>
      <c r="B943" s="134" t="s">
        <v>117</v>
      </c>
      <c r="C943" s="51">
        <f t="shared" si="137"/>
        <v>5086437</v>
      </c>
      <c r="D943" s="51">
        <f t="shared" si="137"/>
        <v>4919337</v>
      </c>
      <c r="E943" s="1304">
        <f t="shared" ref="E943" si="139">E13+E23+E33+E43+E53+E64+E74+E85+E97+E107+E117+E127+E137+E148+E158+E168+E178+E188+E199+E209+E219+E229+E239+E259+E270+E283+E293+E303+E313+E323+E333+E343+E353+E364+E377+E388+E398+E410+E428+E438+E448+E458+E468+E499+E509+E519+E529+E539+E549+E559+E569+E579+E589+E599+E609+E619+E629+E639+E649+E659+E669+E679+E689+E699+E709+E719+E729+E739+E749+E759+E769+E781+E791+E801+E811+E821+E832+E842+E852+E862+E872+E882+E892+E902+E912+E922+E932+E478+E488</f>
        <v>5519916</v>
      </c>
      <c r="F943" s="149">
        <f t="shared" si="136"/>
        <v>1.1220853541849236</v>
      </c>
      <c r="G943" s="744"/>
      <c r="H943" s="11"/>
      <c r="I943" s="11"/>
      <c r="J943" s="11"/>
      <c r="K943" s="11"/>
      <c r="L943" s="11"/>
      <c r="M943" s="11"/>
    </row>
    <row r="944" spans="1:13" ht="12" customHeight="1" x14ac:dyDescent="0.25">
      <c r="A944" s="762"/>
      <c r="B944" s="3" t="s">
        <v>49</v>
      </c>
      <c r="C944" s="51">
        <f t="shared" si="137"/>
        <v>244500</v>
      </c>
      <c r="D944" s="51">
        <f t="shared" si="137"/>
        <v>244500</v>
      </c>
      <c r="E944" s="1304">
        <f t="shared" ref="E944" si="140">E14+E24+E34+E44+E54+E65+E75+E86+E98+E108+E118+E128+E138+E149+E159+E169+E179+E189+E200+E210+E220+E230+E240+E260+E271+E284+E294+E304+E314+E324+E334+E344+E354+E365+E378+E389+E399+E411+E429+E439+E449+E459+E469+E500+E510+E520+E530+E540+E550+E560+E570+E580+E590+E600+E610+E620+E630+E640+E650+E660+E670+E680+E690+E700+E710+E720+E730+E740+E750+E760+E770+E782+E792+E802+E812+E822+E833+E843+E853+E863+E873+E883+E893+E903+E913+E923+E933+E479+E489</f>
        <v>251619</v>
      </c>
      <c r="F944" s="149">
        <f t="shared" si="136"/>
        <v>1.0291165644171778</v>
      </c>
      <c r="G944" s="744"/>
      <c r="H944" s="11"/>
      <c r="I944" s="11"/>
      <c r="J944" s="11"/>
      <c r="K944" s="11"/>
      <c r="L944" s="11"/>
      <c r="M944" s="11"/>
    </row>
    <row r="945" spans="1:13" ht="12" customHeight="1" thickBot="1" x14ac:dyDescent="0.3">
      <c r="A945" s="762"/>
      <c r="B945" s="43" t="s">
        <v>122</v>
      </c>
      <c r="C945" s="51">
        <f t="shared" si="137"/>
        <v>111788</v>
      </c>
      <c r="D945" s="51">
        <f t="shared" si="137"/>
        <v>111788</v>
      </c>
      <c r="E945" s="1304">
        <f t="shared" ref="E945" si="141">E15+E25+E35+E45+E55+E66+E76+E87+E99+E109+E119+E129+E139+E150+E160+E170+E180+E190+E201+E211+E221+E231+E241+E261+E272+E285+E295+E305+E315+E325+E335+E345+E355+E366+E379+E390+E400+E412+E430+E440+E450+E460+E470+E501+E511+E521+E531+E541+E551+E561+E571+E581+E591+E601+E611+E621+E631+E641+E651+E661+E671+E681+E691+E701+E711+E721+E731+E741+E751+E761+E771+E783+E793+E803+E813+E823+E834+E844+E854+E864+E874+E884+E894+E904+E914+E924+E934+E480+E490</f>
        <v>116088</v>
      </c>
      <c r="F945" s="149">
        <f t="shared" si="136"/>
        <v>1.0384656671556876</v>
      </c>
      <c r="G945" s="780"/>
      <c r="H945" s="11"/>
      <c r="I945" s="11"/>
      <c r="J945" s="11"/>
      <c r="K945" s="11"/>
      <c r="L945" s="11"/>
      <c r="M945" s="11"/>
    </row>
    <row r="946" spans="1:13" ht="12" customHeight="1" thickBot="1" x14ac:dyDescent="0.3">
      <c r="A946" s="762"/>
      <c r="B946" s="178" t="s">
        <v>18</v>
      </c>
      <c r="C946" s="126">
        <f>SUM(C941:C945)</f>
        <v>5927553</v>
      </c>
      <c r="D946" s="126">
        <f>SUM(D941:D945)</f>
        <v>5760453</v>
      </c>
      <c r="E946" s="1365">
        <f>SUM(E941:E945)</f>
        <v>6392688</v>
      </c>
      <c r="F946" s="174">
        <f t="shared" si="136"/>
        <v>1.10975438910794</v>
      </c>
      <c r="G946" s="203"/>
      <c r="H946" s="11"/>
      <c r="I946" s="11"/>
      <c r="J946" s="11"/>
      <c r="K946" s="11"/>
      <c r="L946" s="11"/>
      <c r="M946" s="11"/>
    </row>
    <row r="947" spans="1:13" ht="12" customHeight="1" x14ac:dyDescent="0.25">
      <c r="A947" s="762"/>
      <c r="B947" s="42" t="s">
        <v>21</v>
      </c>
      <c r="C947" s="51"/>
      <c r="D947" s="51"/>
      <c r="E947" s="1304"/>
      <c r="F947" s="125"/>
      <c r="G947" s="869"/>
      <c r="H947" s="11"/>
      <c r="I947" s="11"/>
      <c r="J947" s="11"/>
      <c r="K947" s="11"/>
      <c r="L947" s="11"/>
      <c r="M947" s="11"/>
    </row>
    <row r="948" spans="1:13" ht="12" customHeight="1" x14ac:dyDescent="0.25">
      <c r="A948" s="762"/>
      <c r="B948" s="4" t="s">
        <v>97</v>
      </c>
      <c r="C948" s="51">
        <f>C16+C26+C36+C46+C56+C67+C77+C100+C110+C120+C130+C140+C151+C161+C171+C181+C191+C202+C212+C222+C232+C242+C262+C273+C286+C296+C306+C316+C326+C336+C346+C356+C367+C380+C391+C401+C413+C431+C441+C451+C461+C471+C502+C512+C522+C532+C542+C552+C562+C572+C582+C592+C602+C612+C622+C632+C642+C652+C662+C672+C682+C692+C702+C712+C722+C732+C742+C752+C762+C772+C784+C794+C804+C814+C824+C835+C845+C855+C865+C875+C885+C895+C905+C915+C925+C935+C88+C481+C491</f>
        <v>53400</v>
      </c>
      <c r="D948" s="51">
        <f>D16+D26+D36+D46+D56+D67+D77+D100+D110+D120+D130+D140+D151+D161+D171+D181+D191+D202+D212+D222+D232+D242+D262+D273+D286+D296+D306+D316+D326+D336+D346+D356+D367+D380+D391+D401+D413+D431+D441+D451+D461+D471+D502+D512+D522+D532+D542+D552+D562+D572+D582+D592+D602+D612+D622+D632+D642+D652+D662+D672+D682+D692+D702+D712+D722+D732+D742+D752+D762+D772+D784+D794+D804+D814+D824+D835+D845+D855+D865+D875+D885+D895+D905+D915+D925+D935+D88+D481+D491</f>
        <v>53400</v>
      </c>
      <c r="E948" s="1304">
        <f>E16+E26+E36+E46+E56+E67+E77+E100+E110+E120+E130+E140+E151+E161+E171+E181+E191+E202+E212+E222+E232+E242+E262+E273+E286+E296+E306+E316+E326+E336+E346+E356+E367+E380+E391+E401+E413+E431+E441+E451+E461+E471+E502+E512+E522+E532+E542+E552+E562+E572+E582+E592+E602+E612+E622+E632+E642+E652+E662+E672+E682+E692+E702+E712+E722+E732+E742+E752+E762+E772+E784+E794+E804+E814+E824+E835+E845+E855+E865+E875+E885+E895+E905+E915+E925+E935+E88+E481+E491</f>
        <v>85395</v>
      </c>
      <c r="F948" s="149">
        <f>SUM(E948/D948)</f>
        <v>1.5991573033707864</v>
      </c>
      <c r="G948" s="744"/>
      <c r="H948" s="11"/>
      <c r="I948" s="11"/>
      <c r="J948" s="11"/>
      <c r="K948" s="11"/>
      <c r="L948" s="11"/>
      <c r="M948" s="11"/>
    </row>
    <row r="949" spans="1:13" ht="12" customHeight="1" x14ac:dyDescent="0.25">
      <c r="A949" s="762"/>
      <c r="B949" s="4" t="s">
        <v>98</v>
      </c>
      <c r="C949" s="51">
        <f t="shared" ref="C949:D950" si="142">C17+C27+C37+C47+C57+C68+C78+C101+C111+C121+C131+C141+C152+C162+C172+C182+C192+C203+C213+C223+C233+C243+C263+C274+C287+C297+C307+C317+C327+C337+C347+C357+C368+C381+C392+C402+C414+C432+C442+C452+C462+C472+C503+C513+C523+C533+C543+C553+C563+C573+C583+C593+C603+C613+C623+C633+C643+C653+C663+C673+C683+C693+C703+C713+C723+C733+C743+C753+C763+C773+C785+C795+C805+C815+C825+C836+C846+C856+C866+C876+C886+C896+C906+C916+C926+C936+C89+C482+C492</f>
        <v>0</v>
      </c>
      <c r="D949" s="51">
        <f t="shared" si="142"/>
        <v>0</v>
      </c>
      <c r="E949" s="1304">
        <f t="shared" ref="E949" si="143">E17+E27+E37+E47+E57+E68+E78+E101+E111+E121+E131+E141+E152+E162+E172+E182+E192+E203+E213+E223+E233+E243+E263+E274+E287+E297+E307+E317+E327+E337+E347+E357+E368+E381+E392+E402+E414+E432+E442+E452+E462+E472+E503+E513+E523+E533+E543+E553+E563+E573+E583+E593+E603+E613+E623+E633+E643+E653+E663+E673+E683+E693+E703+E713+E723+E733+E743+E753+E763+E773+E785+E795+E805+E815+E825+E836+E846+E856+E866+E876+E886+E896+E906+E916+E926+E936+E89+E482+E492</f>
        <v>0</v>
      </c>
      <c r="F949" s="149"/>
      <c r="G949" s="744"/>
      <c r="H949" s="11"/>
      <c r="I949" s="11"/>
      <c r="J949" s="11"/>
      <c r="K949" s="11"/>
      <c r="L949" s="11"/>
      <c r="M949" s="11"/>
    </row>
    <row r="950" spans="1:13" ht="12" customHeight="1" thickBot="1" x14ac:dyDescent="0.3">
      <c r="A950" s="762"/>
      <c r="B950" s="43" t="s">
        <v>112</v>
      </c>
      <c r="C950" s="51">
        <f t="shared" si="142"/>
        <v>1250920</v>
      </c>
      <c r="D950" s="51">
        <f t="shared" si="142"/>
        <v>1250920</v>
      </c>
      <c r="E950" s="1304">
        <f t="shared" ref="E950" si="144">E18+E28+E38+E48+E58+E69+E79+E102+E112+E122+E132+E142+E153+E163+E173+E183+E193+E204+E214+E224+E234+E244+E264+E275+E288+E298+E308+E318+E328+E338+E348+E358+E369+E382+E393+E403+E415+E433+E443+E453+E463+E473+E504+E514+E524+E534+E544+E554+E564+E574+E584+E594+E604+E614+E624+E634+E644+E654+E664+E674+E684+E694+E704+E714+E724+E734+E744+E754+E764+E774+E786+E796+E806+E816+E826+E837+E847+E857+E867+E877+E887+E897+E907+E917+E927+E937+E90+E483+E493</f>
        <v>1260042</v>
      </c>
      <c r="F950" s="149">
        <f>SUM(E950/D950)</f>
        <v>1.0072922329165734</v>
      </c>
      <c r="G950" s="780"/>
      <c r="H950" s="11"/>
      <c r="I950" s="11"/>
      <c r="J950" s="11"/>
      <c r="K950" s="11"/>
      <c r="L950" s="11"/>
      <c r="M950" s="11"/>
    </row>
    <row r="951" spans="1:13" ht="12" customHeight="1" thickBot="1" x14ac:dyDescent="0.3">
      <c r="A951" s="762"/>
      <c r="B951" s="178" t="s">
        <v>19</v>
      </c>
      <c r="C951" s="126">
        <f t="shared" ref="C951" si="145">SUM(C948:C950)</f>
        <v>1304320</v>
      </c>
      <c r="D951" s="126">
        <f t="shared" ref="D951:E951" si="146">SUM(D948:D950)</f>
        <v>1304320</v>
      </c>
      <c r="E951" s="1365">
        <f t="shared" si="146"/>
        <v>1345437</v>
      </c>
      <c r="F951" s="174">
        <f>SUM(E951/D951)</f>
        <v>1.0315237058390578</v>
      </c>
      <c r="G951" s="203"/>
      <c r="H951" s="11"/>
      <c r="I951" s="11"/>
      <c r="J951" s="11"/>
      <c r="K951" s="11"/>
      <c r="L951" s="11"/>
      <c r="M951" s="11"/>
    </row>
    <row r="952" spans="1:13" ht="12.75" customHeight="1" thickBot="1" x14ac:dyDescent="0.3">
      <c r="A952" s="800"/>
      <c r="B952" s="57" t="s">
        <v>100</v>
      </c>
      <c r="C952" s="128">
        <f>SUM(C951+C946)</f>
        <v>7231873</v>
      </c>
      <c r="D952" s="128">
        <f>SUM(D951+D946)</f>
        <v>7064773</v>
      </c>
      <c r="E952" s="1366">
        <f>SUM(E951+E946)</f>
        <v>7738125</v>
      </c>
      <c r="F952" s="174">
        <f>SUM(E952/D952)</f>
        <v>1.0953112010817616</v>
      </c>
      <c r="G952" s="203"/>
      <c r="H952" s="11"/>
      <c r="I952" s="11"/>
      <c r="J952" s="11"/>
      <c r="K952" s="11"/>
      <c r="L952" s="11"/>
      <c r="M952" s="11"/>
    </row>
    <row r="953" spans="1:13" ht="12" x14ac:dyDescent="0.25">
      <c r="H953" s="11"/>
      <c r="I953" s="11"/>
      <c r="J953" s="11"/>
      <c r="K953" s="11"/>
      <c r="L953" s="11"/>
      <c r="M953" s="11"/>
    </row>
    <row r="954" spans="1:13" ht="12" x14ac:dyDescent="0.25">
      <c r="C954" s="601"/>
      <c r="D954" s="601"/>
      <c r="E954" s="601"/>
      <c r="H954" s="11"/>
      <c r="I954" s="11"/>
      <c r="J954" s="11"/>
      <c r="K954" s="11"/>
      <c r="L954" s="11"/>
      <c r="M954" s="11"/>
    </row>
    <row r="955" spans="1:13" x14ac:dyDescent="0.2">
      <c r="I955" s="12"/>
      <c r="J955" s="12"/>
      <c r="K955" s="12"/>
      <c r="L955" s="12"/>
    </row>
    <row r="956" spans="1:13" ht="12" x14ac:dyDescent="0.25">
      <c r="A956" s="23"/>
    </row>
    <row r="957" spans="1:13" ht="12" x14ac:dyDescent="0.25">
      <c r="A957" s="23"/>
    </row>
    <row r="958" spans="1:13" ht="12" x14ac:dyDescent="0.25">
      <c r="A958" s="23"/>
    </row>
    <row r="959" spans="1:13" ht="12" x14ac:dyDescent="0.25">
      <c r="A959" s="23"/>
    </row>
    <row r="960" spans="1:13" ht="12" x14ac:dyDescent="0.25">
      <c r="A960" s="23"/>
    </row>
    <row r="961" spans="1:1" ht="12" x14ac:dyDescent="0.25">
      <c r="A961" s="23"/>
    </row>
    <row r="962" spans="1:1" ht="12" x14ac:dyDescent="0.25">
      <c r="A962" s="23"/>
    </row>
  </sheetData>
  <mergeCells count="6">
    <mergeCell ref="A1:G1"/>
    <mergeCell ref="A2:G2"/>
    <mergeCell ref="F5:F7"/>
    <mergeCell ref="C5:C7"/>
    <mergeCell ref="D5:D7"/>
    <mergeCell ref="E5:E7"/>
  </mergeCells>
  <phoneticPr fontId="0" type="noConversion"/>
  <conditionalFormatting sqref="A1:A1048576">
    <cfRule type="duplicateValues" dxfId="2" priority="1"/>
  </conditionalFormatting>
  <printOptions horizontalCentered="1"/>
  <pageMargins left="0.59055118110236227" right="0" top="0.59055118110236227" bottom="0" header="0.19685039370078741" footer="0"/>
  <pageSetup paperSize="9" firstPageNumber="28" fitToHeight="0" orientation="landscape" useFirstPageNumber="1" r:id="rId1"/>
  <headerFooter alignWithMargins="0">
    <oddFooter>&amp;C&amp;P. oldal</oddFooter>
  </headerFooter>
  <rowBreaks count="22" manualBreakCount="22">
    <brk id="45" max="5" man="1"/>
    <brk id="87" max="5" man="1"/>
    <brk id="130" max="5" man="1"/>
    <brk id="172" max="5" man="1"/>
    <brk id="213" max="5" man="1"/>
    <brk id="255" max="5" man="1"/>
    <brk id="297" max="5" man="1"/>
    <brk id="339" max="5" man="1"/>
    <brk id="380" max="5" man="1"/>
    <brk id="421" max="5" man="1"/>
    <brk id="462" max="5" man="1"/>
    <brk id="522" max="5" man="1"/>
    <brk id="563" max="5" man="1"/>
    <brk id="605" max="5" man="1"/>
    <brk id="647" max="5" man="1"/>
    <brk id="688" max="5" man="1"/>
    <brk id="730" max="5" man="1"/>
    <brk id="772" max="5" man="1"/>
    <brk id="813" max="5" man="1"/>
    <brk id="855" max="5" man="1"/>
    <brk id="894" max="5" man="1"/>
    <brk id="932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zoomScale="90" zoomScaleNormal="90" zoomScaleSheetLayoutView="100" workbookViewId="0">
      <selection activeCell="G15" sqref="G15"/>
    </sheetView>
  </sheetViews>
  <sheetFormatPr defaultColWidth="9.33203125" defaultRowHeight="13.2" customHeight="1" x14ac:dyDescent="0.25"/>
  <cols>
    <col min="1" max="1" width="6.6640625" style="6" customWidth="1"/>
    <col min="2" max="2" width="51" style="6" customWidth="1"/>
    <col min="3" max="3" width="13.33203125" style="7" customWidth="1"/>
    <col min="4" max="5" width="13.6640625" style="7" customWidth="1"/>
    <col min="6" max="6" width="9.44140625" style="7" customWidth="1"/>
    <col min="7" max="7" width="50.109375" style="6" customWidth="1"/>
    <col min="8" max="16384" width="9.33203125" style="6"/>
  </cols>
  <sheetData>
    <row r="1" spans="1:14" ht="13.2" customHeight="1" x14ac:dyDescent="0.25">
      <c r="A1" s="1492" t="s">
        <v>1426</v>
      </c>
      <c r="B1" s="1492"/>
      <c r="C1" s="1492"/>
      <c r="D1" s="1492"/>
      <c r="E1" s="1492"/>
      <c r="F1" s="1492"/>
      <c r="G1" s="1492"/>
    </row>
    <row r="2" spans="1:14" ht="13.2" customHeight="1" x14ac:dyDescent="0.25">
      <c r="A2" s="1495" t="s">
        <v>289</v>
      </c>
      <c r="B2" s="1495"/>
      <c r="C2" s="1495"/>
      <c r="D2" s="1495"/>
      <c r="E2" s="1495"/>
      <c r="F2" s="1495"/>
      <c r="G2" s="1495"/>
    </row>
    <row r="4" spans="1:14" ht="12.6" customHeight="1" thickBot="1" x14ac:dyDescent="0.3">
      <c r="C4" s="30"/>
      <c r="D4" s="30"/>
      <c r="E4" s="30"/>
      <c r="F4" s="30"/>
      <c r="G4" s="65" t="s">
        <v>87</v>
      </c>
    </row>
    <row r="5" spans="1:14" ht="13.2" customHeight="1" x14ac:dyDescent="0.25">
      <c r="A5" s="804"/>
      <c r="B5" s="805"/>
      <c r="C5" s="1472" t="s">
        <v>1431</v>
      </c>
      <c r="D5" s="1472" t="s">
        <v>1437</v>
      </c>
      <c r="E5" s="1478" t="s">
        <v>281</v>
      </c>
      <c r="F5" s="1472" t="s">
        <v>1441</v>
      </c>
      <c r="G5" s="806" t="s">
        <v>181</v>
      </c>
    </row>
    <row r="6" spans="1:14" x14ac:dyDescent="0.25">
      <c r="A6" s="807" t="s">
        <v>114</v>
      </c>
      <c r="B6" s="39" t="s">
        <v>64</v>
      </c>
      <c r="C6" s="1473"/>
      <c r="D6" s="1473"/>
      <c r="E6" s="1479"/>
      <c r="F6" s="1497"/>
      <c r="G6" s="808" t="s">
        <v>65</v>
      </c>
    </row>
    <row r="7" spans="1:14" ht="13.8" thickBot="1" x14ac:dyDescent="0.3">
      <c r="A7" s="809"/>
      <c r="B7" s="24"/>
      <c r="C7" s="1474"/>
      <c r="D7" s="1474"/>
      <c r="E7" s="1480"/>
      <c r="F7" s="1498"/>
      <c r="G7" s="810"/>
    </row>
    <row r="8" spans="1:14" ht="15" customHeight="1" thickBot="1" x14ac:dyDescent="0.3">
      <c r="A8" s="811" t="s">
        <v>77</v>
      </c>
      <c r="B8" s="812" t="s">
        <v>78</v>
      </c>
      <c r="C8" s="813" t="s">
        <v>79</v>
      </c>
      <c r="D8" s="813" t="s">
        <v>191</v>
      </c>
      <c r="E8" s="1374" t="s">
        <v>192</v>
      </c>
      <c r="F8" s="814" t="s">
        <v>197</v>
      </c>
      <c r="G8" s="814" t="s">
        <v>597</v>
      </c>
    </row>
    <row r="9" spans="1:14" ht="12.75" customHeight="1" x14ac:dyDescent="0.25">
      <c r="A9" s="815"/>
      <c r="B9" s="650" t="s">
        <v>105</v>
      </c>
      <c r="C9" s="651"/>
      <c r="D9" s="651"/>
      <c r="E9" s="1375"/>
      <c r="F9" s="651"/>
      <c r="G9" s="816"/>
    </row>
    <row r="10" spans="1:14" ht="12.75" customHeight="1" thickBot="1" x14ac:dyDescent="0.3">
      <c r="A10" s="799">
        <v>3911</v>
      </c>
      <c r="B10" s="17" t="s">
        <v>89</v>
      </c>
      <c r="C10" s="652">
        <v>27000</v>
      </c>
      <c r="D10" s="652">
        <v>27000</v>
      </c>
      <c r="E10" s="1376">
        <f>27000+53</f>
        <v>27053</v>
      </c>
      <c r="F10" s="556">
        <f>SUM(E10/D10)</f>
        <v>1.0019629629629629</v>
      </c>
      <c r="G10" s="817"/>
    </row>
    <row r="11" spans="1:14" ht="12.75" customHeight="1" thickBot="1" x14ac:dyDescent="0.3">
      <c r="A11" s="209">
        <v>3910</v>
      </c>
      <c r="B11" s="18" t="s">
        <v>85</v>
      </c>
      <c r="C11" s="653">
        <f>SUM(C10:C10)</f>
        <v>27000</v>
      </c>
      <c r="D11" s="653">
        <f>SUM(D10:D10)</f>
        <v>27000</v>
      </c>
      <c r="E11" s="1377">
        <f>SUM(E10:E10)</f>
        <v>27053</v>
      </c>
      <c r="F11" s="654">
        <f>SUM(E11/D11)</f>
        <v>1.0019629629629629</v>
      </c>
      <c r="G11" s="818"/>
    </row>
    <row r="12" spans="1:14" s="9" customFormat="1" ht="12.75" customHeight="1" x14ac:dyDescent="0.25">
      <c r="A12" s="755"/>
      <c r="B12" s="19" t="s">
        <v>104</v>
      </c>
      <c r="C12" s="655"/>
      <c r="D12" s="655"/>
      <c r="E12" s="1378"/>
      <c r="F12" s="603"/>
      <c r="G12" s="819"/>
      <c r="H12" s="6"/>
      <c r="I12" s="6"/>
      <c r="J12" s="6"/>
      <c r="K12" s="6"/>
      <c r="L12" s="6"/>
      <c r="M12" s="6"/>
      <c r="N12" s="6"/>
    </row>
    <row r="13" spans="1:14" s="9" customFormat="1" ht="12.75" customHeight="1" x14ac:dyDescent="0.25">
      <c r="A13" s="799">
        <v>3923</v>
      </c>
      <c r="B13" s="17" t="s">
        <v>257</v>
      </c>
      <c r="C13" s="17">
        <v>5000</v>
      </c>
      <c r="D13" s="17">
        <v>5000</v>
      </c>
      <c r="E13" s="1325">
        <v>5000</v>
      </c>
      <c r="F13" s="603">
        <f t="shared" ref="F13:F24" si="0">SUM(E13/D13)</f>
        <v>1</v>
      </c>
      <c r="G13" s="767"/>
      <c r="H13" s="6"/>
      <c r="I13" s="6"/>
      <c r="J13" s="6"/>
      <c r="K13" s="6"/>
      <c r="L13" s="6"/>
      <c r="M13" s="6"/>
      <c r="N13" s="6"/>
    </row>
    <row r="14" spans="1:14" s="9" customFormat="1" ht="12.75" customHeight="1" x14ac:dyDescent="0.25">
      <c r="A14" s="799">
        <v>3924</v>
      </c>
      <c r="B14" s="17" t="s">
        <v>179</v>
      </c>
      <c r="C14" s="657">
        <v>30000</v>
      </c>
      <c r="D14" s="657">
        <v>30000</v>
      </c>
      <c r="E14" s="1379">
        <f>30000+750</f>
        <v>30750</v>
      </c>
      <c r="F14" s="603">
        <f t="shared" si="0"/>
        <v>1.0249999999999999</v>
      </c>
      <c r="G14" s="757"/>
      <c r="H14" s="6"/>
      <c r="I14" s="6"/>
      <c r="J14" s="6"/>
      <c r="K14" s="6"/>
      <c r="L14" s="6"/>
      <c r="M14" s="6"/>
      <c r="N14" s="6"/>
    </row>
    <row r="15" spans="1:14" s="9" customFormat="1" ht="12.75" customHeight="1" x14ac:dyDescent="0.25">
      <c r="A15" s="799">
        <v>3925</v>
      </c>
      <c r="B15" s="17" t="s">
        <v>4</v>
      </c>
      <c r="C15" s="657">
        <v>232410</v>
      </c>
      <c r="D15" s="657">
        <v>232410</v>
      </c>
      <c r="E15" s="1379">
        <v>232410</v>
      </c>
      <c r="F15" s="603">
        <f t="shared" si="0"/>
        <v>1</v>
      </c>
      <c r="G15" s="749" t="s">
        <v>1042</v>
      </c>
      <c r="H15" s="6"/>
      <c r="I15" s="6"/>
      <c r="J15" s="6"/>
      <c r="K15" s="6"/>
      <c r="L15" s="6"/>
      <c r="M15" s="6"/>
      <c r="N15" s="6"/>
    </row>
    <row r="16" spans="1:14" s="9" customFormat="1" ht="12.75" customHeight="1" x14ac:dyDescent="0.25">
      <c r="A16" s="799">
        <v>3926</v>
      </c>
      <c r="B16" s="17" t="s">
        <v>221</v>
      </c>
      <c r="C16" s="657">
        <v>3000</v>
      </c>
      <c r="D16" s="657">
        <v>3000</v>
      </c>
      <c r="E16" s="1379">
        <f>3000+2000</f>
        <v>5000</v>
      </c>
      <c r="F16" s="603">
        <f t="shared" si="0"/>
        <v>1.6666666666666667</v>
      </c>
      <c r="G16" s="793"/>
      <c r="H16" s="6"/>
      <c r="I16" s="6"/>
      <c r="J16" s="6"/>
      <c r="K16" s="6"/>
      <c r="L16" s="6"/>
      <c r="M16" s="6"/>
      <c r="N16" s="6"/>
    </row>
    <row r="17" spans="1:17" s="9" customFormat="1" ht="12.75" customHeight="1" x14ac:dyDescent="0.25">
      <c r="A17" s="799"/>
      <c r="B17" s="46" t="s">
        <v>1447</v>
      </c>
      <c r="C17" s="658"/>
      <c r="D17" s="658"/>
      <c r="E17" s="1380">
        <v>2000</v>
      </c>
      <c r="F17" s="603"/>
      <c r="G17" s="793"/>
      <c r="H17" s="6"/>
      <c r="I17" s="6"/>
      <c r="J17" s="6"/>
      <c r="K17" s="6"/>
      <c r="L17" s="6"/>
      <c r="M17" s="6"/>
      <c r="N17" s="6"/>
    </row>
    <row r="18" spans="1:17" s="9" customFormat="1" ht="12.75" customHeight="1" x14ac:dyDescent="0.25">
      <c r="A18" s="799">
        <v>3927</v>
      </c>
      <c r="B18" s="17" t="s">
        <v>180</v>
      </c>
      <c r="C18" s="657">
        <v>5000</v>
      </c>
      <c r="D18" s="657">
        <v>5000</v>
      </c>
      <c r="E18" s="1379">
        <v>5000</v>
      </c>
      <c r="F18" s="603">
        <f t="shared" si="0"/>
        <v>1</v>
      </c>
      <c r="G18" s="749" t="s">
        <v>1043</v>
      </c>
      <c r="H18" s="6"/>
      <c r="I18" s="6"/>
      <c r="J18" s="6"/>
      <c r="K18" s="6"/>
      <c r="L18" s="6"/>
      <c r="M18" s="6"/>
      <c r="N18" s="6"/>
    </row>
    <row r="19" spans="1:17" s="9" customFormat="1" ht="12.75" customHeight="1" x14ac:dyDescent="0.25">
      <c r="A19" s="799">
        <v>3928</v>
      </c>
      <c r="B19" s="17" t="s">
        <v>71</v>
      </c>
      <c r="C19" s="14">
        <f>C21+C22+C23</f>
        <v>219000</v>
      </c>
      <c r="D19" s="14">
        <f>D21+D22+D23</f>
        <v>219000</v>
      </c>
      <c r="E19" s="1381">
        <f>E21+E22+E23</f>
        <v>419706</v>
      </c>
      <c r="F19" s="603">
        <f t="shared" si="0"/>
        <v>1.9164657534246576</v>
      </c>
      <c r="G19" s="749" t="s">
        <v>1044</v>
      </c>
      <c r="H19" s="6"/>
      <c r="I19" s="6"/>
      <c r="J19" s="6"/>
      <c r="K19" s="6"/>
      <c r="L19" s="6"/>
      <c r="M19" s="6"/>
      <c r="N19" s="6"/>
    </row>
    <row r="20" spans="1:17" s="9" customFormat="1" ht="12.75" customHeight="1" x14ac:dyDescent="0.25">
      <c r="A20" s="799"/>
      <c r="B20" s="46" t="s">
        <v>24</v>
      </c>
      <c r="C20" s="102">
        <f>SUM(C21:C22)</f>
        <v>19000</v>
      </c>
      <c r="D20" s="102">
        <f>SUM(D21:D22)</f>
        <v>19000</v>
      </c>
      <c r="E20" s="1382">
        <f>SUM(E21:E22)</f>
        <v>19000</v>
      </c>
      <c r="F20" s="834">
        <f t="shared" si="0"/>
        <v>1</v>
      </c>
      <c r="G20" s="749"/>
      <c r="H20" s="6"/>
      <c r="I20" s="6"/>
      <c r="J20" s="6"/>
      <c r="K20" s="6"/>
      <c r="L20" s="6"/>
      <c r="M20" s="6"/>
      <c r="N20" s="6"/>
    </row>
    <row r="21" spans="1:17" s="9" customFormat="1" ht="12.75" customHeight="1" x14ac:dyDescent="0.25">
      <c r="A21" s="799"/>
      <c r="B21" s="46" t="s">
        <v>126</v>
      </c>
      <c r="C21" s="658">
        <v>14000</v>
      </c>
      <c r="D21" s="658">
        <v>14000</v>
      </c>
      <c r="E21" s="1383">
        <v>14000</v>
      </c>
      <c r="F21" s="834">
        <f t="shared" si="0"/>
        <v>1</v>
      </c>
      <c r="G21" s="820"/>
      <c r="H21" s="6"/>
      <c r="I21" s="6"/>
      <c r="J21" s="6"/>
      <c r="K21" s="6"/>
      <c r="L21" s="6"/>
      <c r="M21" s="6"/>
      <c r="N21" s="6"/>
    </row>
    <row r="22" spans="1:17" s="9" customFormat="1" ht="12.75" customHeight="1" x14ac:dyDescent="0.25">
      <c r="A22" s="799"/>
      <c r="B22" s="46" t="s">
        <v>167</v>
      </c>
      <c r="C22" s="659">
        <v>5000</v>
      </c>
      <c r="D22" s="659">
        <v>5000</v>
      </c>
      <c r="E22" s="1380">
        <v>5000</v>
      </c>
      <c r="F22" s="834">
        <f t="shared" si="0"/>
        <v>1</v>
      </c>
      <c r="G22" s="821"/>
      <c r="H22" s="6"/>
      <c r="I22" s="6"/>
      <c r="J22" s="6"/>
      <c r="K22" s="6"/>
      <c r="L22" s="6"/>
      <c r="M22" s="6"/>
      <c r="N22" s="6"/>
    </row>
    <row r="23" spans="1:17" s="9" customFormat="1" ht="12.75" customHeight="1" thickBot="1" x14ac:dyDescent="0.3">
      <c r="A23" s="799"/>
      <c r="B23" s="46" t="s">
        <v>149</v>
      </c>
      <c r="C23" s="660">
        <v>200000</v>
      </c>
      <c r="D23" s="660">
        <v>200000</v>
      </c>
      <c r="E23" s="1384">
        <f>200000+200706</f>
        <v>400706</v>
      </c>
      <c r="F23" s="603">
        <f t="shared" si="0"/>
        <v>2.00353</v>
      </c>
      <c r="G23" s="822"/>
      <c r="H23" s="6"/>
      <c r="I23" s="6"/>
      <c r="J23" s="6"/>
      <c r="K23" s="6"/>
      <c r="L23" s="6"/>
      <c r="M23" s="6"/>
      <c r="N23" s="6"/>
    </row>
    <row r="24" spans="1:17" s="9" customFormat="1" ht="12.75" customHeight="1" thickBot="1" x14ac:dyDescent="0.3">
      <c r="A24" s="209">
        <v>3920</v>
      </c>
      <c r="B24" s="18" t="s">
        <v>85</v>
      </c>
      <c r="C24" s="661">
        <f>C13+C14+C15+C16+C18+C19</f>
        <v>494410</v>
      </c>
      <c r="D24" s="661">
        <f>D13+D14+D15+D16+D18+D19</f>
        <v>494410</v>
      </c>
      <c r="E24" s="1385">
        <f>E13+E14+E15+E16+E18+E19</f>
        <v>697866</v>
      </c>
      <c r="F24" s="662">
        <f t="shared" si="0"/>
        <v>1.4115127121215185</v>
      </c>
      <c r="G24" s="663"/>
      <c r="H24" s="6"/>
      <c r="I24" s="6"/>
      <c r="J24" s="6"/>
      <c r="K24" s="6"/>
      <c r="L24" s="6"/>
      <c r="M24" s="6"/>
      <c r="N24" s="6"/>
    </row>
    <row r="25" spans="1:17" s="9" customFormat="1" ht="12.75" customHeight="1" x14ac:dyDescent="0.25">
      <c r="A25" s="755"/>
      <c r="B25" s="19" t="s">
        <v>55</v>
      </c>
      <c r="C25" s="655"/>
      <c r="D25" s="655"/>
      <c r="E25" s="1378"/>
      <c r="F25" s="555"/>
      <c r="G25" s="823"/>
      <c r="H25" s="6"/>
      <c r="I25" s="6"/>
      <c r="J25" s="6"/>
      <c r="K25" s="6"/>
      <c r="L25" s="6"/>
      <c r="M25" s="6"/>
      <c r="N25" s="6"/>
    </row>
    <row r="26" spans="1:17" s="9" customFormat="1" ht="12.75" customHeight="1" x14ac:dyDescent="0.25">
      <c r="A26" s="752">
        <v>3931</v>
      </c>
      <c r="B26" s="38" t="s">
        <v>74</v>
      </c>
      <c r="C26" s="664">
        <v>2000</v>
      </c>
      <c r="D26" s="664">
        <v>2000</v>
      </c>
      <c r="E26" s="1386">
        <f>2000+125</f>
        <v>2125</v>
      </c>
      <c r="F26" s="555">
        <f>SUM(E26/D26)</f>
        <v>1.0625</v>
      </c>
      <c r="G26" s="749" t="s">
        <v>1045</v>
      </c>
      <c r="H26" s="6"/>
      <c r="I26" s="6"/>
      <c r="J26" s="6"/>
      <c r="K26" s="6"/>
      <c r="L26" s="6"/>
      <c r="M26" s="6"/>
      <c r="N26" s="6"/>
    </row>
    <row r="27" spans="1:17" s="9" customFormat="1" ht="12.75" customHeight="1" thickBot="1" x14ac:dyDescent="0.3">
      <c r="A27" s="752">
        <v>3932</v>
      </c>
      <c r="B27" s="38" t="s">
        <v>177</v>
      </c>
      <c r="C27" s="664">
        <v>15000</v>
      </c>
      <c r="D27" s="664">
        <v>15000</v>
      </c>
      <c r="E27" s="1386">
        <v>15000</v>
      </c>
      <c r="F27" s="555">
        <f>SUM(E27/D27)</f>
        <v>1</v>
      </c>
      <c r="G27" s="749" t="s">
        <v>1045</v>
      </c>
      <c r="H27" s="6"/>
      <c r="I27" s="6"/>
      <c r="J27" s="6"/>
      <c r="K27" s="6"/>
      <c r="L27" s="6"/>
      <c r="M27" s="6"/>
      <c r="N27" s="6"/>
    </row>
    <row r="28" spans="1:17" s="9" customFormat="1" ht="12.75" hidden="1" customHeight="1" x14ac:dyDescent="0.25">
      <c r="A28" s="752">
        <v>3934</v>
      </c>
      <c r="B28" s="38" t="s">
        <v>254</v>
      </c>
      <c r="C28" s="664"/>
      <c r="D28" s="664"/>
      <c r="E28" s="1386"/>
      <c r="F28" s="555" t="e">
        <f>SUM(E28/D28)</f>
        <v>#DIV/0!</v>
      </c>
      <c r="G28" s="791"/>
      <c r="H28" s="6"/>
      <c r="I28" s="6"/>
      <c r="J28" s="6"/>
      <c r="K28" s="6"/>
      <c r="L28" s="6"/>
      <c r="M28" s="6"/>
      <c r="N28" s="6"/>
    </row>
    <row r="29" spans="1:17" s="9" customFormat="1" ht="12.75" hidden="1" customHeight="1" thickBot="1" x14ac:dyDescent="0.3">
      <c r="A29" s="768"/>
      <c r="B29" s="38"/>
      <c r="C29" s="664"/>
      <c r="D29" s="664"/>
      <c r="E29" s="1386"/>
      <c r="F29" s="556"/>
      <c r="G29" s="791"/>
      <c r="H29" s="6"/>
      <c r="I29" s="6"/>
      <c r="J29" s="6"/>
      <c r="K29" s="6"/>
      <c r="L29" s="6"/>
      <c r="M29" s="6"/>
      <c r="N29" s="6"/>
    </row>
    <row r="30" spans="1:17" s="9" customFormat="1" ht="12.75" customHeight="1" thickBot="1" x14ac:dyDescent="0.3">
      <c r="A30" s="209">
        <v>3930</v>
      </c>
      <c r="B30" s="18" t="s">
        <v>85</v>
      </c>
      <c r="C30" s="661">
        <f>SUM(C26:C29)</f>
        <v>17000</v>
      </c>
      <c r="D30" s="661">
        <f>SUM(D26:D29)</f>
        <v>17000</v>
      </c>
      <c r="E30" s="1385">
        <f>SUM(E26:E29)</f>
        <v>17125</v>
      </c>
      <c r="F30" s="662">
        <f>SUM(E30/D30)</f>
        <v>1.0073529411764706</v>
      </c>
      <c r="G30" s="663"/>
      <c r="H30" s="6"/>
      <c r="I30" s="6"/>
      <c r="J30" s="6"/>
      <c r="K30" s="6"/>
      <c r="L30" s="6"/>
      <c r="M30" s="6"/>
      <c r="N30" s="6"/>
    </row>
    <row r="31" spans="1:17" ht="12.75" customHeight="1" x14ac:dyDescent="0.25">
      <c r="A31" s="755"/>
      <c r="B31" s="19" t="s">
        <v>15</v>
      </c>
      <c r="C31" s="651"/>
      <c r="D31" s="651"/>
      <c r="E31" s="1375"/>
      <c r="F31" s="555"/>
      <c r="G31" s="824"/>
      <c r="O31" s="9"/>
      <c r="P31" s="9"/>
      <c r="Q31" s="9"/>
    </row>
    <row r="32" spans="1:17" ht="12.75" customHeight="1" x14ac:dyDescent="0.25">
      <c r="A32" s="799">
        <v>3941</v>
      </c>
      <c r="B32" s="17" t="s">
        <v>161</v>
      </c>
      <c r="C32" s="657">
        <v>1245480</v>
      </c>
      <c r="D32" s="657">
        <v>1245480</v>
      </c>
      <c r="E32" s="1379">
        <v>1245480</v>
      </c>
      <c r="F32" s="555">
        <f>SUM(E32/D32)</f>
        <v>1</v>
      </c>
      <c r="G32" s="749" t="s">
        <v>1046</v>
      </c>
      <c r="O32" s="9"/>
      <c r="P32" s="9"/>
      <c r="Q32" s="9"/>
    </row>
    <row r="33" spans="1:17" ht="12.75" customHeight="1" x14ac:dyDescent="0.25">
      <c r="A33" s="799">
        <v>3943</v>
      </c>
      <c r="B33" s="17" t="s">
        <v>0</v>
      </c>
      <c r="C33" s="14">
        <f>SUM(C34:C36)</f>
        <v>1000</v>
      </c>
      <c r="D33" s="14">
        <f>SUM(D34:D36)</f>
        <v>1000</v>
      </c>
      <c r="E33" s="1381">
        <f>SUM(E34:E36)</f>
        <v>1000</v>
      </c>
      <c r="F33" s="555">
        <f>SUM(E33/D33)</f>
        <v>1</v>
      </c>
      <c r="G33" s="749" t="s">
        <v>1047</v>
      </c>
      <c r="O33" s="9"/>
      <c r="P33" s="9"/>
      <c r="Q33" s="9"/>
    </row>
    <row r="34" spans="1:17" ht="12.75" customHeight="1" x14ac:dyDescent="0.25">
      <c r="A34" s="799"/>
      <c r="B34" s="46" t="s">
        <v>150</v>
      </c>
      <c r="C34" s="659">
        <v>442</v>
      </c>
      <c r="D34" s="659">
        <v>442</v>
      </c>
      <c r="E34" s="1380">
        <v>442</v>
      </c>
      <c r="F34" s="555"/>
      <c r="G34" s="791"/>
      <c r="O34" s="9"/>
      <c r="P34" s="9"/>
      <c r="Q34" s="9"/>
    </row>
    <row r="35" spans="1:17" ht="12.75" customHeight="1" x14ac:dyDescent="0.25">
      <c r="A35" s="799"/>
      <c r="B35" s="46" t="s">
        <v>151</v>
      </c>
      <c r="C35" s="659">
        <v>58</v>
      </c>
      <c r="D35" s="659">
        <v>58</v>
      </c>
      <c r="E35" s="1380">
        <v>58</v>
      </c>
      <c r="F35" s="555"/>
      <c r="G35" s="791"/>
      <c r="O35" s="9"/>
      <c r="P35" s="9"/>
      <c r="Q35" s="9"/>
    </row>
    <row r="36" spans="1:17" ht="12.75" customHeight="1" thickBot="1" x14ac:dyDescent="0.3">
      <c r="A36" s="799"/>
      <c r="B36" s="46" t="s">
        <v>149</v>
      </c>
      <c r="C36" s="659">
        <v>500</v>
      </c>
      <c r="D36" s="659">
        <v>500</v>
      </c>
      <c r="E36" s="1380">
        <v>500</v>
      </c>
      <c r="F36" s="556"/>
      <c r="G36" s="791"/>
    </row>
    <row r="37" spans="1:17" s="9" customFormat="1" ht="12.75" customHeight="1" thickBot="1" x14ac:dyDescent="0.3">
      <c r="A37" s="209">
        <v>3940</v>
      </c>
      <c r="B37" s="18" t="s">
        <v>84</v>
      </c>
      <c r="C37" s="661">
        <f t="shared" ref="C37:D37" si="1">SUM(C32:C33)</f>
        <v>1246480</v>
      </c>
      <c r="D37" s="661">
        <f t="shared" si="1"/>
        <v>1246480</v>
      </c>
      <c r="E37" s="1385">
        <f t="shared" ref="E37" si="2">SUM(E32:E33)</f>
        <v>1246480</v>
      </c>
      <c r="F37" s="662">
        <f>SUM(E37/D37)</f>
        <v>1</v>
      </c>
      <c r="G37" s="665"/>
      <c r="H37" s="6"/>
      <c r="I37" s="6"/>
      <c r="J37" s="6"/>
      <c r="K37" s="6"/>
      <c r="L37" s="6"/>
      <c r="M37" s="6"/>
      <c r="N37" s="6"/>
    </row>
    <row r="38" spans="1:17" s="9" customFormat="1" ht="12.75" customHeight="1" x14ac:dyDescent="0.25">
      <c r="A38" s="825"/>
      <c r="B38" s="666" t="s">
        <v>14</v>
      </c>
      <c r="C38" s="667"/>
      <c r="D38" s="667"/>
      <c r="E38" s="1387"/>
      <c r="F38" s="555"/>
      <c r="G38" s="826"/>
      <c r="H38" s="6"/>
      <c r="I38" s="6"/>
      <c r="J38" s="6"/>
      <c r="K38" s="6"/>
      <c r="L38" s="6"/>
      <c r="M38" s="6"/>
      <c r="N38" s="6"/>
    </row>
    <row r="39" spans="1:17" s="9" customFormat="1" ht="12.75" customHeight="1" x14ac:dyDescent="0.25">
      <c r="A39" s="790">
        <v>3961</v>
      </c>
      <c r="B39" s="37" t="s">
        <v>152</v>
      </c>
      <c r="C39" s="668">
        <v>0</v>
      </c>
      <c r="D39" s="668">
        <v>0</v>
      </c>
      <c r="E39" s="1388">
        <v>313826</v>
      </c>
      <c r="F39" s="555"/>
      <c r="G39" s="827"/>
      <c r="H39" s="6"/>
      <c r="I39" s="6"/>
      <c r="J39" s="6"/>
      <c r="K39" s="6"/>
      <c r="L39" s="6"/>
      <c r="M39" s="6"/>
      <c r="N39" s="6"/>
    </row>
    <row r="40" spans="1:17" s="9" customFormat="1" ht="12.75" customHeight="1" x14ac:dyDescent="0.25">
      <c r="A40" s="790">
        <v>3972</v>
      </c>
      <c r="B40" s="37" t="s">
        <v>207</v>
      </c>
      <c r="C40" s="668">
        <v>50000</v>
      </c>
      <c r="D40" s="668">
        <v>50000</v>
      </c>
      <c r="E40" s="1388">
        <f>E42+E43</f>
        <v>53259</v>
      </c>
      <c r="F40" s="555">
        <f>SUM(E40/D40)</f>
        <v>1.06518</v>
      </c>
      <c r="G40" s="749" t="s">
        <v>1048</v>
      </c>
      <c r="H40" s="6"/>
      <c r="I40" s="6"/>
      <c r="J40" s="6"/>
      <c r="K40" s="6"/>
      <c r="L40" s="6"/>
      <c r="M40" s="6"/>
      <c r="N40" s="6"/>
    </row>
    <row r="41" spans="1:17" s="9" customFormat="1" ht="12.75" customHeight="1" x14ac:dyDescent="0.25">
      <c r="A41" s="790"/>
      <c r="B41" s="46" t="s">
        <v>126</v>
      </c>
      <c r="C41" s="668"/>
      <c r="D41" s="668"/>
      <c r="E41" s="1388"/>
      <c r="F41" s="555"/>
      <c r="G41" s="828"/>
      <c r="H41" s="6"/>
      <c r="I41" s="6"/>
      <c r="J41" s="6"/>
      <c r="K41" s="6"/>
      <c r="L41" s="6"/>
      <c r="M41" s="6"/>
      <c r="N41" s="6"/>
    </row>
    <row r="42" spans="1:17" s="9" customFormat="1" ht="12.75" customHeight="1" x14ac:dyDescent="0.25">
      <c r="A42" s="790"/>
      <c r="B42" s="102" t="s">
        <v>33</v>
      </c>
      <c r="C42" s="668">
        <v>48000</v>
      </c>
      <c r="D42" s="668">
        <v>48000</v>
      </c>
      <c r="E42" s="1388">
        <f>48000+3259</f>
        <v>51259</v>
      </c>
      <c r="F42" s="555"/>
      <c r="G42" s="828"/>
      <c r="H42" s="6"/>
      <c r="I42" s="6"/>
      <c r="J42" s="6"/>
      <c r="K42" s="6"/>
      <c r="L42" s="6"/>
      <c r="M42" s="6"/>
      <c r="N42" s="6"/>
    </row>
    <row r="43" spans="1:17" s="9" customFormat="1" ht="12.75" customHeight="1" x14ac:dyDescent="0.25">
      <c r="A43" s="790"/>
      <c r="B43" s="669" t="s">
        <v>271</v>
      </c>
      <c r="C43" s="668">
        <v>2000</v>
      </c>
      <c r="D43" s="668">
        <v>2000</v>
      </c>
      <c r="E43" s="1388">
        <v>2000</v>
      </c>
      <c r="F43" s="555"/>
      <c r="G43" s="828"/>
      <c r="H43" s="6"/>
      <c r="I43" s="6"/>
      <c r="J43" s="6"/>
      <c r="K43" s="6"/>
      <c r="L43" s="6"/>
      <c r="M43" s="6"/>
      <c r="N43" s="6"/>
    </row>
    <row r="44" spans="1:17" s="9" customFormat="1" ht="12.75" customHeight="1" x14ac:dyDescent="0.25">
      <c r="A44" s="790">
        <v>3973</v>
      </c>
      <c r="B44" s="37" t="s">
        <v>212</v>
      </c>
      <c r="C44" s="668">
        <f>C45+C46+C47</f>
        <v>12391</v>
      </c>
      <c r="D44" s="668">
        <f>D45+D46+D47</f>
        <v>12391</v>
      </c>
      <c r="E44" s="1388">
        <f>E45+E46+E47</f>
        <v>13908</v>
      </c>
      <c r="F44" s="555">
        <f>SUM(E44/D44)</f>
        <v>1.1224275683964167</v>
      </c>
      <c r="G44" s="829"/>
      <c r="H44" s="6"/>
      <c r="I44" s="6"/>
      <c r="J44" s="6"/>
      <c r="K44" s="6"/>
      <c r="L44" s="6"/>
      <c r="M44" s="6"/>
      <c r="N44" s="6"/>
    </row>
    <row r="45" spans="1:17" s="9" customFormat="1" ht="12.75" customHeight="1" x14ac:dyDescent="0.25">
      <c r="A45" s="790"/>
      <c r="B45" s="46" t="s">
        <v>150</v>
      </c>
      <c r="C45" s="659">
        <v>10202</v>
      </c>
      <c r="D45" s="659">
        <v>10202</v>
      </c>
      <c r="E45" s="1380">
        <f>10202+1235</f>
        <v>11437</v>
      </c>
      <c r="F45" s="555">
        <f>SUM(E45/D45)</f>
        <v>1.1210546951578122</v>
      </c>
      <c r="G45" s="829"/>
      <c r="H45" s="6"/>
      <c r="I45" s="6"/>
      <c r="J45" s="6"/>
      <c r="K45" s="6"/>
      <c r="L45" s="6"/>
      <c r="M45" s="6"/>
      <c r="N45" s="6"/>
    </row>
    <row r="46" spans="1:17" s="9" customFormat="1" ht="12.75" customHeight="1" x14ac:dyDescent="0.25">
      <c r="A46" s="790"/>
      <c r="B46" s="46" t="s">
        <v>151</v>
      </c>
      <c r="C46" s="659">
        <v>1946</v>
      </c>
      <c r="D46" s="659">
        <v>1946</v>
      </c>
      <c r="E46" s="1380">
        <f>1946+282</f>
        <v>2228</v>
      </c>
      <c r="F46" s="555">
        <f>SUM(E46/D46)</f>
        <v>1.1449126413155191</v>
      </c>
      <c r="G46" s="829"/>
      <c r="H46" s="6"/>
      <c r="I46" s="6"/>
      <c r="J46" s="6"/>
      <c r="K46" s="6"/>
      <c r="L46" s="6"/>
      <c r="M46" s="6"/>
      <c r="N46" s="6"/>
    </row>
    <row r="47" spans="1:17" s="9" customFormat="1" ht="12.75" customHeight="1" x14ac:dyDescent="0.25">
      <c r="A47" s="790"/>
      <c r="B47" s="46" t="s">
        <v>126</v>
      </c>
      <c r="C47" s="659">
        <v>243</v>
      </c>
      <c r="D47" s="659">
        <v>243</v>
      </c>
      <c r="E47" s="1380">
        <v>243</v>
      </c>
      <c r="F47" s="555"/>
      <c r="G47" s="829"/>
      <c r="H47" s="6"/>
      <c r="I47" s="6"/>
      <c r="J47" s="6"/>
      <c r="K47" s="6"/>
      <c r="L47" s="6"/>
      <c r="M47" s="6"/>
      <c r="N47" s="6"/>
    </row>
    <row r="48" spans="1:17" s="9" customFormat="1" ht="12.75" customHeight="1" x14ac:dyDescent="0.25">
      <c r="A48" s="790">
        <v>3974</v>
      </c>
      <c r="B48" s="37" t="s">
        <v>637</v>
      </c>
      <c r="C48" s="668">
        <v>5100</v>
      </c>
      <c r="D48" s="668">
        <v>5100</v>
      </c>
      <c r="E48" s="1388">
        <v>5100</v>
      </c>
      <c r="F48" s="555">
        <f>SUM(E48/D48)</f>
        <v>1</v>
      </c>
      <c r="G48" s="829"/>
      <c r="H48" s="6"/>
      <c r="I48" s="6"/>
      <c r="J48" s="6"/>
      <c r="K48" s="6"/>
      <c r="L48" s="6"/>
      <c r="M48" s="6"/>
      <c r="N48" s="6"/>
    </row>
    <row r="49" spans="1:14" s="9" customFormat="1" ht="12.75" customHeight="1" thickBot="1" x14ac:dyDescent="0.3">
      <c r="A49" s="790">
        <v>3975</v>
      </c>
      <c r="B49" s="37" t="s">
        <v>222</v>
      </c>
      <c r="C49" s="668">
        <v>15000</v>
      </c>
      <c r="D49" s="668">
        <v>15000</v>
      </c>
      <c r="E49" s="1388">
        <v>15000</v>
      </c>
      <c r="F49" s="556">
        <f>SUM(E49/D49)</f>
        <v>1</v>
      </c>
      <c r="G49" s="828"/>
      <c r="H49" s="6"/>
      <c r="I49" s="6"/>
      <c r="J49" s="6"/>
      <c r="K49" s="6"/>
      <c r="L49" s="6"/>
      <c r="M49" s="6"/>
      <c r="N49" s="6"/>
    </row>
    <row r="50" spans="1:14" s="9" customFormat="1" ht="12.75" customHeight="1" thickBot="1" x14ac:dyDescent="0.3">
      <c r="A50" s="648">
        <v>3970</v>
      </c>
      <c r="B50" s="47" t="s">
        <v>70</v>
      </c>
      <c r="C50" s="179">
        <f>C39+C40+C44+C49+C48</f>
        <v>82491</v>
      </c>
      <c r="D50" s="179">
        <f>D39+D40+D44+D49+D48</f>
        <v>82491</v>
      </c>
      <c r="E50" s="1389">
        <f>E39+E40+E44+E49+E48</f>
        <v>401093</v>
      </c>
      <c r="F50" s="662">
        <f>SUM(E50/D50)</f>
        <v>4.8622637621073812</v>
      </c>
      <c r="G50" s="665"/>
      <c r="H50" s="6"/>
      <c r="I50" s="6"/>
      <c r="J50" s="6"/>
      <c r="K50" s="6"/>
      <c r="L50" s="6"/>
      <c r="M50" s="6"/>
      <c r="N50" s="6"/>
    </row>
    <row r="51" spans="1:14" s="9" customFormat="1" ht="12.75" customHeight="1" x14ac:dyDescent="0.25">
      <c r="A51" s="830"/>
      <c r="B51" s="670" t="s">
        <v>103</v>
      </c>
      <c r="C51" s="667"/>
      <c r="D51" s="667"/>
      <c r="E51" s="1387"/>
      <c r="F51" s="555"/>
      <c r="G51" s="823"/>
      <c r="H51" s="6"/>
      <c r="I51" s="6"/>
      <c r="J51" s="6"/>
      <c r="K51" s="6"/>
      <c r="L51" s="6"/>
      <c r="M51" s="6"/>
      <c r="N51" s="6"/>
    </row>
    <row r="52" spans="1:14" s="9" customFormat="1" ht="12.75" customHeight="1" x14ac:dyDescent="0.25">
      <c r="A52" s="790">
        <v>3989</v>
      </c>
      <c r="B52" s="37" t="s">
        <v>134</v>
      </c>
      <c r="C52" s="40">
        <v>6000</v>
      </c>
      <c r="D52" s="40">
        <v>6000</v>
      </c>
      <c r="E52" s="1390">
        <v>6000</v>
      </c>
      <c r="F52" s="555">
        <f t="shared" ref="F52:F59" si="3">SUM(E52/D52)</f>
        <v>1</v>
      </c>
      <c r="G52" s="749" t="s">
        <v>1049</v>
      </c>
      <c r="H52" s="6"/>
      <c r="I52" s="6"/>
      <c r="J52" s="6"/>
      <c r="K52" s="6"/>
      <c r="L52" s="6"/>
      <c r="M52" s="6"/>
      <c r="N52" s="6"/>
    </row>
    <row r="53" spans="1:14" s="9" customFormat="1" ht="12.75" customHeight="1" x14ac:dyDescent="0.25">
      <c r="A53" s="790">
        <v>3987</v>
      </c>
      <c r="B53" s="38" t="s">
        <v>272</v>
      </c>
      <c r="C53" s="40">
        <v>900</v>
      </c>
      <c r="D53" s="40">
        <v>900</v>
      </c>
      <c r="E53" s="1390">
        <v>900</v>
      </c>
      <c r="F53" s="555">
        <f t="shared" si="3"/>
        <v>1</v>
      </c>
      <c r="G53" s="828"/>
      <c r="H53" s="6"/>
      <c r="I53" s="6"/>
      <c r="J53" s="6"/>
      <c r="K53" s="6"/>
      <c r="L53" s="6"/>
      <c r="M53" s="6"/>
      <c r="N53" s="6"/>
    </row>
    <row r="54" spans="1:14" s="9" customFormat="1" ht="12.75" customHeight="1" x14ac:dyDescent="0.25">
      <c r="A54" s="790">
        <v>3988</v>
      </c>
      <c r="B54" s="38" t="s">
        <v>273</v>
      </c>
      <c r="C54" s="40">
        <v>900</v>
      </c>
      <c r="D54" s="40">
        <v>900</v>
      </c>
      <c r="E54" s="1390">
        <v>900</v>
      </c>
      <c r="F54" s="555">
        <f t="shared" si="3"/>
        <v>1</v>
      </c>
      <c r="G54" s="828"/>
      <c r="H54" s="6"/>
      <c r="I54" s="6"/>
      <c r="J54" s="6"/>
      <c r="K54" s="6"/>
      <c r="L54" s="6"/>
      <c r="M54" s="6"/>
      <c r="N54" s="6"/>
    </row>
    <row r="55" spans="1:14" s="9" customFormat="1" ht="12.75" customHeight="1" x14ac:dyDescent="0.25">
      <c r="A55" s="752">
        <v>3990</v>
      </c>
      <c r="B55" s="38" t="s">
        <v>127</v>
      </c>
      <c r="C55" s="49">
        <v>1000</v>
      </c>
      <c r="D55" s="49">
        <v>1000</v>
      </c>
      <c r="E55" s="1254">
        <v>1000</v>
      </c>
      <c r="F55" s="555">
        <f t="shared" si="3"/>
        <v>1</v>
      </c>
      <c r="G55" s="831"/>
      <c r="H55" s="6"/>
      <c r="I55" s="6"/>
      <c r="J55" s="6"/>
      <c r="K55" s="6"/>
      <c r="L55" s="6"/>
      <c r="M55" s="6"/>
      <c r="N55" s="6"/>
    </row>
    <row r="56" spans="1:14" s="9" customFormat="1" ht="12.75" customHeight="1" x14ac:dyDescent="0.25">
      <c r="A56" s="752">
        <v>3991</v>
      </c>
      <c r="B56" s="38" t="s">
        <v>131</v>
      </c>
      <c r="C56" s="49">
        <v>4820</v>
      </c>
      <c r="D56" s="49">
        <v>4820</v>
      </c>
      <c r="E56" s="1254">
        <v>4820</v>
      </c>
      <c r="F56" s="555">
        <f t="shared" si="3"/>
        <v>1</v>
      </c>
      <c r="G56" s="831"/>
      <c r="H56" s="6"/>
      <c r="I56" s="6"/>
      <c r="J56" s="6"/>
      <c r="K56" s="6"/>
      <c r="L56" s="6"/>
      <c r="M56" s="6"/>
      <c r="N56" s="6"/>
    </row>
    <row r="57" spans="1:14" s="9" customFormat="1" ht="12.75" customHeight="1" x14ac:dyDescent="0.25">
      <c r="A57" s="752">
        <v>3992</v>
      </c>
      <c r="B57" s="38" t="s">
        <v>128</v>
      </c>
      <c r="C57" s="49">
        <v>1400</v>
      </c>
      <c r="D57" s="49">
        <v>1400</v>
      </c>
      <c r="E57" s="1254">
        <v>1400</v>
      </c>
      <c r="F57" s="555">
        <f t="shared" si="3"/>
        <v>1</v>
      </c>
      <c r="G57" s="831"/>
      <c r="H57" s="6"/>
      <c r="I57" s="6"/>
      <c r="J57" s="6"/>
      <c r="K57" s="6"/>
      <c r="L57" s="6"/>
      <c r="M57" s="6"/>
      <c r="N57" s="6"/>
    </row>
    <row r="58" spans="1:14" s="9" customFormat="1" ht="12.75" customHeight="1" x14ac:dyDescent="0.25">
      <c r="A58" s="752">
        <v>3993</v>
      </c>
      <c r="B58" s="38" t="s">
        <v>129</v>
      </c>
      <c r="C58" s="49">
        <v>900</v>
      </c>
      <c r="D58" s="49">
        <v>900</v>
      </c>
      <c r="E58" s="1254">
        <v>900</v>
      </c>
      <c r="F58" s="555">
        <f t="shared" si="3"/>
        <v>1</v>
      </c>
      <c r="G58" s="831"/>
      <c r="H58" s="6"/>
      <c r="I58" s="6"/>
      <c r="J58" s="6"/>
      <c r="K58" s="6"/>
      <c r="L58" s="6"/>
      <c r="M58" s="6"/>
      <c r="N58" s="6"/>
    </row>
    <row r="59" spans="1:14" s="9" customFormat="1" ht="12.75" customHeight="1" x14ac:dyDescent="0.25">
      <c r="A59" s="752">
        <v>3994</v>
      </c>
      <c r="B59" s="38" t="s">
        <v>34</v>
      </c>
      <c r="C59" s="49">
        <v>900</v>
      </c>
      <c r="D59" s="49">
        <v>900</v>
      </c>
      <c r="E59" s="1254">
        <v>900</v>
      </c>
      <c r="F59" s="555">
        <f t="shared" si="3"/>
        <v>1</v>
      </c>
      <c r="G59" s="832"/>
      <c r="H59" s="6"/>
      <c r="I59" s="6"/>
      <c r="J59" s="6"/>
      <c r="K59" s="6"/>
      <c r="L59" s="6"/>
      <c r="M59" s="6"/>
      <c r="N59" s="6"/>
    </row>
    <row r="60" spans="1:14" s="9" customFormat="1" ht="12.75" customHeight="1" x14ac:dyDescent="0.25">
      <c r="A60" s="29">
        <v>3995</v>
      </c>
      <c r="B60" s="38" t="s">
        <v>35</v>
      </c>
      <c r="C60" s="49"/>
      <c r="D60" s="49"/>
      <c r="E60" s="1254"/>
      <c r="F60" s="555"/>
      <c r="G60" s="832"/>
      <c r="H60" s="6"/>
      <c r="I60" s="6"/>
      <c r="J60" s="6"/>
      <c r="K60" s="6"/>
      <c r="L60" s="6"/>
      <c r="M60" s="6"/>
      <c r="N60" s="6"/>
    </row>
    <row r="61" spans="1:14" s="9" customFormat="1" ht="12.75" customHeight="1" x14ac:dyDescent="0.25">
      <c r="A61" s="752">
        <v>3997</v>
      </c>
      <c r="B61" s="38" t="s">
        <v>36</v>
      </c>
      <c r="C61" s="49">
        <v>900</v>
      </c>
      <c r="D61" s="49">
        <v>900</v>
      </c>
      <c r="E61" s="1254">
        <v>900</v>
      </c>
      <c r="F61" s="555">
        <f t="shared" ref="F61:F74" si="4">SUM(E61/D61)</f>
        <v>1</v>
      </c>
      <c r="G61" s="831"/>
      <c r="H61" s="6"/>
      <c r="I61" s="6"/>
      <c r="J61" s="6"/>
      <c r="K61" s="6"/>
      <c r="L61" s="6"/>
      <c r="M61" s="6"/>
      <c r="N61" s="6"/>
    </row>
    <row r="62" spans="1:14" s="9" customFormat="1" ht="12.75" customHeight="1" x14ac:dyDescent="0.25">
      <c r="A62" s="752">
        <v>3998</v>
      </c>
      <c r="B62" s="38" t="s">
        <v>37</v>
      </c>
      <c r="C62" s="49">
        <v>900</v>
      </c>
      <c r="D62" s="49">
        <v>900</v>
      </c>
      <c r="E62" s="1254">
        <v>900</v>
      </c>
      <c r="F62" s="555">
        <f t="shared" si="4"/>
        <v>1</v>
      </c>
      <c r="G62" s="831"/>
      <c r="H62" s="6"/>
      <c r="I62" s="6"/>
      <c r="J62" s="6"/>
      <c r="K62" s="6"/>
      <c r="L62" s="6"/>
      <c r="M62" s="6"/>
      <c r="N62" s="6"/>
    </row>
    <row r="63" spans="1:14" s="9" customFormat="1" ht="12.75" customHeight="1" thickBot="1" x14ac:dyDescent="0.3">
      <c r="A63" s="833">
        <v>3999</v>
      </c>
      <c r="B63" s="38" t="s">
        <v>38</v>
      </c>
      <c r="C63" s="49">
        <v>1000</v>
      </c>
      <c r="D63" s="49">
        <v>1000</v>
      </c>
      <c r="E63" s="1254">
        <v>1000</v>
      </c>
      <c r="F63" s="556">
        <f t="shared" si="4"/>
        <v>1</v>
      </c>
      <c r="G63" s="831"/>
      <c r="H63" s="6"/>
      <c r="I63" s="6"/>
      <c r="J63" s="6"/>
      <c r="K63" s="6"/>
      <c r="L63" s="6"/>
      <c r="M63" s="6"/>
      <c r="N63" s="6"/>
    </row>
    <row r="64" spans="1:14" s="9" customFormat="1" ht="12.75" customHeight="1" thickBot="1" x14ac:dyDescent="0.3">
      <c r="A64" s="209"/>
      <c r="B64" s="18" t="s">
        <v>70</v>
      </c>
      <c r="C64" s="661">
        <f>SUM(C52:C63)</f>
        <v>19620</v>
      </c>
      <c r="D64" s="661">
        <f>SUM(D52:D63)</f>
        <v>19620</v>
      </c>
      <c r="E64" s="1385">
        <f>SUM(E52:E63)</f>
        <v>19620</v>
      </c>
      <c r="F64" s="662">
        <f t="shared" si="4"/>
        <v>1</v>
      </c>
      <c r="G64" s="665"/>
      <c r="H64" s="6"/>
      <c r="I64" s="6"/>
      <c r="J64" s="6"/>
      <c r="K64" s="6"/>
      <c r="L64" s="6"/>
      <c r="M64" s="6"/>
      <c r="N64" s="6"/>
    </row>
    <row r="65" spans="1:14" s="9" customFormat="1" ht="12.75" customHeight="1" thickBot="1" x14ac:dyDescent="0.3">
      <c r="A65" s="209">
        <v>3900</v>
      </c>
      <c r="B65" s="18" t="s">
        <v>66</v>
      </c>
      <c r="C65" s="653">
        <f>C37+C24+C11+C30+C50+C64</f>
        <v>1887001</v>
      </c>
      <c r="D65" s="653">
        <f>D37+D24+D11+D30+D50+D64</f>
        <v>1887001</v>
      </c>
      <c r="E65" s="1377">
        <f>E37+E24+E11+E30+E50+E64</f>
        <v>2409237</v>
      </c>
      <c r="F65" s="654">
        <f t="shared" si="4"/>
        <v>1.2767544903261843</v>
      </c>
      <c r="G65" s="665"/>
      <c r="H65" s="6"/>
      <c r="I65" s="6"/>
      <c r="J65" s="6"/>
      <c r="K65" s="6"/>
      <c r="L65" s="6"/>
      <c r="M65" s="6"/>
      <c r="N65" s="6"/>
    </row>
    <row r="66" spans="1:14" s="9" customFormat="1" ht="12.75" customHeight="1" x14ac:dyDescent="0.25">
      <c r="A66" s="740"/>
      <c r="B66" s="37" t="s">
        <v>81</v>
      </c>
      <c r="C66" s="49">
        <f t="shared" ref="C66:E67" si="5">SUM(C34)+C45</f>
        <v>10644</v>
      </c>
      <c r="D66" s="49">
        <f t="shared" si="5"/>
        <v>10644</v>
      </c>
      <c r="E66" s="1254">
        <f t="shared" si="5"/>
        <v>11879</v>
      </c>
      <c r="F66" s="555">
        <f t="shared" si="4"/>
        <v>1.1160278090943254</v>
      </c>
      <c r="G66" s="756"/>
      <c r="H66" s="6"/>
      <c r="I66" s="6"/>
      <c r="J66" s="6"/>
      <c r="K66" s="6"/>
      <c r="L66" s="6"/>
      <c r="M66" s="6"/>
      <c r="N66" s="6"/>
    </row>
    <row r="67" spans="1:14" s="9" customFormat="1" ht="12.75" customHeight="1" x14ac:dyDescent="0.25">
      <c r="A67" s="740"/>
      <c r="B67" s="14" t="s">
        <v>41</v>
      </c>
      <c r="C67" s="49">
        <f t="shared" si="5"/>
        <v>2004</v>
      </c>
      <c r="D67" s="49">
        <f t="shared" si="5"/>
        <v>2004</v>
      </c>
      <c r="E67" s="1254">
        <f t="shared" si="5"/>
        <v>2286</v>
      </c>
      <c r="F67" s="555">
        <f t="shared" si="4"/>
        <v>1.1407185628742516</v>
      </c>
      <c r="G67" s="756"/>
      <c r="H67" s="6"/>
      <c r="I67" s="6"/>
      <c r="J67" s="6"/>
      <c r="K67" s="6"/>
      <c r="L67" s="6"/>
      <c r="M67" s="6"/>
      <c r="N67" s="6"/>
    </row>
    <row r="68" spans="1:14" s="9" customFormat="1" ht="12.75" customHeight="1" x14ac:dyDescent="0.25">
      <c r="A68" s="740"/>
      <c r="B68" s="37" t="s">
        <v>124</v>
      </c>
      <c r="C68" s="49">
        <f>SUM(C21)+C41+C47</f>
        <v>14243</v>
      </c>
      <c r="D68" s="49">
        <f>SUM(D21)+D41+D47</f>
        <v>14243</v>
      </c>
      <c r="E68" s="1254">
        <f>SUM(E21)+E41+E47</f>
        <v>14243</v>
      </c>
      <c r="F68" s="555">
        <f t="shared" si="4"/>
        <v>1</v>
      </c>
      <c r="G68" s="756"/>
      <c r="H68" s="6"/>
      <c r="I68" s="6"/>
      <c r="J68" s="6"/>
      <c r="K68" s="6"/>
      <c r="L68" s="6"/>
      <c r="M68" s="6"/>
      <c r="N68" s="6"/>
    </row>
    <row r="69" spans="1:14" s="9" customFormat="1" ht="12.75" customHeight="1" x14ac:dyDescent="0.25">
      <c r="A69" s="762"/>
      <c r="B69" s="14" t="s">
        <v>122</v>
      </c>
      <c r="C69" s="14">
        <f>SUM(C11+C24+C30+C37+C50+C64)-C73-C66-C67-C68-C72</f>
        <v>1617610</v>
      </c>
      <c r="D69" s="14">
        <f>SUM(D11+D24+D30+D37+D50+D64)-D73-D66-D67-D68-D72</f>
        <v>1617610</v>
      </c>
      <c r="E69" s="1381">
        <f>SUM(E11+E24+E30+E37+E50+E64)-E73-E66-E67-E68-E72</f>
        <v>1937570</v>
      </c>
      <c r="F69" s="555">
        <f t="shared" si="4"/>
        <v>1.1977979859174956</v>
      </c>
      <c r="G69" s="756"/>
      <c r="H69" s="6"/>
      <c r="I69" s="6"/>
      <c r="J69" s="6"/>
      <c r="K69" s="6"/>
      <c r="L69" s="6"/>
      <c r="M69" s="6"/>
      <c r="N69" s="6"/>
    </row>
    <row r="70" spans="1:14" s="9" customFormat="1" ht="12.75" customHeight="1" x14ac:dyDescent="0.25">
      <c r="A70" s="762"/>
      <c r="B70" s="102" t="s">
        <v>188</v>
      </c>
      <c r="C70" s="102">
        <f>C14+C16+C26+C27+C64</f>
        <v>69620</v>
      </c>
      <c r="D70" s="102">
        <f>D14+D16+D26+D27+D64</f>
        <v>69620</v>
      </c>
      <c r="E70" s="1382">
        <f>E14+E16+E26+E27+E64+2000</f>
        <v>74495</v>
      </c>
      <c r="F70" s="555">
        <f t="shared" si="4"/>
        <v>1.0700229819017524</v>
      </c>
      <c r="G70" s="756"/>
      <c r="H70" s="6"/>
      <c r="I70" s="6"/>
      <c r="J70" s="6"/>
      <c r="K70" s="6"/>
      <c r="L70" s="6"/>
      <c r="M70" s="6"/>
      <c r="N70" s="6"/>
    </row>
    <row r="71" spans="1:14" s="9" customFormat="1" ht="12.75" customHeight="1" x14ac:dyDescent="0.25">
      <c r="A71" s="762"/>
      <c r="B71" s="102" t="s">
        <v>189</v>
      </c>
      <c r="C71" s="102">
        <f>C69-C70</f>
        <v>1547990</v>
      </c>
      <c r="D71" s="102">
        <f>D69-D70</f>
        <v>1547990</v>
      </c>
      <c r="E71" s="1382">
        <f>E69-E70</f>
        <v>1863075</v>
      </c>
      <c r="F71" s="555">
        <f t="shared" si="4"/>
        <v>1.2035445965413214</v>
      </c>
      <c r="G71" s="756"/>
      <c r="H71" s="6"/>
      <c r="I71" s="6"/>
      <c r="J71" s="6"/>
      <c r="K71" s="6"/>
      <c r="L71" s="6"/>
      <c r="M71" s="6"/>
      <c r="N71" s="6"/>
    </row>
    <row r="72" spans="1:14" s="9" customFormat="1" ht="12.75" customHeight="1" x14ac:dyDescent="0.25">
      <c r="A72" s="762"/>
      <c r="B72" s="14" t="s">
        <v>2</v>
      </c>
      <c r="C72" s="14">
        <f>SUM(C22)</f>
        <v>5000</v>
      </c>
      <c r="D72" s="14">
        <f>SUM(D22)</f>
        <v>5000</v>
      </c>
      <c r="E72" s="1381">
        <f>SUM(E22)</f>
        <v>5000</v>
      </c>
      <c r="F72" s="555">
        <f t="shared" si="4"/>
        <v>1</v>
      </c>
      <c r="G72" s="756"/>
      <c r="H72" s="6"/>
      <c r="I72" s="6"/>
      <c r="J72" s="6"/>
      <c r="K72" s="6"/>
      <c r="L72" s="6"/>
      <c r="M72" s="6"/>
      <c r="N72" s="6"/>
    </row>
    <row r="73" spans="1:14" s="9" customFormat="1" ht="12.75" customHeight="1" thickBot="1" x14ac:dyDescent="0.3">
      <c r="A73" s="762"/>
      <c r="B73" s="40" t="s">
        <v>187</v>
      </c>
      <c r="C73" s="14">
        <f>SUM(C10+C23+C36+C16+C18)+C43</f>
        <v>237500</v>
      </c>
      <c r="D73" s="14">
        <f>SUM(D10+D23+D36+D16+D18)+D43</f>
        <v>237500</v>
      </c>
      <c r="E73" s="1381">
        <f>SUM(E10+E23+E36+E16+E18)+E43-2000</f>
        <v>438259</v>
      </c>
      <c r="F73" s="556">
        <f t="shared" si="4"/>
        <v>1.845301052631579</v>
      </c>
      <c r="G73" s="756"/>
      <c r="H73" s="6"/>
      <c r="I73" s="6"/>
      <c r="J73" s="6"/>
      <c r="K73" s="6"/>
      <c r="L73" s="6"/>
      <c r="M73" s="6"/>
      <c r="N73" s="6"/>
    </row>
    <row r="74" spans="1:14" s="9" customFormat="1" ht="22.2" customHeight="1" thickBot="1" x14ac:dyDescent="0.3">
      <c r="A74" s="931"/>
      <c r="B74" s="932" t="s">
        <v>163</v>
      </c>
      <c r="C74" s="933">
        <f>SUM(C11+C24+C30+C37+C50+C64)</f>
        <v>1887001</v>
      </c>
      <c r="D74" s="933">
        <f>SUM(D11+D24+D30+D37+D50+D64)</f>
        <v>1887001</v>
      </c>
      <c r="E74" s="1391">
        <f>SUM(E11+E24+E30+E37+E50+E64)</f>
        <v>2409237</v>
      </c>
      <c r="F74" s="934">
        <f t="shared" si="4"/>
        <v>1.2767544903261843</v>
      </c>
      <c r="G74" s="665"/>
      <c r="H74" s="6"/>
      <c r="I74" s="6"/>
      <c r="J74" s="6"/>
      <c r="K74" s="6"/>
      <c r="L74" s="6"/>
      <c r="M74" s="6"/>
      <c r="N74" s="6"/>
    </row>
    <row r="75" spans="1:14" ht="13.2" customHeight="1" x14ac:dyDescent="0.25">
      <c r="A75" s="20"/>
      <c r="B75" s="16"/>
      <c r="C75" s="12"/>
      <c r="D75" s="12"/>
      <c r="E75" s="12"/>
      <c r="F75" s="12"/>
      <c r="G75" s="16"/>
    </row>
    <row r="76" spans="1:14" ht="13.2" customHeight="1" x14ac:dyDescent="0.25">
      <c r="A76" s="25"/>
    </row>
  </sheetData>
  <mergeCells count="6">
    <mergeCell ref="A1:G1"/>
    <mergeCell ref="A2:G2"/>
    <mergeCell ref="F5:F7"/>
    <mergeCell ref="C5:C7"/>
    <mergeCell ref="D5:D7"/>
    <mergeCell ref="E5:E7"/>
  </mergeCells>
  <phoneticPr fontId="0" type="noConversion"/>
  <conditionalFormatting sqref="A1">
    <cfRule type="duplicateValues" dxfId="1" priority="1"/>
  </conditionalFormatting>
  <conditionalFormatting sqref="A4:A1048576 A2">
    <cfRule type="duplicateValues" dxfId="0" priority="5"/>
  </conditionalFormatting>
  <printOptions horizontalCentered="1"/>
  <pageMargins left="0" right="0" top="0.39370078740157483" bottom="0.39370078740157483" header="0.59055118110236227" footer="0"/>
  <pageSetup paperSize="9" scale="93" firstPageNumber="51" fitToHeight="0" orientation="landscape" useFirstPageNumber="1" horizontalDpi="300" verticalDpi="300" r:id="rId1"/>
  <headerFooter alignWithMargins="0">
    <oddFooter>&amp;P. oldal</oddFooter>
  </headerFooter>
  <rowBreaks count="1" manualBreakCount="1">
    <brk id="4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0"/>
  <sheetViews>
    <sheetView zoomScaleNormal="100" zoomScaleSheetLayoutView="100" workbookViewId="0">
      <selection activeCell="G29" sqref="G29"/>
    </sheetView>
  </sheetViews>
  <sheetFormatPr defaultColWidth="9.33203125" defaultRowHeight="13.2" customHeight="1" x14ac:dyDescent="0.2"/>
  <cols>
    <col min="1" max="1" width="5.6640625" style="20" customWidth="1"/>
    <col min="2" max="2" width="52" style="16" customWidth="1"/>
    <col min="3" max="3" width="10.33203125" style="116" customWidth="1"/>
    <col min="4" max="4" width="10.88671875" style="116" customWidth="1"/>
    <col min="5" max="5" width="10" style="116" customWidth="1"/>
    <col min="6" max="6" width="9.5546875" style="116" customWidth="1"/>
    <col min="7" max="7" width="43.88671875" style="16" customWidth="1"/>
    <col min="8" max="9" width="9.33203125" style="16"/>
    <col min="10" max="10" width="11.33203125" style="16" customWidth="1"/>
    <col min="11" max="16384" width="9.33203125" style="16"/>
  </cols>
  <sheetData>
    <row r="1" spans="1:7" s="11" customFormat="1" ht="13.2" customHeight="1" x14ac:dyDescent="0.25">
      <c r="A1" s="1495" t="s">
        <v>1408</v>
      </c>
      <c r="B1" s="1496"/>
      <c r="C1" s="1496"/>
      <c r="D1" s="1496"/>
      <c r="E1" s="1496"/>
      <c r="F1" s="1496"/>
      <c r="G1" s="1496"/>
    </row>
    <row r="2" spans="1:7" s="11" customFormat="1" ht="13.2" customHeight="1" x14ac:dyDescent="0.25">
      <c r="A2" s="1495" t="s">
        <v>290</v>
      </c>
      <c r="B2" s="1496"/>
      <c r="C2" s="1496"/>
      <c r="D2" s="1496"/>
      <c r="E2" s="1496"/>
      <c r="F2" s="1496"/>
      <c r="G2" s="1496"/>
    </row>
    <row r="3" spans="1:7" ht="10.5" customHeight="1" thickBot="1" x14ac:dyDescent="0.3">
      <c r="C3" s="64"/>
      <c r="D3" s="64"/>
      <c r="E3" s="64"/>
      <c r="F3" s="64"/>
      <c r="G3" s="65" t="s">
        <v>87</v>
      </c>
    </row>
    <row r="4" spans="1:7" ht="13.2" customHeight="1" x14ac:dyDescent="0.25">
      <c r="A4" s="738"/>
      <c r="B4" s="656"/>
      <c r="C4" s="1472" t="s">
        <v>1431</v>
      </c>
      <c r="D4" s="1472" t="s">
        <v>1437</v>
      </c>
      <c r="E4" s="1478" t="s">
        <v>281</v>
      </c>
      <c r="F4" s="1472" t="s">
        <v>1438</v>
      </c>
      <c r="G4" s="739"/>
    </row>
    <row r="5" spans="1:7" ht="12" customHeight="1" x14ac:dyDescent="0.25">
      <c r="A5" s="740" t="s">
        <v>114</v>
      </c>
      <c r="B5" s="67" t="s">
        <v>64</v>
      </c>
      <c r="C5" s="1473"/>
      <c r="D5" s="1473"/>
      <c r="E5" s="1479"/>
      <c r="F5" s="1499"/>
      <c r="G5" s="741" t="s">
        <v>196</v>
      </c>
    </row>
    <row r="6" spans="1:7" ht="12.75" customHeight="1" thickBot="1" x14ac:dyDescent="0.3">
      <c r="A6" s="802"/>
      <c r="B6" s="803"/>
      <c r="C6" s="1474"/>
      <c r="D6" s="1474"/>
      <c r="E6" s="1480"/>
      <c r="F6" s="1500"/>
      <c r="G6" s="782" t="s">
        <v>65</v>
      </c>
    </row>
    <row r="7" spans="1:7" ht="13.2" customHeight="1" thickBot="1" x14ac:dyDescent="0.3">
      <c r="A7" s="800" t="s">
        <v>77</v>
      </c>
      <c r="B7" s="53" t="s">
        <v>78</v>
      </c>
      <c r="C7" s="801" t="s">
        <v>79</v>
      </c>
      <c r="D7" s="801" t="s">
        <v>191</v>
      </c>
      <c r="E7" s="1392" t="s">
        <v>192</v>
      </c>
      <c r="F7" s="783" t="s">
        <v>197</v>
      </c>
      <c r="G7" s="783" t="s">
        <v>597</v>
      </c>
    </row>
    <row r="8" spans="1:7" ht="16.5" customHeight="1" x14ac:dyDescent="0.25">
      <c r="A8" s="778"/>
      <c r="B8" s="779" t="s">
        <v>109</v>
      </c>
      <c r="C8" s="1"/>
      <c r="D8" s="1"/>
      <c r="E8" s="1393"/>
      <c r="F8" s="1"/>
      <c r="G8" s="765"/>
    </row>
    <row r="9" spans="1:7" ht="12" x14ac:dyDescent="0.25">
      <c r="A9" s="740"/>
      <c r="B9" s="604" t="s">
        <v>101</v>
      </c>
      <c r="C9" s="113"/>
      <c r="D9" s="113"/>
      <c r="E9" s="1394"/>
      <c r="F9" s="605"/>
      <c r="G9" s="746"/>
    </row>
    <row r="10" spans="1:7" ht="11.4" x14ac:dyDescent="0.2">
      <c r="A10" s="747">
        <v>4010</v>
      </c>
      <c r="B10" s="86" t="s">
        <v>268</v>
      </c>
      <c r="C10" s="111"/>
      <c r="D10" s="111"/>
      <c r="E10" s="1395"/>
      <c r="F10" s="123"/>
      <c r="G10" s="748"/>
    </row>
    <row r="11" spans="1:7" ht="11.4" x14ac:dyDescent="0.2">
      <c r="A11" s="747">
        <v>4012</v>
      </c>
      <c r="B11" s="86" t="s">
        <v>166</v>
      </c>
      <c r="C11" s="111">
        <v>230000</v>
      </c>
      <c r="D11" s="111">
        <v>230000</v>
      </c>
      <c r="E11" s="1348">
        <v>230000</v>
      </c>
      <c r="F11" s="213">
        <f>SUM(E11/D11)</f>
        <v>1</v>
      </c>
      <c r="G11" s="749" t="s">
        <v>1043</v>
      </c>
    </row>
    <row r="12" spans="1:7" ht="11.4" x14ac:dyDescent="0.2">
      <c r="A12" s="747">
        <v>4014</v>
      </c>
      <c r="B12" s="86" t="s">
        <v>165</v>
      </c>
      <c r="C12" s="111">
        <v>197932</v>
      </c>
      <c r="D12" s="111">
        <v>197932</v>
      </c>
      <c r="E12" s="1348">
        <v>197932</v>
      </c>
      <c r="F12" s="213">
        <f>SUM(E12/D12)</f>
        <v>1</v>
      </c>
      <c r="G12" s="749" t="s">
        <v>1064</v>
      </c>
    </row>
    <row r="13" spans="1:7" ht="12" x14ac:dyDescent="0.25">
      <c r="A13" s="747">
        <v>4015</v>
      </c>
      <c r="B13" s="86" t="s">
        <v>988</v>
      </c>
      <c r="C13" s="123"/>
      <c r="D13" s="123"/>
      <c r="E13" s="1395"/>
      <c r="F13" s="213"/>
      <c r="G13" s="750"/>
    </row>
    <row r="14" spans="1:7" ht="12" x14ac:dyDescent="0.25">
      <c r="A14" s="747">
        <v>4016</v>
      </c>
      <c r="B14" s="86" t="s">
        <v>263</v>
      </c>
      <c r="C14" s="123">
        <v>10000</v>
      </c>
      <c r="D14" s="123">
        <v>10000</v>
      </c>
      <c r="E14" s="1395">
        <v>10000</v>
      </c>
      <c r="F14" s="213">
        <f>SUM(E14/D14)</f>
        <v>1</v>
      </c>
      <c r="G14" s="750"/>
    </row>
    <row r="15" spans="1:7" ht="12" x14ac:dyDescent="0.25">
      <c r="A15" s="747">
        <v>4018</v>
      </c>
      <c r="B15" s="86" t="s">
        <v>199</v>
      </c>
      <c r="C15" s="123">
        <v>300000</v>
      </c>
      <c r="D15" s="123">
        <v>300000</v>
      </c>
      <c r="E15" s="1395">
        <v>300000</v>
      </c>
      <c r="F15" s="213">
        <f>SUM(E15/D15)</f>
        <v>1</v>
      </c>
      <c r="G15" s="750"/>
    </row>
    <row r="16" spans="1:7" ht="12" x14ac:dyDescent="0.25">
      <c r="A16" s="747">
        <v>4019</v>
      </c>
      <c r="B16" s="86" t="s">
        <v>186</v>
      </c>
      <c r="C16" s="123">
        <v>120000</v>
      </c>
      <c r="D16" s="123">
        <v>120000</v>
      </c>
      <c r="E16" s="1395">
        <v>120000</v>
      </c>
      <c r="F16" s="213">
        <f>SUM(E16/D16)</f>
        <v>1</v>
      </c>
      <c r="G16" s="750"/>
    </row>
    <row r="17" spans="1:13" ht="11.4" x14ac:dyDescent="0.2">
      <c r="A17" s="747">
        <v>4021</v>
      </c>
      <c r="B17" s="86" t="s">
        <v>216</v>
      </c>
      <c r="C17" s="123">
        <v>204732</v>
      </c>
      <c r="D17" s="123">
        <v>204732</v>
      </c>
      <c r="E17" s="1395">
        <v>204732</v>
      </c>
      <c r="F17" s="213">
        <f>SUM(E17/D17)</f>
        <v>1</v>
      </c>
      <c r="G17" s="751"/>
    </row>
    <row r="18" spans="1:13" ht="12" x14ac:dyDescent="0.25">
      <c r="A18" s="752"/>
      <c r="B18" s="46" t="s">
        <v>126</v>
      </c>
      <c r="C18" s="123"/>
      <c r="D18" s="123"/>
      <c r="E18" s="1395"/>
      <c r="F18" s="213"/>
      <c r="G18" s="753"/>
    </row>
    <row r="19" spans="1:13" ht="12" x14ac:dyDescent="0.25">
      <c r="A19" s="752"/>
      <c r="B19" s="46" t="s">
        <v>93</v>
      </c>
      <c r="C19" s="123"/>
      <c r="D19" s="123"/>
      <c r="E19" s="1395"/>
      <c r="F19" s="213"/>
      <c r="G19" s="753"/>
    </row>
    <row r="20" spans="1:13" ht="12" x14ac:dyDescent="0.25">
      <c r="A20" s="752"/>
      <c r="B20" s="46" t="s">
        <v>168</v>
      </c>
      <c r="C20" s="123"/>
      <c r="D20" s="123"/>
      <c r="E20" s="1395"/>
      <c r="F20" s="213"/>
      <c r="G20" s="753"/>
    </row>
    <row r="21" spans="1:13" ht="11.4" x14ac:dyDescent="0.2">
      <c r="A21" s="752">
        <v>4022</v>
      </c>
      <c r="B21" s="73" t="s">
        <v>253</v>
      </c>
      <c r="C21" s="123">
        <v>20000</v>
      </c>
      <c r="D21" s="123">
        <v>20000</v>
      </c>
      <c r="E21" s="1395">
        <v>20000</v>
      </c>
      <c r="F21" s="213">
        <f>SUM(E21/D21)</f>
        <v>1</v>
      </c>
      <c r="G21" s="754"/>
    </row>
    <row r="22" spans="1:13" ht="12.6" thickBot="1" x14ac:dyDescent="0.3">
      <c r="A22" s="752">
        <v>4023</v>
      </c>
      <c r="B22" s="73" t="s">
        <v>577</v>
      </c>
      <c r="C22" s="123">
        <v>17000</v>
      </c>
      <c r="D22" s="123">
        <v>17000</v>
      </c>
      <c r="E22" s="1395">
        <v>17000</v>
      </c>
      <c r="F22" s="213">
        <f>SUM(E22/D22)</f>
        <v>1</v>
      </c>
      <c r="G22" s="750"/>
    </row>
    <row r="23" spans="1:13" s="11" customFormat="1" ht="12.6" thickBot="1" x14ac:dyDescent="0.3">
      <c r="A23" s="209">
        <v>4010</v>
      </c>
      <c r="B23" s="18" t="s">
        <v>102</v>
      </c>
      <c r="C23" s="211">
        <f>SUM(C11:C22)</f>
        <v>1099664</v>
      </c>
      <c r="D23" s="211">
        <f>SUM(D11:D22)</f>
        <v>1099664</v>
      </c>
      <c r="E23" s="211">
        <f>SUM(E11:E22)</f>
        <v>1099664</v>
      </c>
      <c r="F23" s="199">
        <f>SUM(E23/D23)</f>
        <v>1</v>
      </c>
      <c r="G23" s="212"/>
      <c r="H23" s="16"/>
      <c r="I23" s="16"/>
      <c r="J23" s="16"/>
      <c r="K23" s="16"/>
      <c r="L23" s="16"/>
    </row>
    <row r="24" spans="1:13" s="11" customFormat="1" x14ac:dyDescent="0.25">
      <c r="A24" s="755"/>
      <c r="B24" s="72" t="s">
        <v>106</v>
      </c>
      <c r="C24" s="117"/>
      <c r="D24" s="117"/>
      <c r="E24" s="1178"/>
      <c r="F24" s="50"/>
      <c r="G24" s="756"/>
      <c r="H24" s="16"/>
      <c r="I24" s="16"/>
      <c r="J24" s="16"/>
      <c r="K24" s="16"/>
      <c r="L24" s="16"/>
    </row>
    <row r="25" spans="1:13" s="11" customFormat="1" ht="12" x14ac:dyDescent="0.25">
      <c r="A25" s="752">
        <v>4114</v>
      </c>
      <c r="B25" s="73" t="s">
        <v>241</v>
      </c>
      <c r="C25" s="49">
        <v>144000</v>
      </c>
      <c r="D25" s="49">
        <v>144000</v>
      </c>
      <c r="E25" s="1254">
        <v>144000</v>
      </c>
      <c r="F25" s="50">
        <f>SUM(E25/D25)</f>
        <v>1</v>
      </c>
      <c r="G25" s="751"/>
      <c r="H25" s="16"/>
      <c r="I25" s="16"/>
      <c r="J25" s="16"/>
      <c r="K25" s="16"/>
      <c r="L25" s="16"/>
    </row>
    <row r="26" spans="1:13" ht="12" x14ac:dyDescent="0.25">
      <c r="A26" s="752">
        <v>4121</v>
      </c>
      <c r="B26" s="73" t="s">
        <v>572</v>
      </c>
      <c r="C26" s="108">
        <v>179884</v>
      </c>
      <c r="D26" s="108">
        <v>179884</v>
      </c>
      <c r="E26" s="1305">
        <v>179884</v>
      </c>
      <c r="F26" s="50">
        <f>SUM(E26/D26)</f>
        <v>1</v>
      </c>
      <c r="G26" s="749" t="s">
        <v>1065</v>
      </c>
      <c r="M26" s="11"/>
    </row>
    <row r="27" spans="1:13" ht="12" x14ac:dyDescent="0.25">
      <c r="A27" s="752"/>
      <c r="B27" s="73" t="s">
        <v>126</v>
      </c>
      <c r="C27" s="108"/>
      <c r="D27" s="108"/>
      <c r="E27" s="1305"/>
      <c r="F27" s="50"/>
      <c r="G27" s="757"/>
      <c r="M27" s="11"/>
    </row>
    <row r="28" spans="1:13" ht="12" x14ac:dyDescent="0.25">
      <c r="A28" s="752"/>
      <c r="B28" s="73" t="s">
        <v>93</v>
      </c>
      <c r="C28" s="108"/>
      <c r="D28" s="108"/>
      <c r="E28" s="1305"/>
      <c r="F28" s="50"/>
      <c r="G28" s="757"/>
      <c r="M28" s="11"/>
    </row>
    <row r="29" spans="1:13" ht="12" x14ac:dyDescent="0.25">
      <c r="A29" s="752"/>
      <c r="B29" s="73" t="s">
        <v>168</v>
      </c>
      <c r="C29" s="108"/>
      <c r="D29" s="108"/>
      <c r="E29" s="1305"/>
      <c r="F29" s="50"/>
      <c r="G29" s="757"/>
      <c r="M29" s="11"/>
    </row>
    <row r="30" spans="1:13" ht="12" x14ac:dyDescent="0.25">
      <c r="A30" s="752">
        <v>4126</v>
      </c>
      <c r="B30" s="73" t="s">
        <v>208</v>
      </c>
      <c r="C30" s="40">
        <v>252175</v>
      </c>
      <c r="D30" s="40">
        <v>252175</v>
      </c>
      <c r="E30" s="1390">
        <v>252175</v>
      </c>
      <c r="F30" s="50">
        <f>SUM(E30/D30)</f>
        <v>1</v>
      </c>
      <c r="G30" s="758"/>
      <c r="M30" s="11"/>
    </row>
    <row r="31" spans="1:13" ht="12" x14ac:dyDescent="0.25">
      <c r="A31" s="752"/>
      <c r="B31" s="73" t="s">
        <v>126</v>
      </c>
      <c r="C31" s="40"/>
      <c r="D31" s="40"/>
      <c r="E31" s="1390"/>
      <c r="F31" s="50"/>
      <c r="G31" s="753"/>
      <c r="M31" s="11"/>
    </row>
    <row r="32" spans="1:13" ht="12" x14ac:dyDescent="0.25">
      <c r="A32" s="752"/>
      <c r="B32" s="73" t="s">
        <v>168</v>
      </c>
      <c r="C32" s="40"/>
      <c r="D32" s="40"/>
      <c r="E32" s="1390"/>
      <c r="F32" s="50"/>
      <c r="G32" s="753"/>
      <c r="M32" s="11"/>
    </row>
    <row r="33" spans="1:13" ht="12" x14ac:dyDescent="0.25">
      <c r="A33" s="759">
        <v>4153</v>
      </c>
      <c r="B33" s="38" t="s">
        <v>250</v>
      </c>
      <c r="C33" s="40">
        <v>25000</v>
      </c>
      <c r="D33" s="40">
        <v>25000</v>
      </c>
      <c r="E33" s="1390">
        <v>25000</v>
      </c>
      <c r="F33" s="50">
        <f t="shared" ref="F33:F39" si="0">SUM(E33/D33)</f>
        <v>1</v>
      </c>
      <c r="G33" s="751"/>
      <c r="M33" s="11"/>
    </row>
    <row r="34" spans="1:13" ht="12" x14ac:dyDescent="0.25">
      <c r="A34" s="759">
        <v>4154</v>
      </c>
      <c r="B34" s="545" t="s">
        <v>251</v>
      </c>
      <c r="C34" s="40">
        <v>462527</v>
      </c>
      <c r="D34" s="40">
        <v>462527</v>
      </c>
      <c r="E34" s="1390">
        <v>462527</v>
      </c>
      <c r="F34" s="50">
        <f t="shared" si="0"/>
        <v>1</v>
      </c>
      <c r="G34" s="750"/>
      <c r="M34" s="11"/>
    </row>
    <row r="35" spans="1:13" ht="12" x14ac:dyDescent="0.25">
      <c r="A35" s="759">
        <v>4155</v>
      </c>
      <c r="B35" s="38" t="s">
        <v>252</v>
      </c>
      <c r="C35" s="40">
        <v>30451</v>
      </c>
      <c r="D35" s="40">
        <v>30451</v>
      </c>
      <c r="E35" s="1390">
        <v>30451</v>
      </c>
      <c r="F35" s="50">
        <f t="shared" si="0"/>
        <v>1</v>
      </c>
      <c r="G35" s="750"/>
      <c r="M35" s="11"/>
    </row>
    <row r="36" spans="1:13" ht="12" x14ac:dyDescent="0.25">
      <c r="A36" s="752">
        <v>4156</v>
      </c>
      <c r="B36" s="38" t="s">
        <v>573</v>
      </c>
      <c r="C36" s="111">
        <v>188000</v>
      </c>
      <c r="D36" s="111">
        <v>188000</v>
      </c>
      <c r="E36" s="1348">
        <v>188000</v>
      </c>
      <c r="F36" s="50">
        <f t="shared" si="0"/>
        <v>1</v>
      </c>
      <c r="G36" s="757"/>
      <c r="M36" s="11"/>
    </row>
    <row r="37" spans="1:13" ht="12" x14ac:dyDescent="0.25">
      <c r="A37" s="759">
        <v>4158</v>
      </c>
      <c r="B37" s="38" t="s">
        <v>262</v>
      </c>
      <c r="C37" s="40">
        <v>2071</v>
      </c>
      <c r="D37" s="40">
        <v>2071</v>
      </c>
      <c r="E37" s="1390">
        <v>2071</v>
      </c>
      <c r="F37" s="50">
        <f t="shared" si="0"/>
        <v>1</v>
      </c>
      <c r="G37" s="750"/>
      <c r="M37" s="11"/>
    </row>
    <row r="38" spans="1:13" ht="12" x14ac:dyDescent="0.25">
      <c r="A38" s="759">
        <v>4159</v>
      </c>
      <c r="B38" s="38" t="s">
        <v>266</v>
      </c>
      <c r="C38" s="40">
        <v>492222</v>
      </c>
      <c r="D38" s="40">
        <v>492222</v>
      </c>
      <c r="E38" s="1390">
        <v>492222</v>
      </c>
      <c r="F38" s="50">
        <f t="shared" si="0"/>
        <v>1</v>
      </c>
      <c r="G38" s="751"/>
      <c r="M38" s="11"/>
    </row>
    <row r="39" spans="1:13" ht="12" x14ac:dyDescent="0.25">
      <c r="A39" s="759">
        <v>4160</v>
      </c>
      <c r="B39" s="38" t="s">
        <v>267</v>
      </c>
      <c r="C39" s="40">
        <v>1950655</v>
      </c>
      <c r="D39" s="40">
        <v>1950655</v>
      </c>
      <c r="E39" s="1390">
        <f>1950655+100000</f>
        <v>2050655</v>
      </c>
      <c r="F39" s="50">
        <f t="shared" si="0"/>
        <v>1.0512648315565798</v>
      </c>
      <c r="G39" s="750"/>
      <c r="M39" s="11"/>
    </row>
    <row r="40" spans="1:13" ht="12" x14ac:dyDescent="0.25">
      <c r="A40" s="759">
        <v>4161</v>
      </c>
      <c r="B40" s="38" t="s">
        <v>889</v>
      </c>
      <c r="C40" s="40"/>
      <c r="D40" s="40"/>
      <c r="E40" s="1390"/>
      <c r="F40" s="50"/>
      <c r="G40" s="750"/>
      <c r="M40" s="11"/>
    </row>
    <row r="41" spans="1:13" ht="12" x14ac:dyDescent="0.25">
      <c r="A41" s="759">
        <v>4162</v>
      </c>
      <c r="B41" s="38" t="s">
        <v>291</v>
      </c>
      <c r="C41" s="40">
        <v>67056</v>
      </c>
      <c r="D41" s="40">
        <v>67056</v>
      </c>
      <c r="E41" s="1390">
        <v>67056</v>
      </c>
      <c r="F41" s="50">
        <f t="shared" ref="F41:F48" si="1">SUM(E41/D41)</f>
        <v>1</v>
      </c>
      <c r="G41" s="750"/>
      <c r="M41" s="11"/>
    </row>
    <row r="42" spans="1:13" ht="12" x14ac:dyDescent="0.25">
      <c r="A42" s="759">
        <v>4163</v>
      </c>
      <c r="B42" s="38" t="s">
        <v>292</v>
      </c>
      <c r="C42" s="40">
        <v>80000</v>
      </c>
      <c r="D42" s="40">
        <v>80000</v>
      </c>
      <c r="E42" s="1390">
        <v>80000</v>
      </c>
      <c r="F42" s="50">
        <f t="shared" si="1"/>
        <v>1</v>
      </c>
      <c r="G42" s="750"/>
      <c r="M42" s="11"/>
    </row>
    <row r="43" spans="1:13" ht="11.4" x14ac:dyDescent="0.2">
      <c r="A43" s="759">
        <v>4164</v>
      </c>
      <c r="B43" s="38" t="s">
        <v>293</v>
      </c>
      <c r="C43" s="40">
        <v>2165386</v>
      </c>
      <c r="D43" s="40">
        <v>2165386</v>
      </c>
      <c r="E43" s="1390">
        <v>2165386</v>
      </c>
      <c r="F43" s="50">
        <f t="shared" si="1"/>
        <v>1</v>
      </c>
      <c r="G43" s="760"/>
    </row>
    <row r="44" spans="1:13" ht="12" x14ac:dyDescent="0.25">
      <c r="A44" s="759">
        <v>4165</v>
      </c>
      <c r="B44" s="38" t="s">
        <v>299</v>
      </c>
      <c r="C44" s="40">
        <v>1000000</v>
      </c>
      <c r="D44" s="40">
        <v>1000000</v>
      </c>
      <c r="E44" s="1390">
        <f>1000000+296208+6780</f>
        <v>1302988</v>
      </c>
      <c r="F44" s="50">
        <f t="shared" si="1"/>
        <v>1.302988</v>
      </c>
      <c r="G44" s="761"/>
    </row>
    <row r="45" spans="1:13" ht="12" x14ac:dyDescent="0.25">
      <c r="A45" s="752">
        <v>4166</v>
      </c>
      <c r="B45" s="38" t="s">
        <v>574</v>
      </c>
      <c r="C45" s="111">
        <v>30000</v>
      </c>
      <c r="D45" s="111">
        <v>30000</v>
      </c>
      <c r="E45" s="1348">
        <v>30000</v>
      </c>
      <c r="F45" s="50">
        <f t="shared" si="1"/>
        <v>1</v>
      </c>
      <c r="G45" s="761"/>
    </row>
    <row r="46" spans="1:13" ht="12" thickBot="1" x14ac:dyDescent="0.25">
      <c r="A46" s="752">
        <v>4167</v>
      </c>
      <c r="B46" s="38" t="s">
        <v>638</v>
      </c>
      <c r="C46" s="111">
        <v>120000</v>
      </c>
      <c r="D46" s="111">
        <v>120000</v>
      </c>
      <c r="E46" s="1348">
        <v>120000</v>
      </c>
      <c r="F46" s="50">
        <f t="shared" si="1"/>
        <v>1</v>
      </c>
      <c r="G46" s="757"/>
    </row>
    <row r="47" spans="1:13" ht="12.6" thickBot="1" x14ac:dyDescent="0.3">
      <c r="A47" s="217"/>
      <c r="B47" s="62" t="s">
        <v>67</v>
      </c>
      <c r="C47" s="126">
        <f>SUM(C25:C46)</f>
        <v>7189427</v>
      </c>
      <c r="D47" s="126">
        <f>SUM(D25:D46)</f>
        <v>7189427</v>
      </c>
      <c r="E47" s="1365">
        <f>SUM(E25:E46)</f>
        <v>7592415</v>
      </c>
      <c r="F47" s="199">
        <f t="shared" si="1"/>
        <v>1.056052867634653</v>
      </c>
      <c r="G47" s="218"/>
    </row>
    <row r="48" spans="1:13" ht="11.4" x14ac:dyDescent="0.2">
      <c r="A48" s="762">
        <v>4131</v>
      </c>
      <c r="B48" s="17" t="s">
        <v>118</v>
      </c>
      <c r="C48" s="49">
        <v>24278</v>
      </c>
      <c r="D48" s="49">
        <v>24278</v>
      </c>
      <c r="E48" s="1254">
        <v>24278</v>
      </c>
      <c r="F48" s="50">
        <f t="shared" si="1"/>
        <v>1</v>
      </c>
      <c r="G48" s="749" t="s">
        <v>1043</v>
      </c>
    </row>
    <row r="49" spans="1:16" ht="11.4" x14ac:dyDescent="0.2">
      <c r="A49" s="762"/>
      <c r="B49" s="46" t="s">
        <v>126</v>
      </c>
      <c r="C49" s="49"/>
      <c r="D49" s="49"/>
      <c r="E49" s="1254"/>
      <c r="F49" s="50"/>
      <c r="G49" s="763"/>
    </row>
    <row r="50" spans="1:16" ht="11.4" x14ac:dyDescent="0.2">
      <c r="A50" s="762"/>
      <c r="B50" s="46" t="s">
        <v>168</v>
      </c>
      <c r="C50" s="49"/>
      <c r="D50" s="49"/>
      <c r="E50" s="1254"/>
      <c r="F50" s="50"/>
      <c r="G50" s="763"/>
    </row>
    <row r="51" spans="1:16" ht="11.25" customHeight="1" x14ac:dyDescent="0.2">
      <c r="A51" s="762">
        <v>4132</v>
      </c>
      <c r="B51" s="17" t="s">
        <v>53</v>
      </c>
      <c r="C51" s="49">
        <v>47121</v>
      </c>
      <c r="D51" s="49">
        <v>47121</v>
      </c>
      <c r="E51" s="1254">
        <v>47121</v>
      </c>
      <c r="F51" s="50">
        <f>SUM(E51/D51)</f>
        <v>1</v>
      </c>
      <c r="G51" s="749" t="s">
        <v>1043</v>
      </c>
    </row>
    <row r="52" spans="1:16" ht="13.2" customHeight="1" x14ac:dyDescent="0.25">
      <c r="A52" s="762">
        <v>4137</v>
      </c>
      <c r="B52" s="533" t="s">
        <v>569</v>
      </c>
      <c r="C52" s="49">
        <v>241156</v>
      </c>
      <c r="D52" s="49">
        <v>241156</v>
      </c>
      <c r="E52" s="1254">
        <v>241156</v>
      </c>
      <c r="F52" s="50">
        <f>SUM(E52/D52)</f>
        <v>1</v>
      </c>
      <c r="G52" s="750"/>
    </row>
    <row r="53" spans="1:16" ht="11.4" x14ac:dyDescent="0.2">
      <c r="A53" s="762">
        <v>4141</v>
      </c>
      <c r="B53" s="38" t="s">
        <v>258</v>
      </c>
      <c r="C53" s="49">
        <v>110166</v>
      </c>
      <c r="D53" s="49">
        <v>110166</v>
      </c>
      <c r="E53" s="1254">
        <v>110166</v>
      </c>
      <c r="F53" s="50">
        <f>SUM(E53/D53)</f>
        <v>1</v>
      </c>
      <c r="G53" s="749" t="s">
        <v>1043</v>
      </c>
    </row>
    <row r="54" spans="1:16" ht="11.4" x14ac:dyDescent="0.2">
      <c r="A54" s="762"/>
      <c r="B54" s="180" t="s">
        <v>275</v>
      </c>
      <c r="C54" s="49"/>
      <c r="D54" s="49"/>
      <c r="E54" s="1254"/>
      <c r="F54" s="50"/>
      <c r="G54" s="763"/>
    </row>
    <row r="55" spans="1:16" ht="11.4" x14ac:dyDescent="0.2">
      <c r="A55" s="762"/>
      <c r="B55" s="180" t="s">
        <v>276</v>
      </c>
      <c r="C55" s="49"/>
      <c r="D55" s="49"/>
      <c r="E55" s="1254"/>
      <c r="F55" s="50"/>
      <c r="G55" s="763"/>
    </row>
    <row r="56" spans="1:16" ht="11.4" x14ac:dyDescent="0.2">
      <c r="A56" s="762"/>
      <c r="B56" s="46" t="s">
        <v>93</v>
      </c>
      <c r="C56" s="49"/>
      <c r="D56" s="49"/>
      <c r="E56" s="1254"/>
      <c r="F56" s="50"/>
      <c r="G56" s="763"/>
    </row>
    <row r="57" spans="1:16" ht="11.4" x14ac:dyDescent="0.2">
      <c r="A57" s="762"/>
      <c r="B57" s="46" t="s">
        <v>168</v>
      </c>
      <c r="C57" s="49"/>
      <c r="D57" s="49"/>
      <c r="E57" s="1254"/>
      <c r="F57" s="149"/>
      <c r="G57" s="764"/>
    </row>
    <row r="58" spans="1:16" ht="12" x14ac:dyDescent="0.25">
      <c r="A58" s="745">
        <v>4100</v>
      </c>
      <c r="B58" s="63" t="s">
        <v>84</v>
      </c>
      <c r="C58" s="113">
        <f t="shared" ref="C58:D58" si="2">SUM(C47+C48+C51+C53+C52)</f>
        <v>7612148</v>
      </c>
      <c r="D58" s="113">
        <f t="shared" si="2"/>
        <v>7612148</v>
      </c>
      <c r="E58" s="1308">
        <f t="shared" ref="E58" si="3">SUM(E47+E48+E51+E53+E52)</f>
        <v>8015136</v>
      </c>
      <c r="F58" s="194">
        <f>SUM(E58/D58)</f>
        <v>1.0529401162457692</v>
      </c>
      <c r="G58" s="765"/>
    </row>
    <row r="59" spans="1:16" ht="12" x14ac:dyDescent="0.25">
      <c r="A59" s="743">
        <v>4200</v>
      </c>
      <c r="B59" s="71" t="s">
        <v>164</v>
      </c>
      <c r="C59" s="54"/>
      <c r="D59" s="54"/>
      <c r="E59" s="1303"/>
      <c r="F59" s="188"/>
      <c r="G59" s="766"/>
    </row>
    <row r="60" spans="1:16" s="11" customFormat="1" ht="12" x14ac:dyDescent="0.25">
      <c r="A60" s="755"/>
      <c r="B60" s="19" t="s">
        <v>107</v>
      </c>
      <c r="C60" s="49"/>
      <c r="D60" s="49"/>
      <c r="E60" s="1254"/>
      <c r="F60" s="50"/>
      <c r="G60" s="767"/>
      <c r="H60" s="16"/>
      <c r="I60" s="16"/>
      <c r="J60" s="16"/>
      <c r="K60" s="16"/>
      <c r="L60" s="16"/>
      <c r="M60" s="16"/>
      <c r="N60" s="16"/>
      <c r="O60" s="16"/>
      <c r="P60" s="16"/>
    </row>
    <row r="61" spans="1:16" s="11" customFormat="1" ht="12" hidden="1" x14ac:dyDescent="0.25">
      <c r="A61" s="768">
        <v>4312</v>
      </c>
      <c r="B61" s="210" t="s">
        <v>243</v>
      </c>
      <c r="C61" s="214"/>
      <c r="D61" s="214"/>
      <c r="E61" s="1396"/>
      <c r="F61" s="215" t="e">
        <f>SUM(E61/D61)</f>
        <v>#DIV/0!</v>
      </c>
      <c r="G61" s="769"/>
      <c r="H61" s="16"/>
      <c r="I61" s="16"/>
      <c r="J61" s="16"/>
      <c r="K61" s="16"/>
      <c r="L61" s="16"/>
      <c r="M61" s="16"/>
      <c r="N61" s="16"/>
      <c r="O61" s="16"/>
      <c r="P61" s="16"/>
    </row>
    <row r="62" spans="1:16" s="11" customFormat="1" ht="12" hidden="1" x14ac:dyDescent="0.25">
      <c r="A62" s="768">
        <v>4313</v>
      </c>
      <c r="B62" s="210" t="s">
        <v>240</v>
      </c>
      <c r="C62" s="214"/>
      <c r="D62" s="214"/>
      <c r="E62" s="1396"/>
      <c r="F62" s="215" t="e">
        <f>SUM(E62/D62)</f>
        <v>#DIV/0!</v>
      </c>
      <c r="G62" s="769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" hidden="1" x14ac:dyDescent="0.25">
      <c r="A63" s="768">
        <v>4323</v>
      </c>
      <c r="B63" s="210" t="s">
        <v>174</v>
      </c>
      <c r="C63" s="214"/>
      <c r="D63" s="214"/>
      <c r="E63" s="1396"/>
      <c r="F63" s="215" t="e">
        <f>SUM(E63/D63)</f>
        <v>#DIV/0!</v>
      </c>
      <c r="G63" s="769"/>
    </row>
    <row r="64" spans="1:16" ht="11.4" x14ac:dyDescent="0.2">
      <c r="A64" s="752">
        <v>4311</v>
      </c>
      <c r="B64" s="38" t="s">
        <v>989</v>
      </c>
      <c r="C64" s="49"/>
      <c r="D64" s="49"/>
      <c r="E64" s="1254"/>
      <c r="F64" s="50"/>
      <c r="G64" s="751"/>
    </row>
    <row r="65" spans="1:16" ht="11.4" x14ac:dyDescent="0.2">
      <c r="A65" s="752">
        <v>4312</v>
      </c>
      <c r="B65" s="534" t="s">
        <v>570</v>
      </c>
      <c r="C65" s="49"/>
      <c r="D65" s="49"/>
      <c r="E65" s="1254"/>
      <c r="F65" s="50"/>
      <c r="G65" s="751"/>
    </row>
    <row r="66" spans="1:16" ht="12" x14ac:dyDescent="0.25">
      <c r="A66" s="752">
        <v>4313</v>
      </c>
      <c r="B66" s="534" t="s">
        <v>571</v>
      </c>
      <c r="C66" s="49">
        <v>1690</v>
      </c>
      <c r="D66" s="49">
        <v>1690</v>
      </c>
      <c r="E66" s="1254">
        <v>1690</v>
      </c>
      <c r="F66" s="50">
        <f>SUM(E66/D66)</f>
        <v>1</v>
      </c>
      <c r="G66" s="750"/>
    </row>
    <row r="67" spans="1:16" ht="12" x14ac:dyDescent="0.25">
      <c r="A67" s="752">
        <v>4329</v>
      </c>
      <c r="B67" s="534" t="s">
        <v>1481</v>
      </c>
      <c r="C67" s="40">
        <v>30000</v>
      </c>
      <c r="D67" s="40">
        <v>30000</v>
      </c>
      <c r="E67" s="1390">
        <v>30000</v>
      </c>
      <c r="F67" s="50">
        <f>SUM(E67/D67)</f>
        <v>1</v>
      </c>
      <c r="G67" s="750"/>
    </row>
    <row r="68" spans="1:16" s="11" customFormat="1" ht="12" x14ac:dyDescent="0.25">
      <c r="A68" s="770">
        <v>4300</v>
      </c>
      <c r="B68" s="63" t="s">
        <v>108</v>
      </c>
      <c r="C68" s="32">
        <f t="shared" ref="C68:D68" si="4">SUM(C61:C66)+C67</f>
        <v>31690</v>
      </c>
      <c r="D68" s="32">
        <f t="shared" si="4"/>
        <v>31690</v>
      </c>
      <c r="E68" s="1233">
        <f t="shared" ref="E68" si="5">SUM(E61:E66)+E67</f>
        <v>31690</v>
      </c>
      <c r="F68" s="194">
        <f>SUM(E68/D68)</f>
        <v>1</v>
      </c>
      <c r="G68" s="771"/>
      <c r="H68" s="16"/>
      <c r="I68" s="16"/>
      <c r="J68" s="16"/>
      <c r="K68" s="16"/>
      <c r="L68" s="16"/>
      <c r="M68" s="16"/>
      <c r="N68" s="16"/>
      <c r="O68" s="16"/>
      <c r="P68" s="16"/>
    </row>
    <row r="69" spans="1:16" s="11" customFormat="1" ht="16.5" customHeight="1" x14ac:dyDescent="0.25">
      <c r="A69" s="770"/>
      <c r="B69" s="68" t="s">
        <v>110</v>
      </c>
      <c r="C69" s="32">
        <f>SUM(C68+C59+C58+C23)</f>
        <v>8743502</v>
      </c>
      <c r="D69" s="32">
        <f>SUM(D68+D59+D58+D23)</f>
        <v>8743502</v>
      </c>
      <c r="E69" s="1233">
        <f>SUM(E68+E59+E58+E23)</f>
        <v>9146490</v>
      </c>
      <c r="F69" s="196">
        <f>SUM(E69/D69)</f>
        <v>1.0460899991788188</v>
      </c>
      <c r="G69" s="771"/>
      <c r="H69" s="16"/>
      <c r="I69" s="16"/>
      <c r="J69" s="16"/>
      <c r="K69" s="16"/>
      <c r="L69" s="16"/>
      <c r="M69" s="16"/>
      <c r="N69" s="16"/>
      <c r="O69" s="16"/>
      <c r="P69" s="16"/>
    </row>
    <row r="70" spans="1:16" s="11" customFormat="1" ht="12" x14ac:dyDescent="0.25">
      <c r="A70" s="772"/>
      <c r="B70" s="41" t="s">
        <v>20</v>
      </c>
      <c r="C70" s="70"/>
      <c r="D70" s="70"/>
      <c r="E70" s="1357"/>
      <c r="F70" s="50"/>
      <c r="G70" s="767"/>
      <c r="H70" s="16"/>
      <c r="I70" s="16"/>
      <c r="J70" s="16"/>
      <c r="K70" s="16"/>
      <c r="L70" s="16"/>
    </row>
    <row r="71" spans="1:16" s="11" customFormat="1" ht="11.25" customHeight="1" x14ac:dyDescent="0.25">
      <c r="A71" s="772"/>
      <c r="B71" s="49" t="s">
        <v>116</v>
      </c>
      <c r="C71" s="111">
        <f t="shared" ref="C71:E72" si="6">C54</f>
        <v>0</v>
      </c>
      <c r="D71" s="111">
        <f t="shared" si="6"/>
        <v>0</v>
      </c>
      <c r="E71" s="1348">
        <f t="shared" si="6"/>
        <v>0</v>
      </c>
      <c r="F71" s="50"/>
      <c r="G71" s="767"/>
      <c r="H71" s="16"/>
      <c r="I71" s="16"/>
      <c r="J71" s="16"/>
      <c r="K71" s="16"/>
      <c r="L71" s="16"/>
    </row>
    <row r="72" spans="1:16" s="11" customFormat="1" ht="13.5" customHeight="1" x14ac:dyDescent="0.25">
      <c r="A72" s="772"/>
      <c r="B72" s="49" t="s">
        <v>8</v>
      </c>
      <c r="C72" s="111">
        <f t="shared" si="6"/>
        <v>0</v>
      </c>
      <c r="D72" s="111">
        <f t="shared" si="6"/>
        <v>0</v>
      </c>
      <c r="E72" s="1348">
        <f t="shared" si="6"/>
        <v>0</v>
      </c>
      <c r="F72" s="50"/>
      <c r="G72" s="767"/>
      <c r="H72" s="16"/>
      <c r="I72" s="16"/>
      <c r="J72" s="16"/>
      <c r="K72" s="16"/>
      <c r="L72" s="16"/>
    </row>
    <row r="73" spans="1:16" ht="12" x14ac:dyDescent="0.25">
      <c r="A73" s="772"/>
      <c r="B73" s="14" t="s">
        <v>124</v>
      </c>
      <c r="C73" s="111"/>
      <c r="D73" s="111"/>
      <c r="E73" s="1348"/>
      <c r="F73" s="50"/>
      <c r="G73" s="748"/>
    </row>
    <row r="74" spans="1:16" ht="12" customHeight="1" x14ac:dyDescent="0.2">
      <c r="A74" s="762"/>
      <c r="B74" s="14" t="s">
        <v>122</v>
      </c>
      <c r="C74" s="49"/>
      <c r="D74" s="49"/>
      <c r="E74" s="1254"/>
      <c r="F74" s="50"/>
      <c r="G74" s="748"/>
    </row>
    <row r="75" spans="1:16" ht="12" customHeight="1" x14ac:dyDescent="0.25">
      <c r="A75" s="762"/>
      <c r="B75" s="75" t="s">
        <v>18</v>
      </c>
      <c r="C75" s="75">
        <f>SUM(C71:C74)</f>
        <v>0</v>
      </c>
      <c r="D75" s="75">
        <f>SUM(D71:D74)</f>
        <v>0</v>
      </c>
      <c r="E75" s="1397">
        <f>SUM(E71:E74)</f>
        <v>0</v>
      </c>
      <c r="F75" s="50"/>
      <c r="G75" s="748"/>
    </row>
    <row r="76" spans="1:16" ht="12" customHeight="1" x14ac:dyDescent="0.25">
      <c r="A76" s="762"/>
      <c r="B76" s="76" t="s">
        <v>21</v>
      </c>
      <c r="C76" s="114"/>
      <c r="D76" s="114"/>
      <c r="E76" s="1398"/>
      <c r="F76" s="50"/>
      <c r="G76" s="748"/>
    </row>
    <row r="77" spans="1:16" ht="12" customHeight="1" x14ac:dyDescent="0.2">
      <c r="A77" s="762"/>
      <c r="B77" s="49" t="s">
        <v>94</v>
      </c>
      <c r="C77" s="49"/>
      <c r="D77" s="49"/>
      <c r="E77" s="1254"/>
      <c r="F77" s="50"/>
      <c r="G77" s="748"/>
    </row>
    <row r="78" spans="1:16" ht="11.4" x14ac:dyDescent="0.2">
      <c r="A78" s="762"/>
      <c r="B78" s="14" t="s">
        <v>95</v>
      </c>
      <c r="C78" s="49">
        <f>SUM(C23+C58+C59+C68)-C71-C72-C73-C74-C77-C79</f>
        <v>8696381</v>
      </c>
      <c r="D78" s="49">
        <f>SUM(D23+D58+D59+D68)-D71-D72-D73-D74-D77-D79</f>
        <v>8696381</v>
      </c>
      <c r="E78" s="1254">
        <f>SUM(E23+E58+E59+E68)-E71-E72-E73-E74-E77-E79</f>
        <v>9099369</v>
      </c>
      <c r="F78" s="50">
        <f>SUM(E78/D78)</f>
        <v>1.0463397360350242</v>
      </c>
      <c r="G78" s="748"/>
    </row>
    <row r="79" spans="1:16" ht="11.4" x14ac:dyDescent="0.2">
      <c r="A79" s="762"/>
      <c r="B79" s="14" t="s">
        <v>130</v>
      </c>
      <c r="C79" s="49">
        <f t="shared" ref="C79:D79" si="7">SUM(C51)</f>
        <v>47121</v>
      </c>
      <c r="D79" s="49">
        <f t="shared" si="7"/>
        <v>47121</v>
      </c>
      <c r="E79" s="1254">
        <f t="shared" ref="E79" si="8">SUM(E51)</f>
        <v>47121</v>
      </c>
      <c r="F79" s="50">
        <f>SUM(E79/D79)</f>
        <v>1</v>
      </c>
      <c r="G79" s="748"/>
    </row>
    <row r="80" spans="1:16" ht="12" x14ac:dyDescent="0.25">
      <c r="A80" s="762"/>
      <c r="B80" s="75" t="s">
        <v>19</v>
      </c>
      <c r="C80" s="75">
        <f t="shared" ref="C80:D80" si="9">SUM(C77:C79)</f>
        <v>8743502</v>
      </c>
      <c r="D80" s="75">
        <f t="shared" si="9"/>
        <v>8743502</v>
      </c>
      <c r="E80" s="1397">
        <f t="shared" ref="E80" si="10">SUM(E77:E79)</f>
        <v>9146490</v>
      </c>
      <c r="F80" s="195">
        <f>SUM(E80/D80)</f>
        <v>1.0460899991788188</v>
      </c>
      <c r="G80" s="748"/>
    </row>
    <row r="81" spans="1:7" ht="12" customHeight="1" thickBot="1" x14ac:dyDescent="0.3">
      <c r="A81" s="773"/>
      <c r="B81" s="774" t="s">
        <v>42</v>
      </c>
      <c r="C81" s="775">
        <f t="shared" ref="C81:D81" si="11">SUM(C75+C80)</f>
        <v>8743502</v>
      </c>
      <c r="D81" s="775">
        <f t="shared" si="11"/>
        <v>8743502</v>
      </c>
      <c r="E81" s="1399">
        <f t="shared" ref="E81" si="12">SUM(E75+E80)</f>
        <v>9146490</v>
      </c>
      <c r="F81" s="776">
        <f>SUM(E81/D81)</f>
        <v>1.0460899991788188</v>
      </c>
      <c r="G81" s="777"/>
    </row>
    <row r="82" spans="1:7" ht="11.4" x14ac:dyDescent="0.2">
      <c r="C82" s="110"/>
      <c r="D82" s="110"/>
      <c r="E82" s="110"/>
    </row>
    <row r="83" spans="1:7" ht="12" x14ac:dyDescent="0.25">
      <c r="C83" s="115"/>
      <c r="D83" s="115"/>
      <c r="E83" s="115"/>
    </row>
    <row r="85" spans="1:7" ht="13.2" customHeight="1" x14ac:dyDescent="0.25">
      <c r="A85" s="23"/>
    </row>
    <row r="86" spans="1:7" ht="13.2" customHeight="1" x14ac:dyDescent="0.2">
      <c r="A86" s="74"/>
    </row>
    <row r="87" spans="1:7" ht="13.2" customHeight="1" x14ac:dyDescent="0.2">
      <c r="A87" s="74"/>
    </row>
    <row r="88" spans="1:7" ht="13.2" customHeight="1" x14ac:dyDescent="0.2">
      <c r="A88" s="74"/>
    </row>
    <row r="89" spans="1:7" ht="13.2" customHeight="1" x14ac:dyDescent="0.2">
      <c r="A89" s="74"/>
    </row>
    <row r="90" spans="1:7" ht="13.2" customHeight="1" x14ac:dyDescent="0.2">
      <c r="A90" s="74"/>
    </row>
    <row r="91" spans="1:7" ht="13.2" customHeight="1" x14ac:dyDescent="0.2">
      <c r="A91" s="74"/>
    </row>
    <row r="92" spans="1:7" ht="13.2" customHeight="1" x14ac:dyDescent="0.2">
      <c r="A92" s="74"/>
    </row>
    <row r="93" spans="1:7" ht="13.2" customHeight="1" x14ac:dyDescent="0.2">
      <c r="A93" s="74"/>
    </row>
    <row r="94" spans="1:7" ht="13.2" customHeight="1" x14ac:dyDescent="0.2">
      <c r="A94" s="74"/>
    </row>
    <row r="95" spans="1:7" ht="13.2" customHeight="1" x14ac:dyDescent="0.2">
      <c r="A95" s="74"/>
    </row>
    <row r="96" spans="1:7" ht="13.2" customHeight="1" x14ac:dyDescent="0.2">
      <c r="A96" s="74"/>
    </row>
    <row r="97" spans="1:1" ht="13.2" customHeight="1" x14ac:dyDescent="0.2">
      <c r="A97" s="74"/>
    </row>
    <row r="98" spans="1:1" ht="13.2" customHeight="1" x14ac:dyDescent="0.2">
      <c r="A98" s="74"/>
    </row>
    <row r="99" spans="1:1" ht="13.2" customHeight="1" x14ac:dyDescent="0.2">
      <c r="A99" s="74"/>
    </row>
    <row r="100" spans="1:1" ht="13.2" customHeight="1" x14ac:dyDescent="0.2">
      <c r="A100" s="74"/>
    </row>
    <row r="101" spans="1:1" ht="13.2" customHeight="1" x14ac:dyDescent="0.2">
      <c r="A101" s="74"/>
    </row>
    <row r="102" spans="1:1" ht="13.2" customHeight="1" x14ac:dyDescent="0.2">
      <c r="A102" s="74"/>
    </row>
    <row r="103" spans="1:1" ht="13.2" customHeight="1" x14ac:dyDescent="0.2">
      <c r="A103" s="74"/>
    </row>
    <row r="104" spans="1:1" ht="13.2" customHeight="1" x14ac:dyDescent="0.2">
      <c r="A104" s="74"/>
    </row>
    <row r="105" spans="1:1" ht="13.2" customHeight="1" x14ac:dyDescent="0.2">
      <c r="A105" s="74"/>
    </row>
    <row r="106" spans="1:1" ht="13.2" customHeight="1" x14ac:dyDescent="0.2">
      <c r="A106" s="74"/>
    </row>
    <row r="107" spans="1:1" ht="13.2" customHeight="1" x14ac:dyDescent="0.2">
      <c r="A107" s="74"/>
    </row>
    <row r="108" spans="1:1" ht="13.2" customHeight="1" x14ac:dyDescent="0.2">
      <c r="A108" s="74"/>
    </row>
    <row r="109" spans="1:1" ht="13.2" customHeight="1" x14ac:dyDescent="0.2">
      <c r="A109" s="74"/>
    </row>
    <row r="110" spans="1:1" ht="13.2" customHeight="1" x14ac:dyDescent="0.2">
      <c r="A110" s="74"/>
    </row>
    <row r="111" spans="1:1" ht="13.2" customHeight="1" x14ac:dyDescent="0.2">
      <c r="A111" s="74"/>
    </row>
    <row r="112" spans="1:1" ht="13.2" customHeight="1" x14ac:dyDescent="0.2">
      <c r="A112" s="74"/>
    </row>
    <row r="113" spans="1:1" ht="13.2" customHeight="1" x14ac:dyDescent="0.2">
      <c r="A113" s="74"/>
    </row>
    <row r="114" spans="1:1" ht="13.2" customHeight="1" x14ac:dyDescent="0.2">
      <c r="A114" s="74"/>
    </row>
    <row r="115" spans="1:1" ht="13.2" customHeight="1" x14ac:dyDescent="0.2">
      <c r="A115" s="74"/>
    </row>
    <row r="116" spans="1:1" ht="13.2" customHeight="1" x14ac:dyDescent="0.2">
      <c r="A116" s="74"/>
    </row>
    <row r="117" spans="1:1" ht="13.2" customHeight="1" x14ac:dyDescent="0.2">
      <c r="A117" s="74"/>
    </row>
    <row r="118" spans="1:1" ht="13.2" customHeight="1" x14ac:dyDescent="0.2">
      <c r="A118" s="74"/>
    </row>
    <row r="119" spans="1:1" ht="13.2" customHeight="1" x14ac:dyDescent="0.2">
      <c r="A119" s="74"/>
    </row>
    <row r="120" spans="1:1" ht="13.2" customHeight="1" x14ac:dyDescent="0.2">
      <c r="A120" s="74"/>
    </row>
    <row r="121" spans="1:1" ht="13.2" customHeight="1" x14ac:dyDescent="0.2">
      <c r="A121" s="74"/>
    </row>
    <row r="122" spans="1:1" ht="13.2" customHeight="1" x14ac:dyDescent="0.2">
      <c r="A122" s="74"/>
    </row>
    <row r="123" spans="1:1" ht="13.2" customHeight="1" x14ac:dyDescent="0.2">
      <c r="A123" s="74"/>
    </row>
    <row r="124" spans="1:1" ht="13.2" customHeight="1" x14ac:dyDescent="0.2">
      <c r="A124" s="74"/>
    </row>
    <row r="125" spans="1:1" ht="13.2" customHeight="1" x14ac:dyDescent="0.2">
      <c r="A125" s="74"/>
    </row>
    <row r="126" spans="1:1" ht="13.2" customHeight="1" x14ac:dyDescent="0.2">
      <c r="A126" s="74"/>
    </row>
    <row r="127" spans="1:1" ht="13.2" customHeight="1" x14ac:dyDescent="0.2">
      <c r="A127" s="74"/>
    </row>
    <row r="128" spans="1:1" ht="13.2" customHeight="1" x14ac:dyDescent="0.2">
      <c r="A128" s="74"/>
    </row>
    <row r="129" spans="1:1" ht="13.2" customHeight="1" x14ac:dyDescent="0.2">
      <c r="A129" s="74"/>
    </row>
    <row r="130" spans="1:1" ht="13.2" customHeight="1" x14ac:dyDescent="0.2">
      <c r="A130" s="74"/>
    </row>
    <row r="131" spans="1:1" ht="13.2" customHeight="1" x14ac:dyDescent="0.2">
      <c r="A131" s="74"/>
    </row>
    <row r="132" spans="1:1" ht="13.2" customHeight="1" x14ac:dyDescent="0.2">
      <c r="A132" s="74"/>
    </row>
    <row r="133" spans="1:1" ht="13.2" customHeight="1" x14ac:dyDescent="0.2">
      <c r="A133" s="74"/>
    </row>
    <row r="134" spans="1:1" ht="13.2" customHeight="1" x14ac:dyDescent="0.2">
      <c r="A134" s="74"/>
    </row>
    <row r="135" spans="1:1" ht="13.2" customHeight="1" x14ac:dyDescent="0.2">
      <c r="A135" s="74"/>
    </row>
    <row r="136" spans="1:1" ht="13.2" customHeight="1" x14ac:dyDescent="0.2">
      <c r="A136" s="74"/>
    </row>
    <row r="137" spans="1:1" ht="13.2" customHeight="1" x14ac:dyDescent="0.2">
      <c r="A137" s="74"/>
    </row>
    <row r="138" spans="1:1" ht="13.2" customHeight="1" x14ac:dyDescent="0.2">
      <c r="A138" s="74"/>
    </row>
    <row r="139" spans="1:1" ht="13.2" customHeight="1" x14ac:dyDescent="0.2">
      <c r="A139" s="74"/>
    </row>
    <row r="140" spans="1:1" ht="13.2" customHeight="1" x14ac:dyDescent="0.2">
      <c r="A140" s="74"/>
    </row>
    <row r="141" spans="1:1" ht="13.2" customHeight="1" x14ac:dyDescent="0.2">
      <c r="A141" s="74"/>
    </row>
    <row r="142" spans="1:1" ht="13.2" customHeight="1" x14ac:dyDescent="0.2">
      <c r="A142" s="74"/>
    </row>
    <row r="143" spans="1:1" ht="13.2" customHeight="1" x14ac:dyDescent="0.2">
      <c r="A143" s="74"/>
    </row>
    <row r="144" spans="1:1" ht="13.2" customHeight="1" x14ac:dyDescent="0.2">
      <c r="A144" s="74"/>
    </row>
    <row r="145" spans="1:1" ht="13.2" customHeight="1" x14ac:dyDescent="0.2">
      <c r="A145" s="74"/>
    </row>
    <row r="146" spans="1:1" ht="13.2" customHeight="1" x14ac:dyDescent="0.2">
      <c r="A146" s="74"/>
    </row>
    <row r="147" spans="1:1" ht="13.2" customHeight="1" x14ac:dyDescent="0.2">
      <c r="A147" s="74"/>
    </row>
    <row r="148" spans="1:1" ht="13.2" customHeight="1" x14ac:dyDescent="0.2">
      <c r="A148" s="74"/>
    </row>
    <row r="149" spans="1:1" ht="13.2" customHeight="1" x14ac:dyDescent="0.2">
      <c r="A149" s="74"/>
    </row>
    <row r="150" spans="1:1" ht="13.2" customHeight="1" x14ac:dyDescent="0.2">
      <c r="A150" s="74"/>
    </row>
    <row r="151" spans="1:1" ht="13.2" customHeight="1" x14ac:dyDescent="0.2">
      <c r="A151" s="74"/>
    </row>
    <row r="152" spans="1:1" ht="13.2" customHeight="1" x14ac:dyDescent="0.2">
      <c r="A152" s="74"/>
    </row>
    <row r="153" spans="1:1" ht="13.2" customHeight="1" x14ac:dyDescent="0.2">
      <c r="A153" s="74"/>
    </row>
    <row r="154" spans="1:1" ht="13.2" customHeight="1" x14ac:dyDescent="0.2">
      <c r="A154" s="74"/>
    </row>
    <row r="155" spans="1:1" ht="13.2" customHeight="1" x14ac:dyDescent="0.2">
      <c r="A155" s="74"/>
    </row>
    <row r="156" spans="1:1" ht="13.2" customHeight="1" x14ac:dyDescent="0.2">
      <c r="A156" s="74"/>
    </row>
    <row r="157" spans="1:1" ht="13.2" customHeight="1" x14ac:dyDescent="0.2">
      <c r="A157" s="74"/>
    </row>
    <row r="158" spans="1:1" ht="13.2" customHeight="1" x14ac:dyDescent="0.2">
      <c r="A158" s="74"/>
    </row>
    <row r="159" spans="1:1" ht="13.2" customHeight="1" x14ac:dyDescent="0.2">
      <c r="A159" s="74"/>
    </row>
    <row r="160" spans="1:1" ht="13.2" customHeight="1" x14ac:dyDescent="0.2">
      <c r="A160" s="74"/>
    </row>
    <row r="161" spans="1:1" ht="13.2" customHeight="1" x14ac:dyDescent="0.2">
      <c r="A161" s="74"/>
    </row>
    <row r="162" spans="1:1" ht="13.2" customHeight="1" x14ac:dyDescent="0.2">
      <c r="A162" s="74"/>
    </row>
    <row r="163" spans="1:1" ht="13.2" customHeight="1" x14ac:dyDescent="0.2">
      <c r="A163" s="74"/>
    </row>
    <row r="164" spans="1:1" ht="13.2" customHeight="1" x14ac:dyDescent="0.2">
      <c r="A164" s="74"/>
    </row>
    <row r="165" spans="1:1" ht="13.2" customHeight="1" x14ac:dyDescent="0.2">
      <c r="A165" s="74"/>
    </row>
    <row r="166" spans="1:1" ht="13.2" customHeight="1" x14ac:dyDescent="0.2">
      <c r="A166" s="74"/>
    </row>
    <row r="167" spans="1:1" ht="13.2" customHeight="1" x14ac:dyDescent="0.2">
      <c r="A167" s="74"/>
    </row>
    <row r="168" spans="1:1" ht="13.2" customHeight="1" x14ac:dyDescent="0.2">
      <c r="A168" s="74"/>
    </row>
    <row r="169" spans="1:1" ht="13.2" customHeight="1" x14ac:dyDescent="0.2">
      <c r="A169" s="74"/>
    </row>
    <row r="170" spans="1:1" ht="13.2" customHeight="1" x14ac:dyDescent="0.2">
      <c r="A170" s="74"/>
    </row>
    <row r="171" spans="1:1" ht="13.2" customHeight="1" x14ac:dyDescent="0.2">
      <c r="A171" s="74"/>
    </row>
    <row r="172" spans="1:1" ht="13.2" customHeight="1" x14ac:dyDescent="0.2">
      <c r="A172" s="74"/>
    </row>
    <row r="173" spans="1:1" ht="13.2" customHeight="1" x14ac:dyDescent="0.2">
      <c r="A173" s="74"/>
    </row>
    <row r="174" spans="1:1" ht="13.2" customHeight="1" x14ac:dyDescent="0.2">
      <c r="A174" s="74"/>
    </row>
    <row r="175" spans="1:1" ht="13.2" customHeight="1" x14ac:dyDescent="0.2">
      <c r="A175" s="74"/>
    </row>
    <row r="176" spans="1:1" ht="13.2" customHeight="1" x14ac:dyDescent="0.2">
      <c r="A176" s="74"/>
    </row>
    <row r="177" spans="1:1" ht="13.2" customHeight="1" x14ac:dyDescent="0.2">
      <c r="A177" s="74"/>
    </row>
    <row r="178" spans="1:1" ht="13.2" customHeight="1" x14ac:dyDescent="0.2">
      <c r="A178" s="74"/>
    </row>
    <row r="179" spans="1:1" ht="13.2" customHeight="1" x14ac:dyDescent="0.2">
      <c r="A179" s="74"/>
    </row>
    <row r="180" spans="1:1" ht="13.2" customHeight="1" x14ac:dyDescent="0.2">
      <c r="A180" s="74"/>
    </row>
  </sheetData>
  <mergeCells count="6">
    <mergeCell ref="A1:G1"/>
    <mergeCell ref="A2:G2"/>
    <mergeCell ref="F4:F6"/>
    <mergeCell ref="C4:C6"/>
    <mergeCell ref="D4:D6"/>
    <mergeCell ref="E4:E6"/>
  </mergeCells>
  <phoneticPr fontId="0" type="noConversion"/>
  <printOptions horizontalCentered="1"/>
  <pageMargins left="0" right="0" top="0.59055118110236227" bottom="0.39370078740157483" header="0.11811023622047245" footer="0"/>
  <pageSetup paperSize="9" firstPageNumber="53" fitToHeight="0" orientation="landscape" useFirstPageNumber="1" r:id="rId1"/>
  <headerFooter alignWithMargins="0">
    <oddFooter>&amp;P. oldal</oddFooter>
  </headerFooter>
  <rowBreaks count="2" manualBreakCount="2">
    <brk id="44" max="5" man="1"/>
    <brk id="8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B1" zoomScaleNormal="100" zoomScaleSheetLayoutView="100" workbookViewId="0">
      <selection activeCell="E12" sqref="E12"/>
    </sheetView>
  </sheetViews>
  <sheetFormatPr defaultColWidth="9.33203125" defaultRowHeight="11.4" x14ac:dyDescent="0.2"/>
  <cols>
    <col min="1" max="1" width="6.33203125" style="16" customWidth="1"/>
    <col min="2" max="2" width="52" style="16" customWidth="1"/>
    <col min="3" max="5" width="12.44140625" style="12" customWidth="1"/>
    <col min="6" max="6" width="9" style="110" customWidth="1"/>
    <col min="7" max="7" width="56.33203125" style="16" customWidth="1"/>
    <col min="8" max="8" width="11" style="16" bestFit="1" customWidth="1"/>
    <col min="9" max="9" width="26.109375" style="16" customWidth="1"/>
    <col min="10" max="16384" width="9.33203125" style="16"/>
  </cols>
  <sheetData>
    <row r="1" spans="1:14" s="11" customFormat="1" ht="13.2" x14ac:dyDescent="0.25">
      <c r="A1" s="1501" t="s">
        <v>1407</v>
      </c>
      <c r="B1" s="1482"/>
      <c r="C1" s="1482"/>
      <c r="D1" s="1482"/>
      <c r="E1" s="1482"/>
      <c r="F1" s="1482"/>
      <c r="G1" s="1482"/>
    </row>
    <row r="2" spans="1:14" s="11" customFormat="1" ht="13.2" x14ac:dyDescent="0.25">
      <c r="A2" s="1495" t="s">
        <v>294</v>
      </c>
      <c r="B2" s="1496"/>
      <c r="C2" s="1496"/>
      <c r="D2" s="1496"/>
      <c r="E2" s="1496"/>
      <c r="F2" s="1496"/>
      <c r="G2" s="1496"/>
    </row>
    <row r="3" spans="1:14" s="11" customFormat="1" ht="9.75" customHeight="1" x14ac:dyDescent="0.25">
      <c r="A3" s="104"/>
      <c r="B3" s="104"/>
      <c r="C3" s="77"/>
      <c r="D3" s="77"/>
      <c r="E3" s="77"/>
      <c r="F3" s="78"/>
    </row>
    <row r="4" spans="1:14" s="11" customFormat="1" ht="12.6" thickBot="1" x14ac:dyDescent="0.3">
      <c r="A4" s="104"/>
      <c r="B4" s="104"/>
      <c r="C4" s="77"/>
      <c r="D4" s="77"/>
      <c r="E4" s="77"/>
      <c r="F4" s="78"/>
      <c r="G4" s="65" t="s">
        <v>87</v>
      </c>
    </row>
    <row r="5" spans="1:14" ht="12" customHeight="1" x14ac:dyDescent="0.25">
      <c r="A5" s="738"/>
      <c r="B5" s="656"/>
      <c r="C5" s="1472" t="s">
        <v>1431</v>
      </c>
      <c r="D5" s="1472" t="s">
        <v>1437</v>
      </c>
      <c r="E5" s="1478" t="s">
        <v>281</v>
      </c>
      <c r="F5" s="1472" t="s">
        <v>1442</v>
      </c>
      <c r="G5" s="781" t="s">
        <v>182</v>
      </c>
    </row>
    <row r="6" spans="1:14" ht="12" customHeight="1" x14ac:dyDescent="0.25">
      <c r="A6" s="755" t="s">
        <v>114</v>
      </c>
      <c r="B6" s="67" t="s">
        <v>64</v>
      </c>
      <c r="C6" s="1473"/>
      <c r="D6" s="1473"/>
      <c r="E6" s="1479"/>
      <c r="F6" s="1499"/>
      <c r="G6" s="742" t="s">
        <v>65</v>
      </c>
    </row>
    <row r="7" spans="1:14" s="11" customFormat="1" ht="12.75" customHeight="1" thickBot="1" x14ac:dyDescent="0.3">
      <c r="A7" s="755"/>
      <c r="B7" s="59"/>
      <c r="C7" s="1474"/>
      <c r="D7" s="1474"/>
      <c r="E7" s="1480"/>
      <c r="F7" s="1500"/>
      <c r="G7" s="782"/>
    </row>
    <row r="8" spans="1:14" s="11" customFormat="1" ht="12.6" thickBot="1" x14ac:dyDescent="0.3">
      <c r="A8" s="209" t="s">
        <v>77</v>
      </c>
      <c r="B8" s="28" t="s">
        <v>78</v>
      </c>
      <c r="C8" s="13" t="s">
        <v>79</v>
      </c>
      <c r="D8" s="13" t="s">
        <v>191</v>
      </c>
      <c r="E8" s="1400" t="s">
        <v>192</v>
      </c>
      <c r="F8" s="783" t="s">
        <v>197</v>
      </c>
      <c r="G8" s="783" t="s">
        <v>597</v>
      </c>
    </row>
    <row r="9" spans="1:14" s="11" customFormat="1" ht="13.2" x14ac:dyDescent="0.25">
      <c r="A9" s="778"/>
      <c r="B9" s="85" t="s">
        <v>111</v>
      </c>
      <c r="C9" s="1"/>
      <c r="D9" s="1"/>
      <c r="E9" s="1393"/>
      <c r="F9" s="158"/>
      <c r="G9" s="787"/>
    </row>
    <row r="10" spans="1:14" ht="12" x14ac:dyDescent="0.25">
      <c r="A10" s="755"/>
      <c r="B10" s="69" t="s">
        <v>101</v>
      </c>
      <c r="C10" s="219"/>
      <c r="D10" s="219"/>
      <c r="E10" s="1401"/>
      <c r="F10" s="79"/>
      <c r="G10" s="748"/>
      <c r="H10" s="11"/>
      <c r="I10" s="11"/>
      <c r="J10" s="11"/>
      <c r="K10" s="11"/>
      <c r="L10" s="11"/>
    </row>
    <row r="11" spans="1:14" ht="12" x14ac:dyDescent="0.25">
      <c r="A11" s="752">
        <v>5002</v>
      </c>
      <c r="B11" s="220" t="s">
        <v>269</v>
      </c>
      <c r="C11" s="105">
        <v>24607</v>
      </c>
      <c r="D11" s="105">
        <v>24607</v>
      </c>
      <c r="E11" s="105">
        <v>24607</v>
      </c>
      <c r="F11" s="79">
        <f>SUM(E11/D11)</f>
        <v>1</v>
      </c>
      <c r="G11" s="750"/>
      <c r="H11" s="11"/>
      <c r="I11" s="11"/>
      <c r="J11" s="11"/>
      <c r="K11" s="11"/>
      <c r="L11" s="11"/>
    </row>
    <row r="12" spans="1:14" ht="12" x14ac:dyDescent="0.25">
      <c r="A12" s="752">
        <v>5004</v>
      </c>
      <c r="B12" s="220" t="s">
        <v>270</v>
      </c>
      <c r="C12" s="105">
        <v>50000</v>
      </c>
      <c r="D12" s="105">
        <v>50000</v>
      </c>
      <c r="E12" s="105">
        <v>50000</v>
      </c>
      <c r="F12" s="79">
        <f>SUM(E12/D12)</f>
        <v>1</v>
      </c>
      <c r="G12" s="750"/>
      <c r="H12" s="11"/>
      <c r="I12" s="11"/>
      <c r="J12" s="11"/>
      <c r="K12" s="11"/>
      <c r="L12" s="11"/>
    </row>
    <row r="13" spans="1:14" ht="12" x14ac:dyDescent="0.25">
      <c r="A13" s="752">
        <v>5005</v>
      </c>
      <c r="B13" s="220" t="s">
        <v>260</v>
      </c>
      <c r="C13" s="105">
        <v>51179</v>
      </c>
      <c r="D13" s="105">
        <v>51179</v>
      </c>
      <c r="E13" s="105">
        <v>51179</v>
      </c>
      <c r="F13" s="79">
        <f>SUM(E13/D13)</f>
        <v>1</v>
      </c>
      <c r="G13" s="760"/>
      <c r="H13" s="11"/>
      <c r="I13" s="11"/>
      <c r="J13" s="11"/>
      <c r="K13" s="11"/>
      <c r="L13" s="11"/>
    </row>
    <row r="14" spans="1:14" ht="12" x14ac:dyDescent="0.25">
      <c r="A14" s="752">
        <v>5008</v>
      </c>
      <c r="B14" s="220" t="s">
        <v>990</v>
      </c>
      <c r="C14" s="105"/>
      <c r="D14" s="105"/>
      <c r="E14" s="105"/>
      <c r="F14" s="79"/>
      <c r="G14" s="760"/>
      <c r="H14" s="11"/>
      <c r="I14" s="11"/>
      <c r="J14" s="11"/>
      <c r="K14" s="11"/>
      <c r="L14" s="11"/>
    </row>
    <row r="15" spans="1:14" ht="12" x14ac:dyDescent="0.25">
      <c r="A15" s="788">
        <v>5010</v>
      </c>
      <c r="B15" s="544" t="s">
        <v>575</v>
      </c>
      <c r="C15" s="223">
        <v>20000</v>
      </c>
      <c r="D15" s="223">
        <v>20000</v>
      </c>
      <c r="E15" s="1402">
        <v>20000</v>
      </c>
      <c r="F15" s="224">
        <f>SUM(E15/D15)</f>
        <v>1</v>
      </c>
      <c r="G15" s="789"/>
      <c r="H15" s="11"/>
      <c r="I15" s="11"/>
      <c r="J15" s="11"/>
      <c r="K15" s="11"/>
      <c r="L15" s="11"/>
    </row>
    <row r="16" spans="1:14" ht="13.2" x14ac:dyDescent="0.25">
      <c r="A16" s="752">
        <v>5012</v>
      </c>
      <c r="B16" s="220" t="s">
        <v>261</v>
      </c>
      <c r="C16" s="14">
        <v>208284</v>
      </c>
      <c r="D16" s="14">
        <v>208284</v>
      </c>
      <c r="E16" s="1381">
        <v>208284</v>
      </c>
      <c r="F16" s="79">
        <f>SUM(E16/D16)</f>
        <v>1</v>
      </c>
      <c r="G16" s="750"/>
      <c r="H16" s="11"/>
      <c r="I16" s="11"/>
      <c r="J16" s="11"/>
      <c r="K16" s="11"/>
      <c r="L16" s="11"/>
      <c r="M16" s="121"/>
      <c r="N16" s="122"/>
    </row>
    <row r="17" spans="1:14" ht="13.2" x14ac:dyDescent="0.25">
      <c r="A17" s="790">
        <v>5013</v>
      </c>
      <c r="B17" s="87" t="s">
        <v>172</v>
      </c>
      <c r="C17" s="105">
        <v>1258</v>
      </c>
      <c r="D17" s="105">
        <v>1258</v>
      </c>
      <c r="E17" s="105">
        <v>1258</v>
      </c>
      <c r="F17" s="79">
        <f>SUM(E17/D17)</f>
        <v>1</v>
      </c>
      <c r="G17" s="749" t="s">
        <v>1050</v>
      </c>
      <c r="H17" s="11"/>
      <c r="I17" s="11"/>
      <c r="J17" s="11"/>
      <c r="K17" s="11"/>
      <c r="L17" s="11"/>
      <c r="M17" s="121"/>
      <c r="N17" s="122"/>
    </row>
    <row r="18" spans="1:14" ht="13.2" x14ac:dyDescent="0.25">
      <c r="A18" s="790"/>
      <c r="B18" s="221" t="s">
        <v>126</v>
      </c>
      <c r="C18" s="181"/>
      <c r="D18" s="181"/>
      <c r="E18" s="181"/>
      <c r="F18" s="79"/>
      <c r="G18" s="763"/>
      <c r="H18" s="11"/>
      <c r="I18" s="11"/>
      <c r="J18" s="11"/>
      <c r="K18" s="11"/>
      <c r="L18" s="11"/>
      <c r="M18" s="121"/>
      <c r="N18" s="122"/>
    </row>
    <row r="19" spans="1:14" ht="13.2" x14ac:dyDescent="0.25">
      <c r="A19" s="790">
        <v>5014</v>
      </c>
      <c r="B19" s="87" t="s">
        <v>173</v>
      </c>
      <c r="C19" s="105">
        <v>71502</v>
      </c>
      <c r="D19" s="105">
        <v>71502</v>
      </c>
      <c r="E19" s="105">
        <v>71502</v>
      </c>
      <c r="F19" s="79">
        <f>SUM(E19/D19)</f>
        <v>1</v>
      </c>
      <c r="G19" s="749" t="s">
        <v>1050</v>
      </c>
      <c r="H19" s="11"/>
      <c r="I19" s="11"/>
      <c r="J19" s="11"/>
      <c r="K19" s="11"/>
      <c r="L19" s="11"/>
      <c r="M19" s="121"/>
      <c r="N19" s="122"/>
    </row>
    <row r="20" spans="1:14" ht="13.2" x14ac:dyDescent="0.25">
      <c r="A20" s="790">
        <v>5015</v>
      </c>
      <c r="B20" s="87" t="s">
        <v>213</v>
      </c>
      <c r="C20" s="105">
        <v>16192</v>
      </c>
      <c r="D20" s="105">
        <v>16192</v>
      </c>
      <c r="E20" s="105">
        <v>16192</v>
      </c>
      <c r="F20" s="79">
        <f>SUM(E20/D20)</f>
        <v>1</v>
      </c>
      <c r="G20" s="749" t="s">
        <v>1050</v>
      </c>
      <c r="H20" s="11"/>
      <c r="I20" s="11"/>
      <c r="J20" s="11"/>
      <c r="K20" s="11"/>
      <c r="L20" s="11"/>
      <c r="M20" s="121"/>
      <c r="N20" s="122"/>
    </row>
    <row r="21" spans="1:14" ht="13.2" x14ac:dyDescent="0.25">
      <c r="A21" s="790"/>
      <c r="B21" s="221" t="s">
        <v>126</v>
      </c>
      <c r="C21" s="105"/>
      <c r="D21" s="105"/>
      <c r="E21" s="105"/>
      <c r="F21" s="79"/>
      <c r="G21" s="791"/>
      <c r="H21" s="11"/>
      <c r="I21" s="11"/>
      <c r="J21" s="11"/>
      <c r="K21" s="11"/>
      <c r="L21" s="11"/>
      <c r="M21" s="121"/>
      <c r="N21" s="122"/>
    </row>
    <row r="22" spans="1:14" ht="13.2" x14ac:dyDescent="0.25">
      <c r="A22" s="790"/>
      <c r="B22" s="182" t="s">
        <v>93</v>
      </c>
      <c r="C22" s="105"/>
      <c r="D22" s="105"/>
      <c r="E22" s="105"/>
      <c r="F22" s="79"/>
      <c r="G22" s="791"/>
      <c r="H22" s="11"/>
      <c r="I22" s="11"/>
      <c r="J22" s="11"/>
      <c r="K22" s="11"/>
      <c r="L22" s="11"/>
      <c r="M22" s="121"/>
      <c r="N22" s="122"/>
    </row>
    <row r="23" spans="1:14" ht="13.2" x14ac:dyDescent="0.25">
      <c r="A23" s="790">
        <v>5016</v>
      </c>
      <c r="B23" s="87" t="s">
        <v>194</v>
      </c>
      <c r="C23" s="105">
        <v>60000</v>
      </c>
      <c r="D23" s="105">
        <v>60000</v>
      </c>
      <c r="E23" s="105">
        <v>60000</v>
      </c>
      <c r="F23" s="79">
        <f>SUM(E23/D23)</f>
        <v>1</v>
      </c>
      <c r="G23" s="749" t="s">
        <v>1051</v>
      </c>
      <c r="H23" s="11"/>
      <c r="I23" s="11"/>
      <c r="J23" s="11"/>
      <c r="K23" s="11"/>
      <c r="L23" s="11"/>
      <c r="M23" s="121"/>
    </row>
    <row r="24" spans="1:14" ht="14.25" customHeight="1" x14ac:dyDescent="0.25">
      <c r="A24" s="790">
        <v>5019</v>
      </c>
      <c r="B24" s="87" t="s">
        <v>211</v>
      </c>
      <c r="C24" s="105">
        <v>30508</v>
      </c>
      <c r="D24" s="105">
        <v>30508</v>
      </c>
      <c r="E24" s="105">
        <v>30508</v>
      </c>
      <c r="F24" s="79">
        <f>SUM(E24/D24)</f>
        <v>1</v>
      </c>
      <c r="G24" s="750"/>
      <c r="H24" s="11"/>
      <c r="I24" s="11"/>
      <c r="J24" s="11"/>
      <c r="K24" s="11"/>
      <c r="L24" s="11"/>
      <c r="M24" s="121"/>
    </row>
    <row r="25" spans="1:14" ht="13.2" x14ac:dyDescent="0.25">
      <c r="A25" s="790"/>
      <c r="B25" s="221" t="s">
        <v>126</v>
      </c>
      <c r="C25" s="105"/>
      <c r="D25" s="105"/>
      <c r="E25" s="105"/>
      <c r="F25" s="79"/>
      <c r="G25" s="792"/>
      <c r="H25" s="11"/>
      <c r="I25" s="11"/>
      <c r="J25" s="11"/>
      <c r="K25" s="11"/>
      <c r="L25" s="11"/>
      <c r="M25" s="121"/>
    </row>
    <row r="26" spans="1:14" ht="13.2" x14ac:dyDescent="0.25">
      <c r="A26" s="790"/>
      <c r="B26" s="182" t="s">
        <v>93</v>
      </c>
      <c r="C26" s="105"/>
      <c r="D26" s="105"/>
      <c r="E26" s="105"/>
      <c r="F26" s="79"/>
      <c r="G26" s="792"/>
      <c r="H26" s="11"/>
      <c r="I26" s="11"/>
      <c r="J26" s="11"/>
      <c r="K26" s="11"/>
      <c r="L26" s="11"/>
      <c r="M26" s="121"/>
    </row>
    <row r="27" spans="1:14" ht="13.2" x14ac:dyDescent="0.25">
      <c r="A27" s="745">
        <v>5010</v>
      </c>
      <c r="B27" s="222" t="s">
        <v>84</v>
      </c>
      <c r="C27" s="2">
        <f>SUM(C11:C26)</f>
        <v>533530</v>
      </c>
      <c r="D27" s="2">
        <f>SUM(D11:D26)</f>
        <v>533530</v>
      </c>
      <c r="E27" s="1226">
        <f>SUM(E11:E26)</f>
        <v>533530</v>
      </c>
      <c r="F27" s="183">
        <f>SUM(E27/D27)</f>
        <v>1</v>
      </c>
      <c r="G27" s="746"/>
      <c r="H27" s="11"/>
      <c r="I27" s="11"/>
      <c r="J27" s="11"/>
      <c r="K27" s="11"/>
      <c r="L27" s="11"/>
      <c r="M27" s="121"/>
    </row>
    <row r="28" spans="1:14" s="11" customFormat="1" ht="13.2" x14ac:dyDescent="0.25">
      <c r="A28" s="755"/>
      <c r="B28" s="66" t="s">
        <v>193</v>
      </c>
      <c r="C28" s="106"/>
      <c r="D28" s="106"/>
      <c r="E28" s="106"/>
      <c r="F28" s="79"/>
      <c r="G28" s="767"/>
      <c r="M28" s="121"/>
    </row>
    <row r="29" spans="1:14" ht="13.2" x14ac:dyDescent="0.25">
      <c r="A29" s="790">
        <v>5023</v>
      </c>
      <c r="B29" s="80" t="s">
        <v>277</v>
      </c>
      <c r="C29" s="105">
        <v>916601</v>
      </c>
      <c r="D29" s="105">
        <v>916601</v>
      </c>
      <c r="E29" s="105">
        <v>916601</v>
      </c>
      <c r="F29" s="79">
        <f>SUM(E29/D29)</f>
        <v>1</v>
      </c>
      <c r="G29" s="750"/>
      <c r="H29" s="11"/>
      <c r="I29" s="11"/>
      <c r="J29" s="11"/>
      <c r="K29" s="11"/>
      <c r="L29" s="11"/>
      <c r="M29" s="121"/>
    </row>
    <row r="30" spans="1:14" ht="12" x14ac:dyDescent="0.25">
      <c r="A30" s="790"/>
      <c r="B30" s="80" t="s">
        <v>126</v>
      </c>
      <c r="C30" s="105"/>
      <c r="D30" s="105"/>
      <c r="E30" s="105"/>
      <c r="F30" s="79"/>
      <c r="G30" s="793"/>
      <c r="H30" s="11"/>
      <c r="I30" s="11"/>
      <c r="J30" s="11"/>
      <c r="K30" s="11"/>
      <c r="L30" s="11"/>
    </row>
    <row r="31" spans="1:14" ht="12" x14ac:dyDescent="0.25">
      <c r="A31" s="790"/>
      <c r="B31" s="80" t="s">
        <v>93</v>
      </c>
      <c r="C31" s="105"/>
      <c r="D31" s="105"/>
      <c r="E31" s="105"/>
      <c r="F31" s="79"/>
      <c r="G31" s="793"/>
      <c r="H31" s="11"/>
      <c r="I31" s="11"/>
      <c r="J31" s="11"/>
      <c r="K31" s="11"/>
      <c r="L31" s="11"/>
    </row>
    <row r="32" spans="1:14" ht="12" x14ac:dyDescent="0.25">
      <c r="A32" s="790">
        <v>5026</v>
      </c>
      <c r="B32" s="80" t="s">
        <v>298</v>
      </c>
      <c r="C32" s="105">
        <v>150000</v>
      </c>
      <c r="D32" s="105">
        <v>150000</v>
      </c>
      <c r="E32" s="105">
        <v>150000</v>
      </c>
      <c r="F32" s="200"/>
      <c r="G32" s="750"/>
      <c r="H32" s="11"/>
      <c r="I32" s="11"/>
      <c r="J32" s="11"/>
      <c r="K32" s="11"/>
      <c r="L32" s="11"/>
    </row>
    <row r="33" spans="1:12" s="11" customFormat="1" ht="12" x14ac:dyDescent="0.25">
      <c r="A33" s="745">
        <v>5020</v>
      </c>
      <c r="B33" s="81" t="s">
        <v>84</v>
      </c>
      <c r="C33" s="2">
        <f t="shared" ref="C33:D33" si="0">+C29+C32</f>
        <v>1066601</v>
      </c>
      <c r="D33" s="2">
        <f t="shared" si="0"/>
        <v>1066601</v>
      </c>
      <c r="E33" s="1226">
        <f t="shared" ref="E33" si="1">+E29+E32</f>
        <v>1066601</v>
      </c>
      <c r="F33" s="183">
        <f>SUM(E33/D33)</f>
        <v>1</v>
      </c>
      <c r="G33" s="766"/>
    </row>
    <row r="34" spans="1:12" s="11" customFormat="1" ht="12" customHeight="1" x14ac:dyDescent="0.25">
      <c r="A34" s="755"/>
      <c r="B34" s="82" t="s">
        <v>171</v>
      </c>
      <c r="C34" s="106"/>
      <c r="D34" s="106"/>
      <c r="E34" s="106"/>
      <c r="F34" s="79"/>
      <c r="G34" s="767"/>
    </row>
    <row r="35" spans="1:12" ht="12" x14ac:dyDescent="0.25">
      <c r="A35" s="790">
        <v>5033</v>
      </c>
      <c r="B35" s="87" t="s">
        <v>5</v>
      </c>
      <c r="C35" s="105">
        <v>73302</v>
      </c>
      <c r="D35" s="105">
        <v>73302</v>
      </c>
      <c r="E35" s="105">
        <v>73302</v>
      </c>
      <c r="F35" s="79">
        <f>SUM(E35/D35)</f>
        <v>1</v>
      </c>
      <c r="G35" s="749" t="s">
        <v>1052</v>
      </c>
      <c r="H35" s="11"/>
      <c r="I35" s="11"/>
      <c r="J35" s="11"/>
      <c r="K35" s="11"/>
      <c r="L35" s="11"/>
    </row>
    <row r="36" spans="1:12" ht="12" x14ac:dyDescent="0.25">
      <c r="A36" s="790"/>
      <c r="B36" s="182" t="s">
        <v>126</v>
      </c>
      <c r="C36" s="181"/>
      <c r="D36" s="181"/>
      <c r="E36" s="181"/>
      <c r="F36" s="79"/>
      <c r="G36" s="794"/>
      <c r="H36" s="11"/>
      <c r="I36" s="11"/>
      <c r="J36" s="11"/>
      <c r="K36" s="11"/>
      <c r="L36" s="11"/>
    </row>
    <row r="37" spans="1:12" ht="12" x14ac:dyDescent="0.25">
      <c r="A37" s="790"/>
      <c r="B37" s="182" t="s">
        <v>93</v>
      </c>
      <c r="C37" s="181"/>
      <c r="D37" s="181"/>
      <c r="E37" s="181"/>
      <c r="F37" s="79"/>
      <c r="G37" s="794"/>
      <c r="H37" s="11"/>
      <c r="I37" s="11"/>
      <c r="J37" s="11"/>
      <c r="K37" s="11"/>
      <c r="L37" s="11"/>
    </row>
    <row r="38" spans="1:12" ht="12" x14ac:dyDescent="0.25">
      <c r="A38" s="790">
        <v>5034</v>
      </c>
      <c r="B38" s="87" t="s">
        <v>1480</v>
      </c>
      <c r="C38" s="105"/>
      <c r="D38" s="105"/>
      <c r="E38" s="105">
        <v>10000</v>
      </c>
      <c r="F38" s="79"/>
      <c r="G38" s="749"/>
      <c r="H38" s="11"/>
      <c r="I38" s="11"/>
      <c r="J38" s="11"/>
      <c r="K38" s="11"/>
      <c r="L38" s="11"/>
    </row>
    <row r="39" spans="1:12" ht="12" customHeight="1" x14ac:dyDescent="0.25">
      <c r="A39" s="745">
        <v>5030</v>
      </c>
      <c r="B39" s="81" t="s">
        <v>84</v>
      </c>
      <c r="C39" s="2">
        <f t="shared" ref="C39:D39" si="2">SUM(C35)</f>
        <v>73302</v>
      </c>
      <c r="D39" s="2">
        <f t="shared" si="2"/>
        <v>73302</v>
      </c>
      <c r="E39" s="1226">
        <f>SUM(E38,E35)</f>
        <v>83302</v>
      </c>
      <c r="F39" s="183">
        <f>SUM(E39/D39)</f>
        <v>1.1364219257319037</v>
      </c>
      <c r="G39" s="766"/>
      <c r="H39" s="11"/>
      <c r="I39" s="11"/>
      <c r="J39" s="11"/>
      <c r="K39" s="11"/>
      <c r="L39" s="11"/>
    </row>
    <row r="40" spans="1:12" ht="12" customHeight="1" x14ac:dyDescent="0.25">
      <c r="A40" s="795"/>
      <c r="B40" s="84" t="s">
        <v>195</v>
      </c>
      <c r="C40" s="107"/>
      <c r="D40" s="107"/>
      <c r="E40" s="1403"/>
      <c r="F40" s="79"/>
      <c r="G40" s="796"/>
      <c r="H40" s="11"/>
      <c r="I40" s="11"/>
      <c r="J40" s="11"/>
      <c r="K40" s="11"/>
      <c r="L40" s="11"/>
    </row>
    <row r="41" spans="1:12" ht="12" customHeight="1" x14ac:dyDescent="0.25">
      <c r="A41" s="752">
        <v>5051</v>
      </c>
      <c r="B41" s="88" t="s">
        <v>284</v>
      </c>
      <c r="C41" s="105">
        <v>69767</v>
      </c>
      <c r="D41" s="105">
        <v>69767</v>
      </c>
      <c r="E41" s="105">
        <v>69767</v>
      </c>
      <c r="F41" s="79">
        <f>SUM(E41/D41)</f>
        <v>1</v>
      </c>
      <c r="G41" s="750"/>
      <c r="H41" s="11"/>
      <c r="I41" s="11"/>
      <c r="J41" s="11"/>
      <c r="K41" s="11"/>
      <c r="L41" s="11"/>
    </row>
    <row r="42" spans="1:12" ht="12" customHeight="1" x14ac:dyDescent="0.25">
      <c r="A42" s="752">
        <v>5052</v>
      </c>
      <c r="B42" s="88" t="s">
        <v>285</v>
      </c>
      <c r="C42" s="105">
        <v>62704</v>
      </c>
      <c r="D42" s="105">
        <v>62704</v>
      </c>
      <c r="E42" s="105">
        <v>62704</v>
      </c>
      <c r="F42" s="79">
        <f>SUM(E42/D42)</f>
        <v>1</v>
      </c>
      <c r="G42" s="750"/>
      <c r="H42" s="11"/>
      <c r="I42" s="11"/>
      <c r="J42" s="11"/>
      <c r="K42" s="11"/>
      <c r="L42" s="11"/>
    </row>
    <row r="43" spans="1:12" ht="12" customHeight="1" x14ac:dyDescent="0.25">
      <c r="A43" s="752">
        <v>5053</v>
      </c>
      <c r="B43" s="88" t="s">
        <v>286</v>
      </c>
      <c r="C43" s="105">
        <v>52136</v>
      </c>
      <c r="D43" s="105">
        <v>52136</v>
      </c>
      <c r="E43" s="105">
        <v>52136</v>
      </c>
      <c r="F43" s="79">
        <f>SUM(E43/D43)</f>
        <v>1</v>
      </c>
      <c r="G43" s="750"/>
      <c r="H43" s="11"/>
      <c r="I43" s="11"/>
      <c r="J43" s="11"/>
      <c r="K43" s="11"/>
      <c r="L43" s="11"/>
    </row>
    <row r="44" spans="1:12" ht="12" customHeight="1" x14ac:dyDescent="0.25">
      <c r="A44" s="752">
        <v>5054</v>
      </c>
      <c r="B44" s="88" t="s">
        <v>287</v>
      </c>
      <c r="C44" s="105">
        <v>28551</v>
      </c>
      <c r="D44" s="105">
        <v>28551</v>
      </c>
      <c r="E44" s="105">
        <v>28551</v>
      </c>
      <c r="F44" s="79">
        <f>SUM(E44/D44)</f>
        <v>1</v>
      </c>
      <c r="G44" s="750"/>
      <c r="H44" s="11"/>
      <c r="I44" s="11"/>
      <c r="J44" s="11"/>
      <c r="K44" s="11"/>
      <c r="L44" s="11"/>
    </row>
    <row r="45" spans="1:12" ht="12" customHeight="1" x14ac:dyDescent="0.25">
      <c r="A45" s="752">
        <v>5055</v>
      </c>
      <c r="B45" s="88" t="s">
        <v>915</v>
      </c>
      <c r="C45" s="105">
        <v>0</v>
      </c>
      <c r="D45" s="105"/>
      <c r="E45" s="105"/>
      <c r="F45" s="1033"/>
      <c r="G45" s="750"/>
      <c r="H45" s="11"/>
      <c r="I45" s="11"/>
      <c r="J45" s="11"/>
      <c r="K45" s="11"/>
      <c r="L45" s="11"/>
    </row>
    <row r="46" spans="1:12" ht="12" customHeight="1" x14ac:dyDescent="0.25">
      <c r="A46" s="752">
        <v>5062</v>
      </c>
      <c r="B46" s="88" t="s">
        <v>296</v>
      </c>
      <c r="C46" s="105">
        <v>1468283</v>
      </c>
      <c r="D46" s="105">
        <f>1468283</f>
        <v>1468283</v>
      </c>
      <c r="E46" s="105">
        <f>1468283</f>
        <v>1468283</v>
      </c>
      <c r="F46" s="79">
        <f>SUM(E46/D46)</f>
        <v>1</v>
      </c>
      <c r="G46" s="750"/>
      <c r="H46" s="11"/>
      <c r="I46" s="11"/>
      <c r="J46" s="11"/>
      <c r="K46" s="11"/>
      <c r="L46" s="11"/>
    </row>
    <row r="47" spans="1:12" ht="12" customHeight="1" x14ac:dyDescent="0.25">
      <c r="A47" s="752"/>
      <c r="B47" s="46" t="s">
        <v>275</v>
      </c>
      <c r="C47" s="49"/>
      <c r="D47" s="49"/>
      <c r="E47" s="1254"/>
      <c r="F47" s="49"/>
      <c r="G47" s="750"/>
      <c r="H47" s="11"/>
      <c r="I47" s="11"/>
      <c r="J47" s="11"/>
      <c r="K47" s="11"/>
      <c r="L47" s="11"/>
    </row>
    <row r="48" spans="1:12" ht="12" customHeight="1" x14ac:dyDescent="0.25">
      <c r="A48" s="752"/>
      <c r="B48" s="102" t="s">
        <v>297</v>
      </c>
      <c r="C48" s="49"/>
      <c r="D48" s="49"/>
      <c r="E48" s="1254"/>
      <c r="F48" s="49"/>
      <c r="G48" s="797"/>
      <c r="H48" s="11"/>
      <c r="I48" s="11"/>
      <c r="J48" s="11"/>
      <c r="K48" s="11"/>
      <c r="L48" s="11"/>
    </row>
    <row r="49" spans="1:12" ht="12" customHeight="1" x14ac:dyDescent="0.25">
      <c r="A49" s="752"/>
      <c r="B49" s="102" t="s">
        <v>126</v>
      </c>
      <c r="C49" s="49"/>
      <c r="D49" s="49"/>
      <c r="E49" s="1254"/>
      <c r="F49" s="49"/>
      <c r="G49" s="797"/>
      <c r="H49" s="11"/>
      <c r="I49" s="11"/>
      <c r="J49" s="11"/>
      <c r="K49" s="11"/>
      <c r="L49" s="11"/>
    </row>
    <row r="50" spans="1:12" ht="12" customHeight="1" x14ac:dyDescent="0.25">
      <c r="A50" s="752"/>
      <c r="B50" s="216" t="s">
        <v>93</v>
      </c>
      <c r="C50" s="49"/>
      <c r="D50" s="49"/>
      <c r="E50" s="1254"/>
      <c r="F50" s="200"/>
      <c r="G50" s="798"/>
      <c r="H50" s="11"/>
      <c r="I50" s="11"/>
      <c r="J50" s="11"/>
      <c r="K50" s="11"/>
      <c r="L50" s="11"/>
    </row>
    <row r="51" spans="1:12" ht="12" customHeight="1" x14ac:dyDescent="0.25">
      <c r="A51" s="745">
        <v>5060</v>
      </c>
      <c r="B51" s="81" t="s">
        <v>84</v>
      </c>
      <c r="C51" s="2">
        <f>SUM(C41:C50)</f>
        <v>1681441</v>
      </c>
      <c r="D51" s="2">
        <f>SUM(D41:D50)</f>
        <v>1681441</v>
      </c>
      <c r="E51" s="1226">
        <f>SUM(E41:E50)</f>
        <v>1681441</v>
      </c>
      <c r="F51" s="183">
        <f>SUM(E51/D51)</f>
        <v>1</v>
      </c>
      <c r="G51" s="766"/>
      <c r="H51" s="11"/>
      <c r="I51" s="11"/>
      <c r="J51" s="11"/>
      <c r="K51" s="11"/>
      <c r="L51" s="11"/>
    </row>
    <row r="52" spans="1:12" ht="15.75" customHeight="1" x14ac:dyDescent="0.25">
      <c r="A52" s="778"/>
      <c r="B52" s="85" t="s">
        <v>111</v>
      </c>
      <c r="C52" s="5">
        <f>SUM(C39+C33+C27+C51)</f>
        <v>3354874</v>
      </c>
      <c r="D52" s="5">
        <f>SUM(D39+D33+D27+D51)</f>
        <v>3354874</v>
      </c>
      <c r="E52" s="1228">
        <f>SUM(E39+E33+E27+E51)</f>
        <v>3364874</v>
      </c>
      <c r="F52" s="183">
        <f>SUM(E52/D52)</f>
        <v>1.0029807378756996</v>
      </c>
      <c r="G52" s="798"/>
      <c r="H52" s="11"/>
      <c r="I52" s="11"/>
      <c r="J52" s="11"/>
      <c r="K52" s="11"/>
      <c r="L52" s="11"/>
    </row>
    <row r="53" spans="1:12" ht="12" x14ac:dyDescent="0.25">
      <c r="A53" s="755"/>
      <c r="B53" s="41" t="s">
        <v>20</v>
      </c>
      <c r="C53" s="107"/>
      <c r="D53" s="107"/>
      <c r="E53" s="1403"/>
      <c r="F53" s="79"/>
      <c r="G53" s="748"/>
      <c r="H53" s="11"/>
      <c r="I53" s="11"/>
      <c r="J53" s="11"/>
      <c r="K53" s="11"/>
      <c r="L53" s="11"/>
    </row>
    <row r="54" spans="1:12" ht="12" x14ac:dyDescent="0.25">
      <c r="A54" s="755"/>
      <c r="B54" s="17" t="s">
        <v>43</v>
      </c>
      <c r="C54" s="49"/>
      <c r="D54" s="49"/>
      <c r="E54" s="1254"/>
      <c r="F54" s="79"/>
      <c r="G54" s="748"/>
      <c r="H54" s="11"/>
      <c r="I54" s="11"/>
      <c r="J54" s="11"/>
      <c r="K54" s="11"/>
      <c r="L54" s="11"/>
    </row>
    <row r="55" spans="1:12" ht="12" x14ac:dyDescent="0.25">
      <c r="A55" s="755"/>
      <c r="B55" s="14" t="s">
        <v>39</v>
      </c>
      <c r="C55" s="49"/>
      <c r="D55" s="49"/>
      <c r="E55" s="1254"/>
      <c r="F55" s="79"/>
      <c r="G55" s="748"/>
      <c r="H55" s="11"/>
      <c r="I55" s="11"/>
      <c r="J55" s="11"/>
      <c r="K55" s="11"/>
      <c r="L55" s="11"/>
    </row>
    <row r="56" spans="1:12" ht="12" customHeight="1" x14ac:dyDescent="0.25">
      <c r="A56" s="799"/>
      <c r="B56" s="14" t="s">
        <v>40</v>
      </c>
      <c r="C56" s="49">
        <f>C18+C25+C30+C36+C21</f>
        <v>0</v>
      </c>
      <c r="D56" s="49">
        <f>D18+D25+D30+D36+D21</f>
        <v>0</v>
      </c>
      <c r="E56" s="1254">
        <f>E18+E25+E30+E36+E21</f>
        <v>0</v>
      </c>
      <c r="F56" s="79"/>
      <c r="G56" s="748"/>
      <c r="H56" s="11"/>
      <c r="I56" s="11"/>
      <c r="J56" s="11"/>
      <c r="K56" s="11"/>
      <c r="L56" s="11"/>
    </row>
    <row r="57" spans="1:12" ht="12" customHeight="1" x14ac:dyDescent="0.25">
      <c r="A57" s="799"/>
      <c r="B57" s="14" t="s">
        <v>121</v>
      </c>
      <c r="C57" s="108"/>
      <c r="D57" s="108"/>
      <c r="E57" s="1305"/>
      <c r="F57" s="79"/>
      <c r="G57" s="748"/>
      <c r="H57" s="11"/>
      <c r="I57" s="11"/>
      <c r="J57" s="11"/>
      <c r="K57" s="11"/>
      <c r="L57" s="11"/>
    </row>
    <row r="58" spans="1:12" ht="12" customHeight="1" x14ac:dyDescent="0.25">
      <c r="A58" s="799"/>
      <c r="B58" s="75" t="s">
        <v>18</v>
      </c>
      <c r="C58" s="109">
        <f>SUM(C54:C57)</f>
        <v>0</v>
      </c>
      <c r="D58" s="109">
        <f>SUM(D54:D57)</f>
        <v>0</v>
      </c>
      <c r="E58" s="1312">
        <f>SUM(E54:E57)</f>
        <v>0</v>
      </c>
      <c r="F58" s="79"/>
      <c r="G58" s="748"/>
      <c r="H58" s="11"/>
      <c r="I58" s="11"/>
      <c r="J58" s="11"/>
      <c r="K58" s="11"/>
      <c r="L58" s="11"/>
    </row>
    <row r="59" spans="1:12" ht="12" customHeight="1" x14ac:dyDescent="0.25">
      <c r="A59" s="799"/>
      <c r="B59" s="76" t="s">
        <v>21</v>
      </c>
      <c r="C59" s="108"/>
      <c r="D59" s="108"/>
      <c r="E59" s="1305"/>
      <c r="F59" s="79"/>
      <c r="G59" s="748"/>
      <c r="H59" s="11"/>
      <c r="I59" s="11"/>
      <c r="J59" s="11"/>
      <c r="K59" s="11"/>
      <c r="L59" s="11"/>
    </row>
    <row r="60" spans="1:12" ht="12" customHeight="1" x14ac:dyDescent="0.25">
      <c r="A60" s="799"/>
      <c r="B60" s="14" t="s">
        <v>95</v>
      </c>
      <c r="C60" s="108"/>
      <c r="D60" s="108"/>
      <c r="E60" s="1305"/>
      <c r="F60" s="79"/>
      <c r="G60" s="748"/>
      <c r="H60" s="11"/>
      <c r="I60" s="11"/>
      <c r="J60" s="11"/>
      <c r="K60" s="11"/>
      <c r="L60" s="11"/>
    </row>
    <row r="61" spans="1:12" ht="12" customHeight="1" x14ac:dyDescent="0.25">
      <c r="A61" s="799"/>
      <c r="B61" s="14" t="s">
        <v>154</v>
      </c>
      <c r="C61" s="108">
        <f>SUM(C39+C33+C27+C51)-C56-C54-C55-C62-C60</f>
        <v>3354874</v>
      </c>
      <c r="D61" s="108">
        <f>SUM(D39+D33+D27+D51)-D56-D54-D55-D62-D60</f>
        <v>3354874</v>
      </c>
      <c r="E61" s="1305">
        <f>SUM(E39+E33+E27+E51)-E56-E54-E55-E62-E60</f>
        <v>3364874</v>
      </c>
      <c r="F61" s="79">
        <f>SUM(E61/D61)</f>
        <v>1.0029807378756996</v>
      </c>
      <c r="G61" s="748"/>
      <c r="H61" s="11"/>
      <c r="I61" s="11"/>
      <c r="J61" s="11"/>
      <c r="K61" s="11"/>
      <c r="L61" s="11"/>
    </row>
    <row r="62" spans="1:12" ht="12" customHeight="1" x14ac:dyDescent="0.25">
      <c r="A62" s="799"/>
      <c r="B62" s="14" t="s">
        <v>130</v>
      </c>
      <c r="C62" s="108"/>
      <c r="D62" s="108"/>
      <c r="E62" s="1305"/>
      <c r="F62" s="79"/>
      <c r="G62" s="748"/>
      <c r="H62" s="11"/>
      <c r="I62" s="11"/>
      <c r="J62" s="11"/>
      <c r="K62" s="11"/>
      <c r="L62" s="11"/>
    </row>
    <row r="63" spans="1:12" ht="12" customHeight="1" thickBot="1" x14ac:dyDescent="0.3">
      <c r="A63" s="799"/>
      <c r="B63" s="75" t="s">
        <v>19</v>
      </c>
      <c r="C63" s="109">
        <f t="shared" ref="C63:D63" si="3">SUM(C60:C62)</f>
        <v>3354874</v>
      </c>
      <c r="D63" s="109">
        <f t="shared" si="3"/>
        <v>3354874</v>
      </c>
      <c r="E63" s="1312">
        <f t="shared" ref="E63" si="4">SUM(E60:E62)</f>
        <v>3364874</v>
      </c>
      <c r="F63" s="225">
        <f>SUM(E63/D63)</f>
        <v>1.0029807378756996</v>
      </c>
      <c r="G63" s="748"/>
      <c r="H63" s="11"/>
      <c r="I63" s="11"/>
      <c r="J63" s="11"/>
      <c r="K63" s="11"/>
      <c r="L63" s="11"/>
    </row>
    <row r="64" spans="1:12" ht="12" customHeight="1" thickBot="1" x14ac:dyDescent="0.3">
      <c r="A64" s="784"/>
      <c r="B64" s="62" t="s">
        <v>42</v>
      </c>
      <c r="C64" s="785">
        <f>SUM(C39+C33+C27+C51)</f>
        <v>3354874</v>
      </c>
      <c r="D64" s="785">
        <f>SUM(D39+D33+D27+D51)</f>
        <v>3354874</v>
      </c>
      <c r="E64" s="1365">
        <f>SUM(E39+E33+E27+E51)</f>
        <v>3364874</v>
      </c>
      <c r="F64" s="786">
        <f>SUM(E64/D64)</f>
        <v>1.0029807378756996</v>
      </c>
      <c r="G64" s="218"/>
      <c r="H64" s="11"/>
      <c r="I64" s="11"/>
      <c r="J64" s="11"/>
      <c r="K64" s="11"/>
      <c r="L64" s="11"/>
    </row>
    <row r="65" spans="8:12" ht="12" x14ac:dyDescent="0.25">
      <c r="H65" s="11"/>
      <c r="I65" s="11"/>
      <c r="J65" s="11"/>
      <c r="K65" s="11"/>
      <c r="L65" s="11"/>
    </row>
  </sheetData>
  <mergeCells count="6">
    <mergeCell ref="A2:G2"/>
    <mergeCell ref="A1:G1"/>
    <mergeCell ref="F5:F7"/>
    <mergeCell ref="C5:C7"/>
    <mergeCell ref="D5:D7"/>
    <mergeCell ref="E5:E7"/>
  </mergeCells>
  <phoneticPr fontId="0" type="noConversion"/>
  <printOptions horizontalCentered="1"/>
  <pageMargins left="0" right="0" top="0.39370078740157483" bottom="7.874015748031496E-2" header="0.51181102362204722" footer="0"/>
  <pageSetup paperSize="9" scale="74" firstPageNumber="55" orientation="landscape" useFirstPageNumber="1" horizontalDpi="300" verticalDpi="300" r:id="rId1"/>
  <headerFooter alignWithMargins="0">
    <oddFooter>&amp;P.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9" zoomScaleNormal="100" zoomScaleSheetLayoutView="100" workbookViewId="0">
      <selection activeCell="J30" sqref="J30"/>
    </sheetView>
  </sheetViews>
  <sheetFormatPr defaultColWidth="9.33203125" defaultRowHeight="13.2" x14ac:dyDescent="0.25"/>
  <cols>
    <col min="1" max="1" width="10.33203125" style="27" customWidth="1"/>
    <col min="2" max="2" width="44.5546875" style="27" customWidth="1"/>
    <col min="3" max="3" width="13.6640625" style="27" customWidth="1"/>
    <col min="4" max="4" width="12.33203125" style="27" customWidth="1"/>
    <col min="5" max="5" width="11.6640625" style="27" customWidth="1"/>
    <col min="6" max="16384" width="9.33203125" style="27"/>
  </cols>
  <sheetData>
    <row r="1" spans="1:6" ht="13.2" customHeight="1" x14ac:dyDescent="0.25">
      <c r="A1" s="1502" t="s">
        <v>1406</v>
      </c>
      <c r="B1" s="1502"/>
      <c r="C1" s="1502"/>
      <c r="D1" s="1502"/>
      <c r="E1" s="1502"/>
    </row>
    <row r="3" spans="1:6" s="26" customFormat="1" ht="13.2" customHeight="1" x14ac:dyDescent="0.25">
      <c r="A3" s="1503" t="s">
        <v>295</v>
      </c>
      <c r="B3" s="1503"/>
      <c r="C3" s="1503"/>
      <c r="D3" s="1503"/>
      <c r="E3" s="1503"/>
    </row>
    <row r="4" spans="1:6" s="26" customFormat="1" x14ac:dyDescent="0.25"/>
    <row r="5" spans="1:6" s="26" customFormat="1" x14ac:dyDescent="0.25"/>
    <row r="6" spans="1:6" s="26" customFormat="1" x14ac:dyDescent="0.25">
      <c r="C6" s="35"/>
      <c r="D6" s="35"/>
      <c r="E6" s="35" t="s">
        <v>87</v>
      </c>
    </row>
    <row r="7" spans="1:6" s="26" customFormat="1" ht="12.75" customHeight="1" x14ac:dyDescent="0.25">
      <c r="A7" s="1504" t="s">
        <v>114</v>
      </c>
      <c r="B7" s="1504" t="s">
        <v>76</v>
      </c>
      <c r="C7" s="1461" t="s">
        <v>1431</v>
      </c>
      <c r="D7" s="1461" t="s">
        <v>1437</v>
      </c>
      <c r="E7" s="1461" t="s">
        <v>281</v>
      </c>
    </row>
    <row r="8" spans="1:6" s="26" customFormat="1" x14ac:dyDescent="0.25">
      <c r="A8" s="1507"/>
      <c r="B8" s="1505"/>
      <c r="C8" s="1473"/>
      <c r="D8" s="1473"/>
      <c r="E8" s="1473"/>
    </row>
    <row r="9" spans="1:6" s="26" customFormat="1" ht="13.8" thickBot="1" x14ac:dyDescent="0.3">
      <c r="A9" s="1508"/>
      <c r="B9" s="1506"/>
      <c r="C9" s="1474"/>
      <c r="D9" s="1474"/>
      <c r="E9" s="1474"/>
    </row>
    <row r="10" spans="1:6" s="26" customFormat="1" x14ac:dyDescent="0.25">
      <c r="A10" s="31" t="s">
        <v>77</v>
      </c>
      <c r="B10" s="31" t="s">
        <v>78</v>
      </c>
      <c r="C10" s="31" t="s">
        <v>79</v>
      </c>
      <c r="D10" s="31" t="s">
        <v>191</v>
      </c>
      <c r="E10" s="31" t="s">
        <v>192</v>
      </c>
    </row>
    <row r="11" spans="1:6" s="26" customFormat="1" x14ac:dyDescent="0.25">
      <c r="A11" s="8"/>
      <c r="B11" s="8"/>
      <c r="C11" s="89"/>
      <c r="D11" s="89"/>
      <c r="E11" s="89"/>
    </row>
    <row r="12" spans="1:6" s="15" customFormat="1" x14ac:dyDescent="0.25">
      <c r="A12" s="10">
        <v>6110</v>
      </c>
      <c r="B12" s="10" t="s">
        <v>16</v>
      </c>
      <c r="C12" s="598">
        <v>350000</v>
      </c>
      <c r="D12" s="598">
        <v>350000</v>
      </c>
      <c r="E12" s="598">
        <f>350000+427404+816776-749324-10000-6780-100000-296208</f>
        <v>431868</v>
      </c>
      <c r="F12" s="1086"/>
    </row>
    <row r="13" spans="1:6" x14ac:dyDescent="0.25">
      <c r="A13" s="103"/>
      <c r="B13" s="103"/>
      <c r="C13" s="599"/>
      <c r="D13" s="599"/>
      <c r="E13" s="599"/>
      <c r="F13" s="1086"/>
    </row>
    <row r="14" spans="1:6" s="15" customFormat="1" x14ac:dyDescent="0.25">
      <c r="A14" s="10">
        <v>6120</v>
      </c>
      <c r="B14" s="10" t="s">
        <v>17</v>
      </c>
      <c r="C14" s="598">
        <f>SUM(C16+C20)</f>
        <v>609413</v>
      </c>
      <c r="D14" s="598">
        <f>SUM(D16+D20)</f>
        <v>609413</v>
      </c>
      <c r="E14" s="598">
        <f>SUM(E16+E20)</f>
        <v>609413</v>
      </c>
      <c r="F14" s="1086"/>
    </row>
    <row r="15" spans="1:6" s="15" customFormat="1" x14ac:dyDescent="0.25">
      <c r="A15" s="10"/>
      <c r="B15" s="10"/>
      <c r="C15" s="598"/>
      <c r="D15" s="598"/>
      <c r="E15" s="598"/>
      <c r="F15" s="1086"/>
    </row>
    <row r="16" spans="1:6" s="15" customFormat="1" x14ac:dyDescent="0.25">
      <c r="A16" s="10"/>
      <c r="B16" s="119" t="s">
        <v>183</v>
      </c>
      <c r="C16" s="600">
        <f>SUM(C17)</f>
        <v>0</v>
      </c>
      <c r="D16" s="600">
        <f>SUM(D17)</f>
        <v>0</v>
      </c>
      <c r="E16" s="600">
        <f>SUM(E17)</f>
        <v>0</v>
      </c>
      <c r="F16" s="1086"/>
    </row>
    <row r="17" spans="1:6" s="15" customFormat="1" x14ac:dyDescent="0.25">
      <c r="A17" s="103"/>
      <c r="B17" s="103"/>
      <c r="C17" s="599"/>
      <c r="D17" s="599"/>
      <c r="E17" s="599"/>
      <c r="F17" s="1086"/>
    </row>
    <row r="18" spans="1:6" s="15" customFormat="1" x14ac:dyDescent="0.25">
      <c r="A18" s="10"/>
      <c r="B18" s="119"/>
      <c r="C18" s="600"/>
      <c r="D18" s="600"/>
      <c r="E18" s="600"/>
      <c r="F18" s="1086"/>
    </row>
    <row r="19" spans="1:6" s="15" customFormat="1" x14ac:dyDescent="0.25">
      <c r="A19" s="103"/>
      <c r="B19" s="119"/>
      <c r="C19" s="600"/>
      <c r="D19" s="600"/>
      <c r="E19" s="600"/>
      <c r="F19" s="1086"/>
    </row>
    <row r="20" spans="1:6" s="15" customFormat="1" x14ac:dyDescent="0.25">
      <c r="A20" s="120"/>
      <c r="B20" s="119" t="s">
        <v>184</v>
      </c>
      <c r="C20" s="600">
        <f>SUM(C21:C25)</f>
        <v>609413</v>
      </c>
      <c r="D20" s="600">
        <f>SUM(D21:D25)</f>
        <v>609413</v>
      </c>
      <c r="E20" s="600">
        <f>SUM(E21:E25)</f>
        <v>609413</v>
      </c>
      <c r="F20" s="1086"/>
    </row>
    <row r="21" spans="1:6" x14ac:dyDescent="0.25">
      <c r="A21" s="103">
        <v>6135</v>
      </c>
      <c r="B21" s="103" t="s">
        <v>209</v>
      </c>
      <c r="C21" s="599"/>
      <c r="D21" s="599"/>
      <c r="E21" s="599"/>
      <c r="F21" s="1086"/>
    </row>
    <row r="22" spans="1:6" x14ac:dyDescent="0.25">
      <c r="A22" s="103">
        <v>6141</v>
      </c>
      <c r="B22" s="124" t="s">
        <v>301</v>
      </c>
      <c r="C22" s="599"/>
      <c r="D22" s="599"/>
      <c r="E22" s="599"/>
      <c r="F22" s="1086"/>
    </row>
    <row r="23" spans="1:6" x14ac:dyDescent="0.25">
      <c r="A23" s="103">
        <v>6142</v>
      </c>
      <c r="B23" s="124" t="s">
        <v>259</v>
      </c>
      <c r="C23" s="599">
        <v>409413</v>
      </c>
      <c r="D23" s="599">
        <v>409413</v>
      </c>
      <c r="E23" s="599">
        <v>409413</v>
      </c>
      <c r="F23" s="1086"/>
    </row>
    <row r="24" spans="1:6" x14ac:dyDescent="0.25">
      <c r="A24" s="103">
        <v>6143</v>
      </c>
      <c r="B24" s="124" t="s">
        <v>300</v>
      </c>
      <c r="C24" s="599">
        <v>200000</v>
      </c>
      <c r="D24" s="599">
        <v>200000</v>
      </c>
      <c r="E24" s="599">
        <v>200000</v>
      </c>
      <c r="F24" s="1086"/>
    </row>
    <row r="25" spans="1:6" x14ac:dyDescent="0.25">
      <c r="A25" s="103"/>
      <c r="B25" s="124"/>
      <c r="C25" s="599"/>
      <c r="D25" s="599"/>
      <c r="E25" s="599"/>
      <c r="F25" s="1086"/>
    </row>
    <row r="26" spans="1:6" s="15" customFormat="1" x14ac:dyDescent="0.25">
      <c r="A26" s="10">
        <v>6100</v>
      </c>
      <c r="B26" s="10" t="s">
        <v>69</v>
      </c>
      <c r="C26" s="598">
        <f>SUM(C16+C20+C12)</f>
        <v>959413</v>
      </c>
      <c r="D26" s="598">
        <f>SUM(D16+D20+D12)</f>
        <v>959413</v>
      </c>
      <c r="E26" s="598">
        <f>SUM(E16+E20+E12)</f>
        <v>1041281</v>
      </c>
      <c r="F26" s="1086"/>
    </row>
    <row r="29" spans="1:6" x14ac:dyDescent="0.25">
      <c r="A29" s="83"/>
    </row>
    <row r="30" spans="1:6" x14ac:dyDescent="0.25">
      <c r="A30" s="83"/>
    </row>
  </sheetData>
  <mergeCells count="7">
    <mergeCell ref="A1:E1"/>
    <mergeCell ref="A3:E3"/>
    <mergeCell ref="E7:E9"/>
    <mergeCell ref="D7:D9"/>
    <mergeCell ref="C7:C9"/>
    <mergeCell ref="B7:B9"/>
    <mergeCell ref="A7:A9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firstPageNumber="56" orientation="landscape" useFirstPageNumber="1" r:id="rId1"/>
  <headerFooter alignWithMargins="0">
    <oddFooter>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zoomScaleNormal="100" zoomScaleSheetLayoutView="80" workbookViewId="0">
      <selection activeCell="D4" sqref="D4"/>
    </sheetView>
  </sheetViews>
  <sheetFormatPr defaultColWidth="8.88671875" defaultRowHeight="14.4" x14ac:dyDescent="0.3"/>
  <cols>
    <col min="1" max="1" width="3.6640625" style="704" customWidth="1"/>
    <col min="2" max="2" width="19" style="704" customWidth="1"/>
    <col min="3" max="3" width="48.6640625" style="704" customWidth="1"/>
    <col min="4" max="4" width="10.6640625" style="1116" customWidth="1"/>
    <col min="5" max="8" width="8.88671875" style="1116"/>
    <col min="9" max="16384" width="8.88671875" style="704"/>
  </cols>
  <sheetData>
    <row r="1" spans="1:9" x14ac:dyDescent="0.3">
      <c r="A1" s="703"/>
      <c r="B1" s="1515" t="s">
        <v>1405</v>
      </c>
      <c r="C1" s="1515"/>
      <c r="D1" s="1515"/>
      <c r="E1" s="1515"/>
      <c r="F1" s="1515"/>
      <c r="G1" s="1515"/>
      <c r="H1" s="1515"/>
    </row>
    <row r="2" spans="1:9" x14ac:dyDescent="0.3">
      <c r="A2" s="703"/>
      <c r="B2" s="705"/>
      <c r="C2" s="705"/>
      <c r="D2" s="1106"/>
      <c r="E2" s="1106"/>
      <c r="F2" s="1106"/>
      <c r="G2" s="1106"/>
      <c r="H2" s="1106"/>
    </row>
    <row r="3" spans="1:9" x14ac:dyDescent="0.3">
      <c r="A3" s="703"/>
      <c r="B3" s="1515" t="s">
        <v>1324</v>
      </c>
      <c r="C3" s="1516"/>
      <c r="D3" s="1516"/>
      <c r="E3" s="1516"/>
      <c r="F3" s="1516"/>
      <c r="G3" s="1516"/>
      <c r="H3" s="1516"/>
    </row>
    <row r="4" spans="1:9" ht="15.6" x14ac:dyDescent="0.3">
      <c r="A4" s="703"/>
      <c r="B4" s="703"/>
      <c r="C4" s="703"/>
      <c r="D4" s="1107"/>
      <c r="E4" s="1108"/>
      <c r="F4" s="1108"/>
      <c r="G4" s="1108"/>
      <c r="H4" s="1108"/>
    </row>
    <row r="5" spans="1:9" ht="15" thickBot="1" x14ac:dyDescent="0.35">
      <c r="A5" s="703"/>
      <c r="B5" s="1034" t="s">
        <v>1325</v>
      </c>
      <c r="C5" s="703"/>
      <c r="D5" s="1107"/>
      <c r="E5" s="1107"/>
      <c r="F5" s="1107"/>
      <c r="G5" s="1107"/>
      <c r="H5" s="115" t="s">
        <v>87</v>
      </c>
    </row>
    <row r="6" spans="1:9" x14ac:dyDescent="0.3">
      <c r="A6" s="703"/>
      <c r="B6" s="1035"/>
      <c r="C6" s="1036"/>
      <c r="D6" s="1109"/>
      <c r="E6" s="1109"/>
      <c r="F6" s="1109"/>
      <c r="G6" s="1110"/>
      <c r="H6" s="1111"/>
    </row>
    <row r="7" spans="1:9" ht="15" thickBot="1" x14ac:dyDescent="0.35">
      <c r="A7" s="703"/>
      <c r="B7" s="1517" t="s">
        <v>76</v>
      </c>
      <c r="C7" s="1518"/>
      <c r="D7" s="1112">
        <v>2026</v>
      </c>
      <c r="E7" s="1112">
        <v>2027</v>
      </c>
      <c r="F7" s="1112">
        <v>2028</v>
      </c>
      <c r="G7" s="1112">
        <v>2029</v>
      </c>
      <c r="H7" s="1113">
        <v>2030</v>
      </c>
    </row>
    <row r="8" spans="1:9" x14ac:dyDescent="0.3">
      <c r="A8" s="703"/>
      <c r="B8" s="1045" t="s">
        <v>146</v>
      </c>
      <c r="C8" s="1046"/>
      <c r="D8" s="1047">
        <v>5000</v>
      </c>
      <c r="E8" s="1047">
        <v>5250</v>
      </c>
      <c r="F8" s="1047">
        <v>5407.5</v>
      </c>
      <c r="G8" s="1047">
        <v>5569.7250000000004</v>
      </c>
      <c r="H8" s="1048">
        <v>5736.8167500000009</v>
      </c>
      <c r="I8" s="708"/>
    </row>
    <row r="9" spans="1:9" x14ac:dyDescent="0.3">
      <c r="A9" s="703"/>
      <c r="B9" s="1037" t="s">
        <v>160</v>
      </c>
      <c r="C9" s="706"/>
      <c r="D9" s="707">
        <v>880</v>
      </c>
      <c r="E9" s="707">
        <v>924</v>
      </c>
      <c r="F9" s="707">
        <v>951.72</v>
      </c>
      <c r="G9" s="707">
        <v>980.27160000000003</v>
      </c>
      <c r="H9" s="1038">
        <v>1009.679748</v>
      </c>
      <c r="I9" s="708"/>
    </row>
    <row r="10" spans="1:9" x14ac:dyDescent="0.3">
      <c r="A10" s="703"/>
      <c r="B10" s="1037" t="s">
        <v>1326</v>
      </c>
      <c r="C10" s="706"/>
      <c r="D10" s="707">
        <v>1540</v>
      </c>
      <c r="E10" s="707">
        <v>1617</v>
      </c>
      <c r="F10" s="707">
        <v>1665.51</v>
      </c>
      <c r="G10" s="707">
        <v>1715.4753000000001</v>
      </c>
      <c r="H10" s="1038">
        <v>1766.9395590000001</v>
      </c>
      <c r="I10" s="708"/>
    </row>
    <row r="11" spans="1:9" x14ac:dyDescent="0.3">
      <c r="A11" s="703"/>
      <c r="B11" s="1037" t="s">
        <v>1327</v>
      </c>
      <c r="C11" s="706"/>
      <c r="D11" s="707">
        <v>300</v>
      </c>
      <c r="E11" s="707">
        <v>315</v>
      </c>
      <c r="F11" s="707">
        <v>324.45</v>
      </c>
      <c r="G11" s="707">
        <v>334.18349999999998</v>
      </c>
      <c r="H11" s="1038">
        <v>344.20900499999999</v>
      </c>
      <c r="I11" s="708"/>
    </row>
    <row r="12" spans="1:9" x14ac:dyDescent="0.3">
      <c r="A12" s="703"/>
      <c r="B12" s="1037" t="s">
        <v>47</v>
      </c>
      <c r="C12" s="706"/>
      <c r="D12" s="707">
        <v>4633</v>
      </c>
      <c r="E12" s="707">
        <v>4864.6500000000005</v>
      </c>
      <c r="F12" s="707">
        <v>5010.589500000001</v>
      </c>
      <c r="G12" s="707">
        <v>5160.9071850000009</v>
      </c>
      <c r="H12" s="1038">
        <v>5315.7344005500008</v>
      </c>
      <c r="I12" s="708"/>
    </row>
    <row r="13" spans="1:9" x14ac:dyDescent="0.3">
      <c r="A13" s="703"/>
      <c r="B13" s="1037" t="s">
        <v>141</v>
      </c>
      <c r="C13" s="706"/>
      <c r="D13" s="707">
        <v>9600</v>
      </c>
      <c r="E13" s="707">
        <v>10080</v>
      </c>
      <c r="F13" s="707">
        <v>10382.4</v>
      </c>
      <c r="G13" s="707">
        <v>10693.871999999999</v>
      </c>
      <c r="H13" s="1038">
        <v>11014.68816</v>
      </c>
      <c r="I13" s="708"/>
    </row>
    <row r="14" spans="1:9" x14ac:dyDescent="0.3">
      <c r="A14" s="703"/>
      <c r="B14" s="1037" t="s">
        <v>1427</v>
      </c>
      <c r="C14" s="706"/>
      <c r="D14" s="707">
        <v>2756</v>
      </c>
      <c r="E14" s="707">
        <v>2893.8</v>
      </c>
      <c r="F14" s="707">
        <v>2980.6140000000005</v>
      </c>
      <c r="G14" s="707">
        <v>3070.0324200000005</v>
      </c>
      <c r="H14" s="1038">
        <v>3162.1333926000007</v>
      </c>
      <c r="I14" s="708"/>
    </row>
    <row r="15" spans="1:9" x14ac:dyDescent="0.3">
      <c r="A15" s="703"/>
      <c r="B15" s="1037" t="s">
        <v>1328</v>
      </c>
      <c r="C15" s="706"/>
      <c r="D15" s="707">
        <v>3000</v>
      </c>
      <c r="E15" s="707">
        <v>3150</v>
      </c>
      <c r="F15" s="707">
        <v>3244.5</v>
      </c>
      <c r="G15" s="707">
        <v>3341.835</v>
      </c>
      <c r="H15" s="1038">
        <v>3442.0900500000002</v>
      </c>
      <c r="I15" s="708"/>
    </row>
    <row r="16" spans="1:9" x14ac:dyDescent="0.3">
      <c r="A16" s="703"/>
      <c r="B16" s="1037" t="s">
        <v>210</v>
      </c>
      <c r="C16" s="706"/>
      <c r="D16" s="707">
        <v>1500</v>
      </c>
      <c r="E16" s="707">
        <v>1575</v>
      </c>
      <c r="F16" s="707">
        <v>1622.25</v>
      </c>
      <c r="G16" s="707">
        <v>1670.9175</v>
      </c>
      <c r="H16" s="1038">
        <v>1721.0450250000001</v>
      </c>
      <c r="I16" s="708"/>
    </row>
    <row r="17" spans="1:9" x14ac:dyDescent="0.3">
      <c r="A17" s="703"/>
      <c r="B17" s="1037" t="s">
        <v>178</v>
      </c>
      <c r="C17" s="706"/>
      <c r="D17" s="707">
        <v>9000</v>
      </c>
      <c r="E17" s="707">
        <v>9450</v>
      </c>
      <c r="F17" s="707">
        <v>9733.5</v>
      </c>
      <c r="G17" s="707">
        <v>10025.505000000001</v>
      </c>
      <c r="H17" s="1038">
        <v>10326.270150000002</v>
      </c>
      <c r="I17" s="708"/>
    </row>
    <row r="18" spans="1:9" x14ac:dyDescent="0.3">
      <c r="A18" s="703"/>
      <c r="B18" s="1037" t="s">
        <v>175</v>
      </c>
      <c r="C18" s="706"/>
      <c r="D18" s="707">
        <v>25000</v>
      </c>
      <c r="E18" s="707">
        <v>26250</v>
      </c>
      <c r="F18" s="707">
        <v>27037.5</v>
      </c>
      <c r="G18" s="707">
        <v>27848.625</v>
      </c>
      <c r="H18" s="1038">
        <v>28684.083750000002</v>
      </c>
      <c r="I18" s="708"/>
    </row>
    <row r="19" spans="1:9" x14ac:dyDescent="0.3">
      <c r="A19" s="703"/>
      <c r="B19" s="1509" t="s">
        <v>1329</v>
      </c>
      <c r="C19" s="1510"/>
      <c r="D19" s="709">
        <v>1000</v>
      </c>
      <c r="E19" s="709">
        <v>1000</v>
      </c>
      <c r="F19" s="709">
        <v>1000</v>
      </c>
      <c r="G19" s="709">
        <v>1000</v>
      </c>
      <c r="H19" s="1039">
        <v>1000</v>
      </c>
      <c r="I19" s="708"/>
    </row>
    <row r="20" spans="1:9" x14ac:dyDescent="0.3">
      <c r="A20" s="703"/>
      <c r="B20" s="1513" t="s">
        <v>1330</v>
      </c>
      <c r="C20" s="1514"/>
      <c r="D20" s="710">
        <v>15000</v>
      </c>
      <c r="E20" s="709">
        <v>15000</v>
      </c>
      <c r="F20" s="709">
        <v>15000</v>
      </c>
      <c r="G20" s="709"/>
      <c r="H20" s="1039"/>
      <c r="I20" s="708"/>
    </row>
    <row r="21" spans="1:9" x14ac:dyDescent="0.3">
      <c r="A21" s="703"/>
      <c r="B21" s="1513" t="s">
        <v>162</v>
      </c>
      <c r="C21" s="1514"/>
      <c r="D21" s="710">
        <v>5000</v>
      </c>
      <c r="E21" s="709">
        <v>4000</v>
      </c>
      <c r="F21" s="709"/>
      <c r="G21" s="709"/>
      <c r="H21" s="1039"/>
      <c r="I21" s="708"/>
    </row>
    <row r="22" spans="1:9" x14ac:dyDescent="0.3">
      <c r="A22" s="703"/>
      <c r="B22" s="1509" t="s">
        <v>1331</v>
      </c>
      <c r="C22" s="1510"/>
      <c r="D22" s="710">
        <v>660</v>
      </c>
      <c r="E22" s="709">
        <v>670</v>
      </c>
      <c r="F22" s="709">
        <v>690</v>
      </c>
      <c r="G22" s="709">
        <v>710</v>
      </c>
      <c r="H22" s="1039">
        <v>710</v>
      </c>
    </row>
    <row r="23" spans="1:9" x14ac:dyDescent="0.3">
      <c r="A23" s="703"/>
      <c r="B23" s="1509" t="s">
        <v>1332</v>
      </c>
      <c r="C23" s="1510"/>
      <c r="D23" s="710">
        <v>601</v>
      </c>
      <c r="E23" s="709">
        <v>650</v>
      </c>
      <c r="F23" s="709">
        <v>700</v>
      </c>
      <c r="G23" s="709">
        <v>750</v>
      </c>
      <c r="H23" s="1039">
        <v>750</v>
      </c>
    </row>
    <row r="24" spans="1:9" x14ac:dyDescent="0.3">
      <c r="A24" s="703"/>
      <c r="B24" s="1509" t="s">
        <v>1333</v>
      </c>
      <c r="C24" s="1510"/>
      <c r="D24" s="710">
        <v>1016</v>
      </c>
      <c r="E24" s="709">
        <v>2000</v>
      </c>
      <c r="F24" s="709">
        <v>2000</v>
      </c>
      <c r="G24" s="709">
        <v>2000</v>
      </c>
      <c r="H24" s="1039">
        <v>2000</v>
      </c>
    </row>
    <row r="25" spans="1:9" x14ac:dyDescent="0.3">
      <c r="A25" s="703"/>
      <c r="B25" s="1509" t="s">
        <v>1334</v>
      </c>
      <c r="C25" s="1510"/>
      <c r="D25" s="710">
        <v>1300</v>
      </c>
      <c r="E25" s="709">
        <v>1300</v>
      </c>
      <c r="F25" s="709">
        <v>1300</v>
      </c>
      <c r="G25" s="709">
        <v>1300</v>
      </c>
      <c r="H25" s="1039">
        <v>1300</v>
      </c>
    </row>
    <row r="26" spans="1:9" x14ac:dyDescent="0.3">
      <c r="A26" s="703"/>
      <c r="B26" s="1513" t="s">
        <v>1335</v>
      </c>
      <c r="C26" s="1514"/>
      <c r="D26" s="711">
        <v>6096</v>
      </c>
      <c r="E26" s="712">
        <v>3150</v>
      </c>
      <c r="F26" s="712">
        <v>3150</v>
      </c>
      <c r="G26" s="712">
        <v>0</v>
      </c>
      <c r="H26" s="1040">
        <v>0</v>
      </c>
    </row>
    <row r="27" spans="1:9" x14ac:dyDescent="0.3">
      <c r="A27" s="703"/>
      <c r="B27" s="1509" t="s">
        <v>1336</v>
      </c>
      <c r="C27" s="1510"/>
      <c r="D27" s="710">
        <v>4623</v>
      </c>
      <c r="E27" s="709">
        <v>4700</v>
      </c>
      <c r="F27" s="709">
        <v>4800</v>
      </c>
      <c r="G27" s="709">
        <v>4900</v>
      </c>
      <c r="H27" s="1039">
        <v>4900</v>
      </c>
    </row>
    <row r="28" spans="1:9" x14ac:dyDescent="0.3">
      <c r="A28" s="703"/>
      <c r="B28" s="1509" t="s">
        <v>1337</v>
      </c>
      <c r="C28" s="1510"/>
      <c r="D28" s="710">
        <v>6200</v>
      </c>
      <c r="E28" s="709">
        <v>0</v>
      </c>
      <c r="F28" s="709">
        <v>0</v>
      </c>
      <c r="G28" s="709">
        <v>6400</v>
      </c>
      <c r="H28" s="1039">
        <v>6400</v>
      </c>
    </row>
    <row r="29" spans="1:9" x14ac:dyDescent="0.3">
      <c r="A29" s="703"/>
      <c r="B29" s="1513" t="s">
        <v>1338</v>
      </c>
      <c r="C29" s="1514"/>
      <c r="D29" s="711">
        <v>3556</v>
      </c>
      <c r="E29" s="712">
        <v>4000</v>
      </c>
      <c r="F29" s="712">
        <v>4100</v>
      </c>
      <c r="G29" s="712">
        <v>4200</v>
      </c>
      <c r="H29" s="1040">
        <v>4200</v>
      </c>
    </row>
    <row r="30" spans="1:9" x14ac:dyDescent="0.3">
      <c r="A30" s="703"/>
      <c r="B30" s="1513" t="s">
        <v>1339</v>
      </c>
      <c r="C30" s="1514"/>
      <c r="D30" s="711">
        <v>4800</v>
      </c>
      <c r="E30" s="712">
        <v>5000</v>
      </c>
      <c r="F30" s="712">
        <v>5200</v>
      </c>
      <c r="G30" s="712">
        <v>5400</v>
      </c>
      <c r="H30" s="1040">
        <v>5400</v>
      </c>
    </row>
    <row r="31" spans="1:9" x14ac:dyDescent="0.3">
      <c r="A31" s="703"/>
      <c r="B31" s="1509" t="s">
        <v>1340</v>
      </c>
      <c r="C31" s="1510"/>
      <c r="D31" s="710">
        <v>800</v>
      </c>
      <c r="E31" s="709">
        <v>900</v>
      </c>
      <c r="F31" s="709">
        <v>1000</v>
      </c>
      <c r="G31" s="709">
        <v>1100</v>
      </c>
      <c r="H31" s="1039">
        <v>1100</v>
      </c>
    </row>
    <row r="32" spans="1:9" x14ac:dyDescent="0.3">
      <c r="A32" s="703"/>
      <c r="B32" s="1509" t="s">
        <v>1341</v>
      </c>
      <c r="C32" s="1510"/>
      <c r="D32" s="710">
        <v>150</v>
      </c>
      <c r="E32" s="709">
        <v>160</v>
      </c>
      <c r="F32" s="709">
        <v>170</v>
      </c>
      <c r="G32" s="709">
        <v>180</v>
      </c>
      <c r="H32" s="1039">
        <v>180</v>
      </c>
    </row>
    <row r="33" spans="1:8" x14ac:dyDescent="0.3">
      <c r="A33" s="703"/>
      <c r="B33" s="1509" t="s">
        <v>1342</v>
      </c>
      <c r="C33" s="1510"/>
      <c r="D33" s="710">
        <v>501</v>
      </c>
      <c r="E33" s="709">
        <v>550</v>
      </c>
      <c r="F33" s="709">
        <v>600</v>
      </c>
      <c r="G33" s="709">
        <v>650</v>
      </c>
      <c r="H33" s="1039">
        <v>650</v>
      </c>
    </row>
    <row r="34" spans="1:8" x14ac:dyDescent="0.3">
      <c r="A34" s="703"/>
      <c r="B34" s="1509" t="s">
        <v>1343</v>
      </c>
      <c r="C34" s="1510"/>
      <c r="D34" s="710">
        <v>1905</v>
      </c>
      <c r="E34" s="709">
        <v>2000</v>
      </c>
      <c r="F34" s="709">
        <v>2100</v>
      </c>
      <c r="G34" s="709">
        <v>2200</v>
      </c>
      <c r="H34" s="1039">
        <v>2200</v>
      </c>
    </row>
    <row r="35" spans="1:8" x14ac:dyDescent="0.3">
      <c r="A35" s="703"/>
      <c r="B35" s="1509" t="s">
        <v>1344</v>
      </c>
      <c r="C35" s="1510"/>
      <c r="D35" s="710">
        <v>203</v>
      </c>
      <c r="E35" s="709">
        <v>200</v>
      </c>
      <c r="F35" s="709">
        <v>220</v>
      </c>
      <c r="G35" s="709">
        <v>240</v>
      </c>
      <c r="H35" s="1039">
        <v>240</v>
      </c>
    </row>
    <row r="36" spans="1:8" x14ac:dyDescent="0.3">
      <c r="A36" s="703"/>
      <c r="B36" s="1509" t="s">
        <v>1428</v>
      </c>
      <c r="C36" s="1510"/>
      <c r="D36" s="710">
        <v>85</v>
      </c>
      <c r="E36" s="709">
        <v>87</v>
      </c>
      <c r="F36" s="709">
        <v>90</v>
      </c>
      <c r="G36" s="709">
        <v>100</v>
      </c>
      <c r="H36" s="1039">
        <v>100</v>
      </c>
    </row>
    <row r="37" spans="1:8" x14ac:dyDescent="0.3">
      <c r="A37" s="703"/>
      <c r="B37" s="1509" t="s">
        <v>1345</v>
      </c>
      <c r="C37" s="1510"/>
      <c r="D37" s="710">
        <v>4001</v>
      </c>
      <c r="E37" s="709">
        <v>4100</v>
      </c>
      <c r="F37" s="709">
        <v>4200</v>
      </c>
      <c r="G37" s="709">
        <v>4300</v>
      </c>
      <c r="H37" s="1039">
        <v>4300</v>
      </c>
    </row>
    <row r="38" spans="1:8" x14ac:dyDescent="0.3">
      <c r="A38" s="703"/>
      <c r="B38" s="1509" t="s">
        <v>1346</v>
      </c>
      <c r="C38" s="1510"/>
      <c r="D38" s="710">
        <v>140</v>
      </c>
      <c r="E38" s="709">
        <v>140</v>
      </c>
      <c r="F38" s="709">
        <v>150</v>
      </c>
      <c r="G38" s="709">
        <v>160</v>
      </c>
      <c r="H38" s="1039">
        <v>160</v>
      </c>
    </row>
    <row r="39" spans="1:8" x14ac:dyDescent="0.3">
      <c r="A39" s="703"/>
      <c r="B39" s="1509" t="s">
        <v>1347</v>
      </c>
      <c r="C39" s="1510"/>
      <c r="D39" s="710">
        <v>17780</v>
      </c>
      <c r="E39" s="709">
        <v>16000</v>
      </c>
      <c r="F39" s="709">
        <v>17000</v>
      </c>
      <c r="G39" s="709">
        <v>18000</v>
      </c>
      <c r="H39" s="1039">
        <v>18000</v>
      </c>
    </row>
    <row r="40" spans="1:8" x14ac:dyDescent="0.3">
      <c r="A40" s="703"/>
      <c r="B40" s="1509" t="s">
        <v>1348</v>
      </c>
      <c r="C40" s="1510"/>
      <c r="D40" s="710">
        <v>8890</v>
      </c>
      <c r="E40" s="709">
        <v>9000</v>
      </c>
      <c r="F40" s="709">
        <v>10000</v>
      </c>
      <c r="G40" s="709">
        <v>11000</v>
      </c>
      <c r="H40" s="1039">
        <v>11000</v>
      </c>
    </row>
    <row r="41" spans="1:8" x14ac:dyDescent="0.3">
      <c r="A41" s="703"/>
      <c r="B41" s="1509" t="s">
        <v>1349</v>
      </c>
      <c r="C41" s="1510"/>
      <c r="D41" s="709">
        <v>1518</v>
      </c>
      <c r="E41" s="709">
        <v>1600</v>
      </c>
      <c r="F41" s="709">
        <v>1600</v>
      </c>
      <c r="G41" s="709">
        <v>1600</v>
      </c>
      <c r="H41" s="1039">
        <v>1600</v>
      </c>
    </row>
    <row r="42" spans="1:8" x14ac:dyDescent="0.3">
      <c r="A42" s="703"/>
      <c r="B42" s="1509" t="s">
        <v>1350</v>
      </c>
      <c r="C42" s="1510"/>
      <c r="D42" s="709">
        <v>3529</v>
      </c>
      <c r="E42" s="710">
        <v>3705</v>
      </c>
      <c r="F42" s="709">
        <v>3890</v>
      </c>
      <c r="G42" s="709">
        <v>4084</v>
      </c>
      <c r="H42" s="1039">
        <v>4288</v>
      </c>
    </row>
    <row r="43" spans="1:8" x14ac:dyDescent="0.3">
      <c r="A43" s="703"/>
      <c r="B43" s="1509" t="s">
        <v>1351</v>
      </c>
      <c r="C43" s="1510"/>
      <c r="D43" s="709">
        <v>9500</v>
      </c>
      <c r="E43" s="710">
        <v>9975</v>
      </c>
      <c r="F43" s="709">
        <v>10473</v>
      </c>
      <c r="G43" s="709">
        <v>10996</v>
      </c>
      <c r="H43" s="1039">
        <v>11545</v>
      </c>
    </row>
    <row r="44" spans="1:8" x14ac:dyDescent="0.3">
      <c r="A44" s="703"/>
      <c r="B44" s="1509" t="s">
        <v>1352</v>
      </c>
      <c r="C44" s="1510"/>
      <c r="D44" s="709">
        <v>1270</v>
      </c>
      <c r="E44" s="710">
        <v>1333</v>
      </c>
      <c r="F44" s="709">
        <v>1399</v>
      </c>
      <c r="G44" s="709">
        <v>1468</v>
      </c>
      <c r="H44" s="1039">
        <v>1541</v>
      </c>
    </row>
    <row r="45" spans="1:8" x14ac:dyDescent="0.3">
      <c r="A45" s="703"/>
      <c r="B45" s="1509" t="s">
        <v>1353</v>
      </c>
      <c r="C45" s="1510"/>
      <c r="D45" s="709">
        <v>430</v>
      </c>
      <c r="E45" s="710">
        <v>451</v>
      </c>
      <c r="F45" s="709">
        <v>473</v>
      </c>
      <c r="G45" s="709">
        <v>496</v>
      </c>
      <c r="H45" s="1039">
        <v>520</v>
      </c>
    </row>
    <row r="46" spans="1:8" x14ac:dyDescent="0.3">
      <c r="A46" s="703"/>
      <c r="B46" s="1509" t="s">
        <v>1354</v>
      </c>
      <c r="C46" s="1510"/>
      <c r="D46" s="709">
        <v>181</v>
      </c>
      <c r="E46" s="710">
        <v>190</v>
      </c>
      <c r="F46" s="709">
        <v>199</v>
      </c>
      <c r="G46" s="709">
        <v>208</v>
      </c>
      <c r="H46" s="1039">
        <v>218</v>
      </c>
    </row>
    <row r="47" spans="1:8" x14ac:dyDescent="0.3">
      <c r="A47" s="703"/>
      <c r="B47" s="1509" t="s">
        <v>1355</v>
      </c>
      <c r="C47" s="1510"/>
      <c r="D47" s="709">
        <v>5600</v>
      </c>
      <c r="E47" s="710">
        <v>5880</v>
      </c>
      <c r="F47" s="709">
        <v>6174</v>
      </c>
      <c r="G47" s="709">
        <v>6482</v>
      </c>
      <c r="H47" s="1039">
        <v>6806</v>
      </c>
    </row>
    <row r="48" spans="1:8" x14ac:dyDescent="0.3">
      <c r="A48" s="703"/>
      <c r="B48" s="1509" t="s">
        <v>1356</v>
      </c>
      <c r="C48" s="1510"/>
      <c r="D48" s="709">
        <v>181</v>
      </c>
      <c r="E48" s="710">
        <v>190</v>
      </c>
      <c r="F48" s="709">
        <v>199</v>
      </c>
      <c r="G48" s="709">
        <v>208</v>
      </c>
      <c r="H48" s="1039">
        <v>218</v>
      </c>
    </row>
    <row r="49" spans="1:8" x14ac:dyDescent="0.3">
      <c r="A49" s="703"/>
      <c r="B49" s="1509" t="s">
        <v>1357</v>
      </c>
      <c r="C49" s="1510"/>
      <c r="D49" s="709">
        <v>630</v>
      </c>
      <c r="E49" s="710">
        <v>661</v>
      </c>
      <c r="F49" s="709">
        <v>694</v>
      </c>
      <c r="G49" s="709">
        <v>728</v>
      </c>
      <c r="H49" s="1039">
        <v>764</v>
      </c>
    </row>
    <row r="50" spans="1:8" x14ac:dyDescent="0.3">
      <c r="A50" s="703"/>
      <c r="B50" s="1509" t="s">
        <v>1358</v>
      </c>
      <c r="C50" s="1510"/>
      <c r="D50" s="709">
        <v>158</v>
      </c>
      <c r="E50" s="710">
        <v>165</v>
      </c>
      <c r="F50" s="709">
        <v>173</v>
      </c>
      <c r="G50" s="709">
        <v>181</v>
      </c>
      <c r="H50" s="1039">
        <v>190</v>
      </c>
    </row>
    <row r="51" spans="1:8" x14ac:dyDescent="0.3">
      <c r="A51" s="703"/>
      <c r="B51" s="1509" t="s">
        <v>1359</v>
      </c>
      <c r="C51" s="1510"/>
      <c r="D51" s="709">
        <v>950</v>
      </c>
      <c r="E51" s="710">
        <v>997</v>
      </c>
      <c r="F51" s="709">
        <v>1046</v>
      </c>
      <c r="G51" s="709">
        <v>1098</v>
      </c>
      <c r="H51" s="1039">
        <v>1152</v>
      </c>
    </row>
    <row r="52" spans="1:8" x14ac:dyDescent="0.3">
      <c r="A52" s="703"/>
      <c r="B52" s="1509" t="s">
        <v>1360</v>
      </c>
      <c r="C52" s="1510"/>
      <c r="D52" s="709">
        <v>126</v>
      </c>
      <c r="E52" s="710">
        <v>132</v>
      </c>
      <c r="F52" s="709">
        <v>138</v>
      </c>
      <c r="G52" s="709">
        <v>144</v>
      </c>
      <c r="H52" s="1039">
        <v>151</v>
      </c>
    </row>
    <row r="53" spans="1:8" x14ac:dyDescent="0.3">
      <c r="A53" s="703"/>
      <c r="B53" s="1509" t="s">
        <v>1361</v>
      </c>
      <c r="C53" s="1510"/>
      <c r="D53" s="709">
        <v>105</v>
      </c>
      <c r="E53" s="710">
        <v>110</v>
      </c>
      <c r="F53" s="709">
        <v>115</v>
      </c>
      <c r="G53" s="709">
        <v>120</v>
      </c>
      <c r="H53" s="1039">
        <v>126</v>
      </c>
    </row>
    <row r="54" spans="1:8" x14ac:dyDescent="0.3">
      <c r="A54" s="703"/>
      <c r="B54" s="1509" t="s">
        <v>1362</v>
      </c>
      <c r="C54" s="1510"/>
      <c r="D54" s="709">
        <v>406</v>
      </c>
      <c r="E54" s="710">
        <v>426</v>
      </c>
      <c r="F54" s="709">
        <v>447</v>
      </c>
      <c r="G54" s="709">
        <v>469</v>
      </c>
      <c r="H54" s="1039">
        <v>492</v>
      </c>
    </row>
    <row r="55" spans="1:8" x14ac:dyDescent="0.3">
      <c r="A55" s="703"/>
      <c r="B55" s="1509" t="s">
        <v>1363</v>
      </c>
      <c r="C55" s="1510"/>
      <c r="D55" s="709">
        <v>210</v>
      </c>
      <c r="E55" s="710">
        <v>220</v>
      </c>
      <c r="F55" s="709">
        <v>231</v>
      </c>
      <c r="G55" s="709">
        <v>242</v>
      </c>
      <c r="H55" s="1039">
        <v>254</v>
      </c>
    </row>
    <row r="56" spans="1:8" x14ac:dyDescent="0.3">
      <c r="A56" s="703"/>
      <c r="B56" s="1509" t="s">
        <v>1364</v>
      </c>
      <c r="C56" s="1510"/>
      <c r="D56" s="709">
        <v>118</v>
      </c>
      <c r="E56" s="710">
        <v>123</v>
      </c>
      <c r="F56" s="709">
        <v>129</v>
      </c>
      <c r="G56" s="709">
        <v>135</v>
      </c>
      <c r="H56" s="1039">
        <v>141</v>
      </c>
    </row>
    <row r="57" spans="1:8" x14ac:dyDescent="0.3">
      <c r="A57" s="703"/>
      <c r="B57" s="1509" t="s">
        <v>1365</v>
      </c>
      <c r="C57" s="1510"/>
      <c r="D57" s="709">
        <v>9100</v>
      </c>
      <c r="E57" s="710">
        <v>9555</v>
      </c>
      <c r="F57" s="709">
        <v>10032</v>
      </c>
      <c r="G57" s="709">
        <v>10533</v>
      </c>
      <c r="H57" s="1039">
        <v>11059</v>
      </c>
    </row>
    <row r="58" spans="1:8" x14ac:dyDescent="0.3">
      <c r="A58" s="703"/>
      <c r="B58" s="1509" t="s">
        <v>1366</v>
      </c>
      <c r="C58" s="1510"/>
      <c r="D58" s="709">
        <v>5935</v>
      </c>
      <c r="E58" s="710">
        <v>6231</v>
      </c>
      <c r="F58" s="709">
        <v>6542</v>
      </c>
      <c r="G58" s="709">
        <v>6869</v>
      </c>
      <c r="H58" s="1039">
        <v>7212</v>
      </c>
    </row>
    <row r="59" spans="1:8" x14ac:dyDescent="0.3">
      <c r="A59" s="703"/>
      <c r="B59" s="1509" t="s">
        <v>1367</v>
      </c>
      <c r="C59" s="1510"/>
      <c r="D59" s="709">
        <v>115</v>
      </c>
      <c r="E59" s="710">
        <v>120</v>
      </c>
      <c r="F59" s="709">
        <v>126</v>
      </c>
      <c r="G59" s="709">
        <v>132</v>
      </c>
      <c r="H59" s="1039">
        <v>138</v>
      </c>
    </row>
    <row r="60" spans="1:8" x14ac:dyDescent="0.3">
      <c r="A60" s="703"/>
      <c r="B60" s="1509" t="s">
        <v>1368</v>
      </c>
      <c r="C60" s="1510"/>
      <c r="D60" s="709">
        <v>115</v>
      </c>
      <c r="E60" s="710">
        <v>120</v>
      </c>
      <c r="F60" s="709">
        <v>126</v>
      </c>
      <c r="G60" s="709">
        <v>132</v>
      </c>
      <c r="H60" s="1039">
        <v>138</v>
      </c>
    </row>
    <row r="61" spans="1:8" x14ac:dyDescent="0.3">
      <c r="A61" s="703"/>
      <c r="B61" s="1509" t="s">
        <v>1369</v>
      </c>
      <c r="C61" s="1510"/>
      <c r="D61" s="709">
        <v>50</v>
      </c>
      <c r="E61" s="710">
        <v>52</v>
      </c>
      <c r="F61" s="709">
        <v>54</v>
      </c>
      <c r="G61" s="709">
        <v>56</v>
      </c>
      <c r="H61" s="1039">
        <v>58</v>
      </c>
    </row>
    <row r="62" spans="1:8" x14ac:dyDescent="0.3">
      <c r="A62" s="703"/>
      <c r="B62" s="1509" t="s">
        <v>1370</v>
      </c>
      <c r="C62" s="1510"/>
      <c r="D62" s="709">
        <v>165</v>
      </c>
      <c r="E62" s="710">
        <v>173</v>
      </c>
      <c r="F62" s="709">
        <v>181</v>
      </c>
      <c r="G62" s="709">
        <v>190</v>
      </c>
      <c r="H62" s="1039">
        <v>199</v>
      </c>
    </row>
    <row r="63" spans="1:8" x14ac:dyDescent="0.3">
      <c r="A63" s="703"/>
      <c r="B63" s="1509" t="s">
        <v>1371</v>
      </c>
      <c r="C63" s="1510"/>
      <c r="D63" s="709">
        <v>1920</v>
      </c>
      <c r="E63" s="710">
        <v>2016</v>
      </c>
      <c r="F63" s="709">
        <v>2116</v>
      </c>
      <c r="G63" s="709">
        <v>2221</v>
      </c>
      <c r="H63" s="1039">
        <v>2332</v>
      </c>
    </row>
    <row r="64" spans="1:8" x14ac:dyDescent="0.3">
      <c r="A64" s="703"/>
      <c r="B64" s="1509" t="s">
        <v>1372</v>
      </c>
      <c r="C64" s="1510"/>
      <c r="D64" s="709">
        <v>24000</v>
      </c>
      <c r="E64" s="710">
        <v>25200</v>
      </c>
      <c r="F64" s="709">
        <v>26460</v>
      </c>
      <c r="G64" s="709">
        <v>27783</v>
      </c>
      <c r="H64" s="1039">
        <v>29172</v>
      </c>
    </row>
    <row r="65" spans="1:8" x14ac:dyDescent="0.3">
      <c r="A65" s="703"/>
      <c r="B65" s="1509" t="s">
        <v>1373</v>
      </c>
      <c r="C65" s="1510"/>
      <c r="D65" s="709">
        <v>2800</v>
      </c>
      <c r="E65" s="710">
        <v>2940</v>
      </c>
      <c r="F65" s="709">
        <v>3087</v>
      </c>
      <c r="G65" s="709">
        <v>3241</v>
      </c>
      <c r="H65" s="1039">
        <v>3403</v>
      </c>
    </row>
    <row r="66" spans="1:8" x14ac:dyDescent="0.3">
      <c r="A66" s="703"/>
      <c r="B66" s="1509" t="s">
        <v>1374</v>
      </c>
      <c r="C66" s="1510"/>
      <c r="D66" s="709">
        <v>6000</v>
      </c>
      <c r="E66" s="710">
        <v>6300</v>
      </c>
      <c r="F66" s="709">
        <v>6615</v>
      </c>
      <c r="G66" s="709">
        <v>6945</v>
      </c>
      <c r="H66" s="1039">
        <v>7292</v>
      </c>
    </row>
    <row r="67" spans="1:8" x14ac:dyDescent="0.3">
      <c r="A67" s="703"/>
      <c r="B67" s="1509" t="s">
        <v>1375</v>
      </c>
      <c r="C67" s="1510"/>
      <c r="D67" s="709">
        <v>450</v>
      </c>
      <c r="E67" s="710">
        <v>472</v>
      </c>
      <c r="F67" s="709">
        <v>495</v>
      </c>
      <c r="G67" s="709">
        <v>519</v>
      </c>
      <c r="H67" s="1039">
        <v>544</v>
      </c>
    </row>
    <row r="68" spans="1:8" x14ac:dyDescent="0.3">
      <c r="A68" s="703"/>
      <c r="B68" s="1509" t="s">
        <v>1376</v>
      </c>
      <c r="C68" s="1510"/>
      <c r="D68" s="709">
        <v>2278</v>
      </c>
      <c r="E68" s="710">
        <v>2391</v>
      </c>
      <c r="F68" s="709">
        <v>2510</v>
      </c>
      <c r="G68" s="709">
        <v>2635</v>
      </c>
      <c r="H68" s="1039">
        <v>2766</v>
      </c>
    </row>
    <row r="69" spans="1:8" x14ac:dyDescent="0.3">
      <c r="A69" s="703"/>
      <c r="B69" s="1509" t="s">
        <v>1377</v>
      </c>
      <c r="C69" s="1510"/>
      <c r="D69" s="709">
        <v>2770</v>
      </c>
      <c r="E69" s="710">
        <v>2908</v>
      </c>
      <c r="F69" s="709">
        <v>3053</v>
      </c>
      <c r="G69" s="709">
        <v>3205</v>
      </c>
      <c r="H69" s="1039">
        <v>3365</v>
      </c>
    </row>
    <row r="70" spans="1:8" x14ac:dyDescent="0.3">
      <c r="A70" s="703"/>
      <c r="B70" s="1509" t="s">
        <v>1378</v>
      </c>
      <c r="C70" s="1510"/>
      <c r="D70" s="709">
        <v>1357</v>
      </c>
      <c r="E70" s="710">
        <v>1424</v>
      </c>
      <c r="F70" s="709">
        <v>1495</v>
      </c>
      <c r="G70" s="709">
        <v>1569</v>
      </c>
      <c r="H70" s="1039">
        <v>1647</v>
      </c>
    </row>
    <row r="71" spans="1:8" x14ac:dyDescent="0.3">
      <c r="A71" s="703"/>
      <c r="B71" s="1509" t="s">
        <v>1379</v>
      </c>
      <c r="C71" s="1510"/>
      <c r="D71" s="709">
        <v>3200</v>
      </c>
      <c r="E71" s="710">
        <v>3360</v>
      </c>
      <c r="F71" s="709">
        <v>3528</v>
      </c>
      <c r="G71" s="709">
        <v>3704</v>
      </c>
      <c r="H71" s="1039">
        <v>3889</v>
      </c>
    </row>
    <row r="72" spans="1:8" x14ac:dyDescent="0.3">
      <c r="A72" s="703"/>
      <c r="B72" s="1509" t="s">
        <v>1380</v>
      </c>
      <c r="C72" s="1510"/>
      <c r="D72" s="709">
        <v>663</v>
      </c>
      <c r="E72" s="710">
        <v>696</v>
      </c>
      <c r="F72" s="709">
        <v>730</v>
      </c>
      <c r="G72" s="709">
        <v>766</v>
      </c>
      <c r="H72" s="1039">
        <v>804</v>
      </c>
    </row>
    <row r="73" spans="1:8" x14ac:dyDescent="0.3">
      <c r="A73" s="703"/>
      <c r="B73" s="1509" t="s">
        <v>1381</v>
      </c>
      <c r="C73" s="1510"/>
      <c r="D73" s="709">
        <v>1040</v>
      </c>
      <c r="E73" s="710">
        <v>1092</v>
      </c>
      <c r="F73" s="709">
        <v>1146</v>
      </c>
      <c r="G73" s="709">
        <v>1203</v>
      </c>
      <c r="H73" s="1039">
        <v>1263</v>
      </c>
    </row>
    <row r="74" spans="1:8" x14ac:dyDescent="0.3">
      <c r="A74" s="703"/>
      <c r="B74" s="1509" t="s">
        <v>1382</v>
      </c>
      <c r="C74" s="1510"/>
      <c r="D74" s="709">
        <v>1760</v>
      </c>
      <c r="E74" s="710">
        <v>1848</v>
      </c>
      <c r="F74" s="709">
        <v>1940</v>
      </c>
      <c r="G74" s="709">
        <v>2037</v>
      </c>
      <c r="H74" s="1039">
        <v>2138</v>
      </c>
    </row>
    <row r="75" spans="1:8" x14ac:dyDescent="0.3">
      <c r="A75" s="703"/>
      <c r="B75" s="1509" t="s">
        <v>1383</v>
      </c>
      <c r="C75" s="1510"/>
      <c r="D75" s="709">
        <v>1224</v>
      </c>
      <c r="E75" s="710">
        <v>1284</v>
      </c>
      <c r="F75" s="709">
        <v>1348</v>
      </c>
      <c r="G75" s="709">
        <v>1415</v>
      </c>
      <c r="H75" s="1039">
        <v>1485</v>
      </c>
    </row>
    <row r="76" spans="1:8" x14ac:dyDescent="0.3">
      <c r="A76" s="703"/>
      <c r="B76" s="1509" t="s">
        <v>1384</v>
      </c>
      <c r="C76" s="1510"/>
      <c r="D76" s="709">
        <v>5500</v>
      </c>
      <c r="E76" s="710">
        <v>5775</v>
      </c>
      <c r="F76" s="709">
        <v>6063</v>
      </c>
      <c r="G76" s="709">
        <v>6366</v>
      </c>
      <c r="H76" s="1039">
        <v>6684</v>
      </c>
    </row>
    <row r="77" spans="1:8" x14ac:dyDescent="0.3">
      <c r="A77" s="703"/>
      <c r="B77" s="1509" t="s">
        <v>1385</v>
      </c>
      <c r="C77" s="1510"/>
      <c r="D77" s="709">
        <v>800</v>
      </c>
      <c r="E77" s="713">
        <v>840</v>
      </c>
      <c r="F77" s="707">
        <v>882</v>
      </c>
      <c r="G77" s="709">
        <v>926</v>
      </c>
      <c r="H77" s="1039">
        <v>972</v>
      </c>
    </row>
    <row r="78" spans="1:8" x14ac:dyDescent="0.3">
      <c r="A78" s="703"/>
      <c r="B78" s="1509" t="s">
        <v>1386</v>
      </c>
      <c r="C78" s="1510"/>
      <c r="D78" s="709">
        <v>9795</v>
      </c>
      <c r="E78" s="707">
        <v>1000</v>
      </c>
      <c r="F78" s="714"/>
      <c r="G78" s="714"/>
      <c r="H78" s="1041"/>
    </row>
    <row r="79" spans="1:8" x14ac:dyDescent="0.3">
      <c r="A79" s="703"/>
      <c r="B79" s="1509" t="s">
        <v>1387</v>
      </c>
      <c r="C79" s="1510"/>
      <c r="D79" s="1114">
        <v>2500</v>
      </c>
      <c r="E79" s="707">
        <v>2300</v>
      </c>
      <c r="F79" s="714"/>
      <c r="G79" s="714"/>
      <c r="H79" s="1041"/>
    </row>
    <row r="80" spans="1:8" x14ac:dyDescent="0.3">
      <c r="A80" s="703"/>
      <c r="B80" s="1509" t="s">
        <v>1388</v>
      </c>
      <c r="C80" s="1510"/>
      <c r="D80" s="707">
        <v>12000</v>
      </c>
      <c r="E80" s="707">
        <v>12000</v>
      </c>
      <c r="F80" s="714">
        <v>12000</v>
      </c>
      <c r="G80" s="714">
        <v>12000</v>
      </c>
      <c r="H80" s="1041">
        <v>12000</v>
      </c>
    </row>
    <row r="81" spans="1:8" x14ac:dyDescent="0.3">
      <c r="A81" s="715"/>
      <c r="B81" s="1042" t="s">
        <v>1389</v>
      </c>
      <c r="C81" s="988"/>
      <c r="D81" s="1114">
        <v>35847</v>
      </c>
      <c r="E81" s="1114">
        <v>37639.35</v>
      </c>
      <c r="F81" s="1114">
        <v>39521.317499999997</v>
      </c>
      <c r="G81" s="714"/>
      <c r="H81" s="1041"/>
    </row>
    <row r="82" spans="1:8" x14ac:dyDescent="0.3">
      <c r="A82" s="715"/>
      <c r="B82" s="1042" t="s">
        <v>1390</v>
      </c>
      <c r="C82" s="988"/>
      <c r="D82" s="1114">
        <v>40000</v>
      </c>
      <c r="E82" s="1114">
        <v>42000</v>
      </c>
      <c r="F82" s="1114">
        <v>44100</v>
      </c>
      <c r="G82" s="714"/>
      <c r="H82" s="1041"/>
    </row>
    <row r="83" spans="1:8" x14ac:dyDescent="0.3">
      <c r="A83" s="703"/>
      <c r="B83" s="1509" t="s">
        <v>1429</v>
      </c>
      <c r="C83" s="1510"/>
      <c r="D83" s="1114">
        <v>5800</v>
      </c>
      <c r="E83" s="707">
        <v>11592</v>
      </c>
      <c r="F83" s="714"/>
      <c r="G83" s="714"/>
      <c r="H83" s="1041"/>
    </row>
    <row r="84" spans="1:8" x14ac:dyDescent="0.3">
      <c r="A84" s="703"/>
      <c r="B84" s="1042" t="s">
        <v>1391</v>
      </c>
      <c r="C84" s="988"/>
      <c r="D84" s="1114">
        <v>3000</v>
      </c>
      <c r="E84" s="707">
        <v>3000</v>
      </c>
      <c r="F84" s="714"/>
      <c r="G84" s="714"/>
      <c r="H84" s="1041"/>
    </row>
    <row r="85" spans="1:8" x14ac:dyDescent="0.3">
      <c r="A85" s="703"/>
      <c r="B85" s="1042" t="s">
        <v>1392</v>
      </c>
      <c r="C85" s="988"/>
      <c r="D85" s="1114">
        <v>20360</v>
      </c>
      <c r="E85" s="707">
        <v>21072.6</v>
      </c>
      <c r="F85" s="714">
        <v>21704.777999999998</v>
      </c>
      <c r="G85" s="1115"/>
      <c r="H85" s="1041"/>
    </row>
    <row r="86" spans="1:8" x14ac:dyDescent="0.3">
      <c r="A86" s="703"/>
      <c r="B86" s="1509" t="s">
        <v>1393</v>
      </c>
      <c r="C86" s="1510"/>
      <c r="D86" s="1114">
        <v>11218</v>
      </c>
      <c r="E86" s="707">
        <v>11778.9</v>
      </c>
      <c r="F86" s="714">
        <v>12367.844999999999</v>
      </c>
      <c r="G86" s="714"/>
      <c r="H86" s="1041"/>
    </row>
    <row r="87" spans="1:8" x14ac:dyDescent="0.3">
      <c r="A87" s="703"/>
      <c r="B87" s="1509" t="s">
        <v>1394</v>
      </c>
      <c r="C87" s="1510"/>
      <c r="D87" s="707">
        <v>10160</v>
      </c>
      <c r="E87" s="707">
        <v>10668</v>
      </c>
      <c r="F87" s="707">
        <v>10988.04</v>
      </c>
      <c r="G87" s="707">
        <v>11317.681200000001</v>
      </c>
      <c r="H87" s="1038">
        <v>11657.211636000002</v>
      </c>
    </row>
    <row r="88" spans="1:8" x14ac:dyDescent="0.3">
      <c r="A88" s="703"/>
      <c r="B88" s="1509" t="s">
        <v>1404</v>
      </c>
      <c r="C88" s="1510"/>
      <c r="D88" s="1114">
        <v>5400</v>
      </c>
      <c r="E88" s="707">
        <v>5670</v>
      </c>
      <c r="F88" s="707">
        <v>5840.1</v>
      </c>
      <c r="G88" s="707">
        <v>6015.3030000000008</v>
      </c>
      <c r="H88" s="1038">
        <v>6195.7620900000011</v>
      </c>
    </row>
    <row r="89" spans="1:8" x14ac:dyDescent="0.3">
      <c r="A89" s="703"/>
      <c r="B89" s="1509" t="s">
        <v>1395</v>
      </c>
      <c r="C89" s="1510"/>
      <c r="D89" s="1114">
        <v>694</v>
      </c>
      <c r="E89" s="709">
        <v>694</v>
      </c>
      <c r="F89" s="709">
        <v>700</v>
      </c>
      <c r="G89" s="709">
        <v>700</v>
      </c>
      <c r="H89" s="1039"/>
    </row>
    <row r="90" spans="1:8" x14ac:dyDescent="0.3">
      <c r="A90" s="703"/>
      <c r="B90" s="1509" t="s">
        <v>1396</v>
      </c>
      <c r="C90" s="1510"/>
      <c r="D90" s="1114">
        <v>980</v>
      </c>
      <c r="E90" s="709">
        <v>989</v>
      </c>
      <c r="F90" s="709">
        <v>989</v>
      </c>
      <c r="G90" s="709">
        <v>990</v>
      </c>
      <c r="H90" s="1039">
        <v>653</v>
      </c>
    </row>
    <row r="91" spans="1:8" x14ac:dyDescent="0.3">
      <c r="A91" s="703"/>
      <c r="B91" s="1509" t="s">
        <v>63</v>
      </c>
      <c r="C91" s="1510"/>
      <c r="D91" s="1114">
        <v>16800</v>
      </c>
      <c r="E91" s="709">
        <v>17800</v>
      </c>
      <c r="F91" s="709">
        <v>18500</v>
      </c>
      <c r="G91" s="709"/>
      <c r="H91" s="1039"/>
    </row>
    <row r="92" spans="1:8" x14ac:dyDescent="0.3">
      <c r="A92" s="703"/>
      <c r="B92" s="1509" t="s">
        <v>1397</v>
      </c>
      <c r="C92" s="1510"/>
      <c r="D92" s="1114">
        <v>148518</v>
      </c>
      <c r="E92" s="709">
        <v>158375</v>
      </c>
      <c r="F92" s="709">
        <v>79187</v>
      </c>
      <c r="G92" s="709"/>
      <c r="H92" s="1039"/>
    </row>
    <row r="93" spans="1:8" x14ac:dyDescent="0.3">
      <c r="A93" s="703"/>
      <c r="B93" s="1037" t="s">
        <v>1398</v>
      </c>
      <c r="C93" s="716"/>
      <c r="D93" s="709">
        <v>428</v>
      </c>
      <c r="E93" s="709">
        <v>428</v>
      </c>
      <c r="F93" s="709">
        <v>450</v>
      </c>
      <c r="G93" s="709">
        <v>460</v>
      </c>
      <c r="H93" s="1039">
        <v>475</v>
      </c>
    </row>
    <row r="94" spans="1:8" x14ac:dyDescent="0.3">
      <c r="A94" s="703"/>
      <c r="B94" s="1037" t="s">
        <v>1399</v>
      </c>
      <c r="C94" s="716"/>
      <c r="D94" s="709">
        <v>9144</v>
      </c>
      <c r="E94" s="709"/>
      <c r="F94" s="709"/>
      <c r="G94" s="709"/>
      <c r="H94" s="1039"/>
    </row>
    <row r="95" spans="1:8" x14ac:dyDescent="0.3">
      <c r="A95" s="703"/>
      <c r="B95" s="1037" t="s">
        <v>1484</v>
      </c>
      <c r="C95" s="716"/>
      <c r="D95" s="709">
        <v>10001</v>
      </c>
      <c r="E95" s="709"/>
      <c r="F95" s="709"/>
      <c r="G95" s="709"/>
      <c r="H95" s="1039"/>
    </row>
    <row r="96" spans="1:8" x14ac:dyDescent="0.3">
      <c r="A96" s="703"/>
      <c r="B96" s="1037" t="s">
        <v>1403</v>
      </c>
      <c r="C96" s="716"/>
      <c r="D96" s="709">
        <v>20000</v>
      </c>
      <c r="E96" s="709"/>
      <c r="F96" s="709"/>
      <c r="G96" s="709"/>
      <c r="H96" s="1039"/>
    </row>
    <row r="97" spans="1:8" x14ac:dyDescent="0.3">
      <c r="A97" s="703"/>
      <c r="B97" s="1037" t="s">
        <v>1400</v>
      </c>
      <c r="C97" s="716"/>
      <c r="D97" s="709">
        <v>35000</v>
      </c>
      <c r="E97" s="709">
        <v>16673</v>
      </c>
      <c r="F97" s="709"/>
      <c r="G97" s="709"/>
      <c r="H97" s="1039"/>
    </row>
    <row r="98" spans="1:8" x14ac:dyDescent="0.3">
      <c r="A98" s="703"/>
      <c r="B98" s="1037" t="s">
        <v>200</v>
      </c>
      <c r="C98" s="716"/>
      <c r="D98" s="709">
        <v>284510</v>
      </c>
      <c r="E98" s="709"/>
      <c r="F98" s="709"/>
      <c r="G98" s="709"/>
      <c r="H98" s="1039"/>
    </row>
    <row r="99" spans="1:8" x14ac:dyDescent="0.3">
      <c r="A99" s="703"/>
      <c r="B99" s="1037" t="s">
        <v>1401</v>
      </c>
      <c r="C99" s="716"/>
      <c r="D99" s="709">
        <v>50000</v>
      </c>
      <c r="E99" s="709"/>
      <c r="F99" s="709"/>
      <c r="G99" s="709"/>
      <c r="H99" s="1039"/>
    </row>
    <row r="100" spans="1:8" x14ac:dyDescent="0.3">
      <c r="A100" s="703"/>
      <c r="B100" s="1037" t="s">
        <v>1402</v>
      </c>
      <c r="C100" s="716"/>
      <c r="D100" s="709">
        <v>25000</v>
      </c>
      <c r="E100" s="709"/>
      <c r="F100" s="709"/>
      <c r="G100" s="709"/>
      <c r="H100" s="1039"/>
    </row>
    <row r="101" spans="1:8" x14ac:dyDescent="0.3">
      <c r="A101" s="703"/>
      <c r="B101" s="1098" t="s">
        <v>299</v>
      </c>
      <c r="C101" s="1099"/>
      <c r="D101" s="1100">
        <v>1302988</v>
      </c>
      <c r="E101" s="1100">
        <v>1297012</v>
      </c>
      <c r="F101" s="1100"/>
      <c r="G101" s="1100"/>
      <c r="H101" s="1101"/>
    </row>
    <row r="102" spans="1:8" x14ac:dyDescent="0.3">
      <c r="A102" s="703"/>
      <c r="B102" s="1098" t="s">
        <v>284</v>
      </c>
      <c r="C102" s="1099"/>
      <c r="D102" s="1100">
        <v>69767</v>
      </c>
      <c r="E102" s="1100"/>
      <c r="F102" s="1100"/>
      <c r="G102" s="1100"/>
      <c r="H102" s="1101"/>
    </row>
    <row r="103" spans="1:8" x14ac:dyDescent="0.3">
      <c r="A103" s="703"/>
      <c r="B103" s="1098" t="s">
        <v>285</v>
      </c>
      <c r="C103" s="1099"/>
      <c r="D103" s="1100">
        <v>62704</v>
      </c>
      <c r="E103" s="1100"/>
      <c r="F103" s="1100"/>
      <c r="G103" s="1100"/>
      <c r="H103" s="1101"/>
    </row>
    <row r="104" spans="1:8" x14ac:dyDescent="0.3">
      <c r="A104" s="703"/>
      <c r="B104" s="1098" t="s">
        <v>286</v>
      </c>
      <c r="C104" s="1099"/>
      <c r="D104" s="1100">
        <v>52136</v>
      </c>
      <c r="E104" s="1100"/>
      <c r="F104" s="1100"/>
      <c r="G104" s="1100"/>
      <c r="H104" s="1101"/>
    </row>
    <row r="105" spans="1:8" x14ac:dyDescent="0.3">
      <c r="A105" s="703"/>
      <c r="B105" s="1098" t="s">
        <v>287</v>
      </c>
      <c r="C105" s="1099"/>
      <c r="D105" s="1100">
        <v>28551</v>
      </c>
      <c r="E105" s="1100"/>
      <c r="F105" s="1100"/>
      <c r="G105" s="1100"/>
      <c r="H105" s="1101"/>
    </row>
    <row r="106" spans="1:8" x14ac:dyDescent="0.3">
      <c r="A106" s="703"/>
      <c r="B106" s="1098" t="s">
        <v>173</v>
      </c>
      <c r="C106" s="1099"/>
      <c r="D106" s="1100">
        <v>71502</v>
      </c>
      <c r="E106" s="1100"/>
      <c r="F106" s="1100"/>
      <c r="G106" s="1100"/>
      <c r="H106" s="1101"/>
    </row>
    <row r="107" spans="1:8" x14ac:dyDescent="0.3">
      <c r="A107" s="703"/>
      <c r="B107" s="1098" t="s">
        <v>1465</v>
      </c>
      <c r="C107" s="1099"/>
      <c r="D107" s="1100">
        <v>420000</v>
      </c>
      <c r="E107" s="1100"/>
      <c r="F107" s="1100"/>
      <c r="G107" s="1100"/>
      <c r="H107" s="1101"/>
    </row>
    <row r="108" spans="1:8" x14ac:dyDescent="0.3">
      <c r="A108" s="703"/>
      <c r="B108" s="1098" t="s">
        <v>1466</v>
      </c>
      <c r="C108" s="1099"/>
      <c r="D108" s="1100">
        <v>2050655</v>
      </c>
      <c r="E108" s="1100"/>
      <c r="F108" s="1100"/>
      <c r="G108" s="1100"/>
      <c r="H108" s="1101"/>
    </row>
    <row r="109" spans="1:8" x14ac:dyDescent="0.3">
      <c r="A109" s="703"/>
      <c r="B109" s="1098" t="s">
        <v>166</v>
      </c>
      <c r="C109" s="1099"/>
      <c r="D109" s="1100">
        <v>230000</v>
      </c>
      <c r="E109" s="1100"/>
      <c r="F109" s="1100"/>
      <c r="G109" s="1100"/>
      <c r="H109" s="1101"/>
    </row>
    <row r="110" spans="1:8" x14ac:dyDescent="0.3">
      <c r="A110" s="703"/>
      <c r="B110" s="1098" t="s">
        <v>1467</v>
      </c>
      <c r="C110" s="1099"/>
      <c r="D110" s="1100">
        <v>2165386</v>
      </c>
      <c r="E110" s="1100"/>
      <c r="F110" s="1100"/>
      <c r="G110" s="1100"/>
      <c r="H110" s="1101"/>
    </row>
    <row r="111" spans="1:8" ht="15" thickBot="1" x14ac:dyDescent="0.35">
      <c r="B111" s="1511" t="s">
        <v>1464</v>
      </c>
      <c r="C111" s="1512"/>
      <c r="D111" s="1043">
        <v>144000</v>
      </c>
      <c r="E111" s="1043"/>
      <c r="F111" s="1043"/>
      <c r="G111" s="1043"/>
      <c r="H111" s="1044"/>
    </row>
  </sheetData>
  <mergeCells count="74">
    <mergeCell ref="B27:C27"/>
    <mergeCell ref="B1:H1"/>
    <mergeCell ref="B3:H3"/>
    <mergeCell ref="B7:C7"/>
    <mergeCell ref="B19:C19"/>
    <mergeCell ref="B20:C20"/>
    <mergeCell ref="B21:C21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51:C5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6:C76"/>
    <mergeCell ref="B77:C77"/>
    <mergeCell ref="B78:C78"/>
    <mergeCell ref="B79:C79"/>
    <mergeCell ref="B80:C80"/>
    <mergeCell ref="B90:C90"/>
    <mergeCell ref="B91:C91"/>
    <mergeCell ref="B92:C92"/>
    <mergeCell ref="B111:C111"/>
    <mergeCell ref="B83:C83"/>
    <mergeCell ref="B86:C86"/>
    <mergeCell ref="B87:C87"/>
    <mergeCell ref="B88:C88"/>
    <mergeCell ref="B89:C89"/>
  </mergeCells>
  <pageMargins left="0.70866141732283472" right="0.70866141732283472" top="0.74803149606299213" bottom="0.74803149606299213" header="0.31496062992125984" footer="0.31496062992125984"/>
  <pageSetup paperSize="9" scale="75" firstPageNumber="57" fitToHeight="0" orientation="portrait" useFirstPageNumber="1" r:id="rId1"/>
  <headerFooter>
    <oddFooter>&amp;P. oldal</oddFooter>
  </headerFooter>
  <rowBreaks count="1" manualBreakCount="1">
    <brk id="5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zoomScaleNormal="100" workbookViewId="0">
      <selection activeCell="A9" sqref="A9:A17"/>
    </sheetView>
  </sheetViews>
  <sheetFormatPr defaultColWidth="9.109375" defaultRowHeight="13.2" x14ac:dyDescent="0.25"/>
  <cols>
    <col min="1" max="1" width="6.88671875" style="562" customWidth="1"/>
    <col min="2" max="2" width="10.109375" style="562" customWidth="1"/>
    <col min="3" max="3" width="14.5546875" style="562" customWidth="1"/>
    <col min="4" max="4" width="10.5546875" style="562" customWidth="1"/>
    <col min="5" max="7" width="9.109375" style="562"/>
    <col min="8" max="8" width="18.88671875" style="562" customWidth="1"/>
    <col min="9" max="9" width="13.6640625" style="562" customWidth="1"/>
    <col min="10" max="10" width="15.5546875" style="562" customWidth="1"/>
    <col min="11" max="16384" width="9.109375" style="562"/>
  </cols>
  <sheetData>
    <row r="1" spans="1:10" x14ac:dyDescent="0.25">
      <c r="A1" s="1565" t="s">
        <v>1409</v>
      </c>
      <c r="B1" s="1565"/>
      <c r="C1" s="1565"/>
      <c r="D1" s="1565"/>
      <c r="E1" s="1565"/>
      <c r="F1" s="1565"/>
      <c r="G1" s="1565"/>
      <c r="H1" s="1565"/>
      <c r="I1" s="1565"/>
    </row>
    <row r="2" spans="1:10" ht="16.5" customHeight="1" x14ac:dyDescent="0.25"/>
    <row r="3" spans="1:10" ht="13.8" x14ac:dyDescent="0.25">
      <c r="A3" s="1566" t="s">
        <v>668</v>
      </c>
      <c r="B3" s="1566"/>
      <c r="C3" s="1566"/>
      <c r="D3" s="1566"/>
      <c r="E3" s="1566"/>
      <c r="F3" s="1566"/>
      <c r="G3" s="1566"/>
      <c r="H3" s="1566"/>
      <c r="I3" s="1566"/>
    </row>
    <row r="4" spans="1:10" ht="13.8" x14ac:dyDescent="0.25">
      <c r="A4" s="563"/>
      <c r="B4" s="563"/>
      <c r="C4" s="563"/>
      <c r="D4" s="563"/>
      <c r="E4" s="563"/>
      <c r="F4" s="563"/>
      <c r="G4" s="563"/>
      <c r="H4" s="563"/>
    </row>
    <row r="5" spans="1:10" ht="13.8" x14ac:dyDescent="0.25">
      <c r="A5" s="563"/>
      <c r="B5" s="563"/>
      <c r="C5" s="563"/>
      <c r="D5" s="563"/>
      <c r="E5" s="563"/>
      <c r="F5" s="563"/>
      <c r="G5" s="563"/>
      <c r="H5" s="563"/>
    </row>
    <row r="6" spans="1:10" ht="13.2" customHeight="1" thickBot="1" x14ac:dyDescent="0.3">
      <c r="I6" s="65"/>
      <c r="J6" s="65" t="s">
        <v>87</v>
      </c>
    </row>
    <row r="7" spans="1:10" ht="24.75" customHeight="1" x14ac:dyDescent="0.25">
      <c r="A7" s="1567" t="s">
        <v>114</v>
      </c>
      <c r="B7" s="1569" t="s">
        <v>76</v>
      </c>
      <c r="C7" s="1570"/>
      <c r="D7" s="1569" t="s">
        <v>660</v>
      </c>
      <c r="E7" s="1573"/>
      <c r="F7" s="1573"/>
      <c r="G7" s="1573"/>
      <c r="H7" s="1570"/>
      <c r="I7" s="1577" t="s">
        <v>1434</v>
      </c>
      <c r="J7" s="1519" t="s">
        <v>1419</v>
      </c>
    </row>
    <row r="8" spans="1:10" ht="25.5" customHeight="1" thickBot="1" x14ac:dyDescent="0.3">
      <c r="A8" s="1568"/>
      <c r="B8" s="1571"/>
      <c r="C8" s="1572"/>
      <c r="D8" s="1574"/>
      <c r="E8" s="1575"/>
      <c r="F8" s="1575"/>
      <c r="G8" s="1575"/>
      <c r="H8" s="1576"/>
      <c r="I8" s="1578"/>
      <c r="J8" s="1520"/>
    </row>
    <row r="9" spans="1:10" ht="25.5" customHeight="1" x14ac:dyDescent="0.3">
      <c r="A9" s="1540" t="s">
        <v>77</v>
      </c>
      <c r="B9" s="1543" t="s">
        <v>282</v>
      </c>
      <c r="C9" s="1544"/>
      <c r="D9" s="1535" t="s">
        <v>482</v>
      </c>
      <c r="E9" s="1556" t="s">
        <v>665</v>
      </c>
      <c r="F9" s="1557"/>
      <c r="G9" s="1557"/>
      <c r="H9" s="1558"/>
      <c r="I9" s="565"/>
      <c r="J9" s="965"/>
    </row>
    <row r="10" spans="1:10" ht="25.5" customHeight="1" x14ac:dyDescent="0.3">
      <c r="A10" s="1541"/>
      <c r="B10" s="1545"/>
      <c r="C10" s="1546"/>
      <c r="D10" s="1535"/>
      <c r="E10" s="1522" t="s">
        <v>666</v>
      </c>
      <c r="F10" s="1523"/>
      <c r="G10" s="1523"/>
      <c r="H10" s="1524"/>
      <c r="I10" s="672"/>
      <c r="J10" s="966"/>
    </row>
    <row r="11" spans="1:10" ht="25.5" customHeight="1" x14ac:dyDescent="0.3">
      <c r="A11" s="1541"/>
      <c r="B11" s="1547"/>
      <c r="C11" s="1548"/>
      <c r="D11" s="1551" t="s">
        <v>483</v>
      </c>
      <c r="E11" s="1559" t="s">
        <v>484</v>
      </c>
      <c r="F11" s="1560"/>
      <c r="G11" s="1560"/>
      <c r="H11" s="1561"/>
      <c r="I11" s="672">
        <v>2076</v>
      </c>
      <c r="J11" s="966">
        <v>2076</v>
      </c>
    </row>
    <row r="12" spans="1:10" ht="25.5" customHeight="1" x14ac:dyDescent="0.3">
      <c r="A12" s="1541"/>
      <c r="B12" s="1547"/>
      <c r="C12" s="1548"/>
      <c r="D12" s="1535"/>
      <c r="E12" s="1559" t="s">
        <v>663</v>
      </c>
      <c r="F12" s="1560"/>
      <c r="G12" s="1560"/>
      <c r="H12" s="1561"/>
      <c r="I12" s="672">
        <v>270</v>
      </c>
      <c r="J12" s="966">
        <v>270</v>
      </c>
    </row>
    <row r="13" spans="1:10" ht="25.5" customHeight="1" x14ac:dyDescent="0.3">
      <c r="A13" s="1541"/>
      <c r="B13" s="1547"/>
      <c r="C13" s="1548"/>
      <c r="D13" s="1535"/>
      <c r="E13" s="1559" t="s">
        <v>126</v>
      </c>
      <c r="F13" s="1560"/>
      <c r="G13" s="1560"/>
      <c r="H13" s="1561"/>
      <c r="I13" s="672">
        <v>578</v>
      </c>
      <c r="J13" s="966">
        <v>578</v>
      </c>
    </row>
    <row r="14" spans="1:10" ht="25.5" customHeight="1" x14ac:dyDescent="0.3">
      <c r="A14" s="1541"/>
      <c r="B14" s="1547"/>
      <c r="C14" s="1548"/>
      <c r="D14" s="1535"/>
      <c r="E14" s="1559" t="s">
        <v>33</v>
      </c>
      <c r="F14" s="1560"/>
      <c r="G14" s="1560"/>
      <c r="H14" s="1561"/>
      <c r="I14" s="672"/>
      <c r="J14" s="966"/>
    </row>
    <row r="15" spans="1:10" ht="25.5" customHeight="1" x14ac:dyDescent="0.3">
      <c r="A15" s="1541"/>
      <c r="B15" s="1547"/>
      <c r="C15" s="1548"/>
      <c r="D15" s="1535"/>
      <c r="E15" s="1559" t="s">
        <v>167</v>
      </c>
      <c r="F15" s="1560"/>
      <c r="G15" s="1560"/>
      <c r="H15" s="1561"/>
      <c r="I15" s="672"/>
      <c r="J15" s="966"/>
    </row>
    <row r="16" spans="1:10" ht="25.5" customHeight="1" x14ac:dyDescent="0.3">
      <c r="A16" s="1541"/>
      <c r="B16" s="1547"/>
      <c r="C16" s="1548"/>
      <c r="D16" s="1535"/>
      <c r="E16" s="1559" t="s">
        <v>168</v>
      </c>
      <c r="F16" s="1560"/>
      <c r="G16" s="1560"/>
      <c r="H16" s="1561"/>
      <c r="I16" s="672"/>
      <c r="J16" s="966"/>
    </row>
    <row r="17" spans="1:10" ht="25.5" customHeight="1" thickBot="1" x14ac:dyDescent="0.35">
      <c r="A17" s="1553"/>
      <c r="B17" s="1554"/>
      <c r="C17" s="1555"/>
      <c r="D17" s="1505"/>
      <c r="E17" s="1562" t="s">
        <v>664</v>
      </c>
      <c r="F17" s="1563"/>
      <c r="G17" s="1563"/>
      <c r="H17" s="1564"/>
      <c r="I17" s="673"/>
      <c r="J17" s="967"/>
    </row>
    <row r="18" spans="1:10" ht="25.5" customHeight="1" x14ac:dyDescent="0.3">
      <c r="A18" s="1540" t="s">
        <v>78</v>
      </c>
      <c r="B18" s="1543" t="s">
        <v>1071</v>
      </c>
      <c r="C18" s="1544"/>
      <c r="D18" s="1534" t="s">
        <v>482</v>
      </c>
      <c r="E18" s="1537" t="s">
        <v>661</v>
      </c>
      <c r="F18" s="1537"/>
      <c r="G18" s="1537"/>
      <c r="H18" s="1537"/>
      <c r="I18" s="674"/>
      <c r="J18" s="968"/>
    </row>
    <row r="19" spans="1:10" ht="25.5" customHeight="1" x14ac:dyDescent="0.3">
      <c r="A19" s="1541"/>
      <c r="B19" s="1545"/>
      <c r="C19" s="1546"/>
      <c r="D19" s="1535"/>
      <c r="E19" s="1521" t="s">
        <v>662</v>
      </c>
      <c r="F19" s="1521"/>
      <c r="G19" s="1521"/>
      <c r="H19" s="1521"/>
      <c r="I19" s="672">
        <v>28551</v>
      </c>
      <c r="J19" s="966">
        <v>28551</v>
      </c>
    </row>
    <row r="20" spans="1:10" ht="25.5" customHeight="1" x14ac:dyDescent="0.3">
      <c r="A20" s="1541"/>
      <c r="B20" s="1547"/>
      <c r="C20" s="1548"/>
      <c r="D20" s="1551" t="s">
        <v>483</v>
      </c>
      <c r="E20" s="1521" t="s">
        <v>484</v>
      </c>
      <c r="F20" s="1521"/>
      <c r="G20" s="1521"/>
      <c r="H20" s="1521"/>
      <c r="I20" s="672"/>
      <c r="J20" s="966"/>
    </row>
    <row r="21" spans="1:10" ht="25.5" customHeight="1" x14ac:dyDescent="0.3">
      <c r="A21" s="1541"/>
      <c r="B21" s="1547"/>
      <c r="C21" s="1548"/>
      <c r="D21" s="1535"/>
      <c r="E21" s="1521" t="s">
        <v>663</v>
      </c>
      <c r="F21" s="1521"/>
      <c r="G21" s="1521"/>
      <c r="H21" s="1521"/>
      <c r="I21" s="672"/>
      <c r="J21" s="966"/>
    </row>
    <row r="22" spans="1:10" ht="25.5" customHeight="1" x14ac:dyDescent="0.3">
      <c r="A22" s="1541"/>
      <c r="B22" s="1547"/>
      <c r="C22" s="1548"/>
      <c r="D22" s="1535"/>
      <c r="E22" s="1521" t="s">
        <v>126</v>
      </c>
      <c r="F22" s="1521"/>
      <c r="G22" s="1521"/>
      <c r="H22" s="1521"/>
      <c r="I22" s="672"/>
      <c r="J22" s="966"/>
    </row>
    <row r="23" spans="1:10" ht="25.5" customHeight="1" x14ac:dyDescent="0.3">
      <c r="A23" s="1541"/>
      <c r="B23" s="1547"/>
      <c r="C23" s="1548"/>
      <c r="D23" s="1535"/>
      <c r="E23" s="1521" t="s">
        <v>33</v>
      </c>
      <c r="F23" s="1521"/>
      <c r="G23" s="1521"/>
      <c r="H23" s="1521"/>
      <c r="I23" s="672"/>
      <c r="J23" s="966"/>
    </row>
    <row r="24" spans="1:10" ht="25.5" customHeight="1" x14ac:dyDescent="0.3">
      <c r="A24" s="1541"/>
      <c r="B24" s="1547"/>
      <c r="C24" s="1548"/>
      <c r="D24" s="1535"/>
      <c r="E24" s="1521" t="s">
        <v>167</v>
      </c>
      <c r="F24" s="1521"/>
      <c r="G24" s="1521"/>
      <c r="H24" s="1521"/>
      <c r="I24" s="672">
        <v>28551</v>
      </c>
      <c r="J24" s="966">
        <v>28551</v>
      </c>
    </row>
    <row r="25" spans="1:10" ht="25.5" customHeight="1" x14ac:dyDescent="0.3">
      <c r="A25" s="1541"/>
      <c r="B25" s="1547"/>
      <c r="C25" s="1548"/>
      <c r="D25" s="1535"/>
      <c r="E25" s="1521" t="s">
        <v>168</v>
      </c>
      <c r="F25" s="1521"/>
      <c r="G25" s="1521"/>
      <c r="H25" s="1521"/>
      <c r="I25" s="672"/>
      <c r="J25" s="966"/>
    </row>
    <row r="26" spans="1:10" ht="25.5" customHeight="1" thickBot="1" x14ac:dyDescent="0.35">
      <c r="A26" s="1542"/>
      <c r="B26" s="1549"/>
      <c r="C26" s="1550"/>
      <c r="D26" s="1506"/>
      <c r="E26" s="1552" t="s">
        <v>664</v>
      </c>
      <c r="F26" s="1552"/>
      <c r="G26" s="1552"/>
      <c r="H26" s="1552"/>
      <c r="I26" s="675"/>
      <c r="J26" s="969"/>
    </row>
    <row r="27" spans="1:10" ht="25.2" customHeight="1" x14ac:dyDescent="0.3">
      <c r="A27" s="1540" t="s">
        <v>79</v>
      </c>
      <c r="B27" s="1543" t="s">
        <v>1072</v>
      </c>
      <c r="C27" s="1544"/>
      <c r="D27" s="1534" t="s">
        <v>482</v>
      </c>
      <c r="E27" s="1537" t="s">
        <v>661</v>
      </c>
      <c r="F27" s="1537"/>
      <c r="G27" s="1537"/>
      <c r="H27" s="1537"/>
      <c r="I27" s="674"/>
      <c r="J27" s="968"/>
    </row>
    <row r="28" spans="1:10" ht="25.2" customHeight="1" x14ac:dyDescent="0.3">
      <c r="A28" s="1541"/>
      <c r="B28" s="1545"/>
      <c r="C28" s="1546"/>
      <c r="D28" s="1535"/>
      <c r="E28" s="1521" t="s">
        <v>662</v>
      </c>
      <c r="F28" s="1521"/>
      <c r="G28" s="1521"/>
      <c r="H28" s="1521"/>
      <c r="I28" s="672">
        <v>62704</v>
      </c>
      <c r="J28" s="966">
        <v>62704</v>
      </c>
    </row>
    <row r="29" spans="1:10" ht="25.2" customHeight="1" x14ac:dyDescent="0.3">
      <c r="A29" s="1541"/>
      <c r="B29" s="1547"/>
      <c r="C29" s="1548"/>
      <c r="D29" s="1551" t="s">
        <v>483</v>
      </c>
      <c r="E29" s="1522" t="s">
        <v>484</v>
      </c>
      <c r="F29" s="1523"/>
      <c r="G29" s="1523"/>
      <c r="H29" s="1524"/>
      <c r="I29" s="672"/>
      <c r="J29" s="966"/>
    </row>
    <row r="30" spans="1:10" ht="25.2" customHeight="1" x14ac:dyDescent="0.3">
      <c r="A30" s="1541"/>
      <c r="B30" s="1547"/>
      <c r="C30" s="1548"/>
      <c r="D30" s="1535"/>
      <c r="E30" s="1522" t="s">
        <v>663</v>
      </c>
      <c r="F30" s="1523"/>
      <c r="G30" s="1523"/>
      <c r="H30" s="1524"/>
      <c r="I30" s="672"/>
      <c r="J30" s="966"/>
    </row>
    <row r="31" spans="1:10" ht="25.2" customHeight="1" x14ac:dyDescent="0.3">
      <c r="A31" s="1541"/>
      <c r="B31" s="1547"/>
      <c r="C31" s="1548"/>
      <c r="D31" s="1535"/>
      <c r="E31" s="1522" t="s">
        <v>126</v>
      </c>
      <c r="F31" s="1523"/>
      <c r="G31" s="1523"/>
      <c r="H31" s="1524"/>
      <c r="I31" s="672"/>
      <c r="J31" s="966"/>
    </row>
    <row r="32" spans="1:10" ht="25.2" customHeight="1" x14ac:dyDescent="0.3">
      <c r="A32" s="1541"/>
      <c r="B32" s="1547"/>
      <c r="C32" s="1548"/>
      <c r="D32" s="1535"/>
      <c r="E32" s="1522" t="s">
        <v>33</v>
      </c>
      <c r="F32" s="1523"/>
      <c r="G32" s="1523"/>
      <c r="H32" s="1524"/>
      <c r="I32" s="672"/>
      <c r="J32" s="966"/>
    </row>
    <row r="33" spans="1:10" ht="25.2" customHeight="1" x14ac:dyDescent="0.3">
      <c r="A33" s="1541"/>
      <c r="B33" s="1547"/>
      <c r="C33" s="1548"/>
      <c r="D33" s="1535"/>
      <c r="E33" s="1522" t="s">
        <v>167</v>
      </c>
      <c r="F33" s="1523"/>
      <c r="G33" s="1523"/>
      <c r="H33" s="1524"/>
      <c r="I33" s="672">
        <v>62704</v>
      </c>
      <c r="J33" s="966">
        <v>62704</v>
      </c>
    </row>
    <row r="34" spans="1:10" ht="25.2" customHeight="1" x14ac:dyDescent="0.3">
      <c r="A34" s="1541"/>
      <c r="B34" s="1547"/>
      <c r="C34" s="1548"/>
      <c r="D34" s="1535"/>
      <c r="E34" s="1522" t="s">
        <v>168</v>
      </c>
      <c r="F34" s="1523"/>
      <c r="G34" s="1523"/>
      <c r="H34" s="1524"/>
      <c r="I34" s="672"/>
      <c r="J34" s="966"/>
    </row>
    <row r="35" spans="1:10" ht="25.2" customHeight="1" thickBot="1" x14ac:dyDescent="0.35">
      <c r="A35" s="1542"/>
      <c r="B35" s="1549"/>
      <c r="C35" s="1550"/>
      <c r="D35" s="1506"/>
      <c r="E35" s="684" t="s">
        <v>664</v>
      </c>
      <c r="F35" s="685"/>
      <c r="G35" s="685"/>
      <c r="H35" s="685"/>
      <c r="I35" s="675"/>
      <c r="J35" s="969"/>
    </row>
    <row r="36" spans="1:10" ht="25.2" customHeight="1" x14ac:dyDescent="0.3">
      <c r="A36" s="1540" t="s">
        <v>191</v>
      </c>
      <c r="B36" s="1543" t="s">
        <v>1073</v>
      </c>
      <c r="C36" s="1544"/>
      <c r="D36" s="1534" t="s">
        <v>482</v>
      </c>
      <c r="E36" s="1537" t="s">
        <v>661</v>
      </c>
      <c r="F36" s="1537"/>
      <c r="G36" s="1537"/>
      <c r="H36" s="1537"/>
      <c r="I36" s="674"/>
      <c r="J36" s="968"/>
    </row>
    <row r="37" spans="1:10" ht="25.2" customHeight="1" x14ac:dyDescent="0.3">
      <c r="A37" s="1541"/>
      <c r="B37" s="1545"/>
      <c r="C37" s="1546"/>
      <c r="D37" s="1535"/>
      <c r="E37" s="1521" t="s">
        <v>662</v>
      </c>
      <c r="F37" s="1521"/>
      <c r="G37" s="1521"/>
      <c r="H37" s="1521"/>
      <c r="I37" s="672">
        <v>52136</v>
      </c>
      <c r="J37" s="966">
        <v>52136</v>
      </c>
    </row>
    <row r="38" spans="1:10" ht="25.2" customHeight="1" x14ac:dyDescent="0.3">
      <c r="A38" s="1541"/>
      <c r="B38" s="1547"/>
      <c r="C38" s="1548"/>
      <c r="D38" s="1551" t="s">
        <v>483</v>
      </c>
      <c r="E38" s="1522" t="s">
        <v>484</v>
      </c>
      <c r="F38" s="1523"/>
      <c r="G38" s="1523"/>
      <c r="H38" s="1524"/>
      <c r="I38" s="672"/>
      <c r="J38" s="966"/>
    </row>
    <row r="39" spans="1:10" ht="25.2" customHeight="1" x14ac:dyDescent="0.3">
      <c r="A39" s="1541"/>
      <c r="B39" s="1547"/>
      <c r="C39" s="1548"/>
      <c r="D39" s="1535"/>
      <c r="E39" s="1522" t="s">
        <v>663</v>
      </c>
      <c r="F39" s="1523"/>
      <c r="G39" s="1523"/>
      <c r="H39" s="1524"/>
      <c r="I39" s="672"/>
      <c r="J39" s="966"/>
    </row>
    <row r="40" spans="1:10" ht="25.2" customHeight="1" x14ac:dyDescent="0.3">
      <c r="A40" s="1541"/>
      <c r="B40" s="1547"/>
      <c r="C40" s="1548"/>
      <c r="D40" s="1535"/>
      <c r="E40" s="1522" t="s">
        <v>126</v>
      </c>
      <c r="F40" s="1523"/>
      <c r="G40" s="1523"/>
      <c r="H40" s="1524"/>
      <c r="I40" s="672"/>
      <c r="J40" s="966"/>
    </row>
    <row r="41" spans="1:10" ht="25.2" customHeight="1" x14ac:dyDescent="0.3">
      <c r="A41" s="1541"/>
      <c r="B41" s="1547"/>
      <c r="C41" s="1548"/>
      <c r="D41" s="1535"/>
      <c r="E41" s="1522" t="s">
        <v>33</v>
      </c>
      <c r="F41" s="1523"/>
      <c r="G41" s="1523"/>
      <c r="H41" s="1524"/>
      <c r="I41" s="672"/>
      <c r="J41" s="966"/>
    </row>
    <row r="42" spans="1:10" ht="25.2" customHeight="1" x14ac:dyDescent="0.3">
      <c r="A42" s="1541"/>
      <c r="B42" s="1547"/>
      <c r="C42" s="1548"/>
      <c r="D42" s="1535"/>
      <c r="E42" s="1522" t="s">
        <v>167</v>
      </c>
      <c r="F42" s="1523"/>
      <c r="G42" s="1523"/>
      <c r="H42" s="1524"/>
      <c r="I42" s="672">
        <v>52136</v>
      </c>
      <c r="J42" s="966">
        <v>52136</v>
      </c>
    </row>
    <row r="43" spans="1:10" ht="25.2" customHeight="1" x14ac:dyDescent="0.3">
      <c r="A43" s="1541"/>
      <c r="B43" s="1547"/>
      <c r="C43" s="1548"/>
      <c r="D43" s="1535"/>
      <c r="E43" s="1522" t="s">
        <v>168</v>
      </c>
      <c r="F43" s="1523"/>
      <c r="G43" s="1523"/>
      <c r="H43" s="1524"/>
      <c r="I43" s="672"/>
      <c r="J43" s="966"/>
    </row>
    <row r="44" spans="1:10" ht="25.2" customHeight="1" thickBot="1" x14ac:dyDescent="0.35">
      <c r="A44" s="1542"/>
      <c r="B44" s="1549"/>
      <c r="C44" s="1550"/>
      <c r="D44" s="1506"/>
      <c r="E44" s="684" t="s">
        <v>664</v>
      </c>
      <c r="F44" s="685"/>
      <c r="G44" s="685"/>
      <c r="H44" s="685"/>
      <c r="I44" s="675"/>
      <c r="J44" s="969"/>
    </row>
    <row r="45" spans="1:10" ht="25.2" customHeight="1" x14ac:dyDescent="0.3">
      <c r="A45" s="1540" t="s">
        <v>192</v>
      </c>
      <c r="B45" s="1543" t="s">
        <v>1074</v>
      </c>
      <c r="C45" s="1544"/>
      <c r="D45" s="1534" t="s">
        <v>482</v>
      </c>
      <c r="E45" s="1537" t="s">
        <v>661</v>
      </c>
      <c r="F45" s="1537"/>
      <c r="G45" s="1537"/>
      <c r="H45" s="1537"/>
      <c r="I45" s="674"/>
      <c r="J45" s="968"/>
    </row>
    <row r="46" spans="1:10" ht="25.2" customHeight="1" x14ac:dyDescent="0.3">
      <c r="A46" s="1541"/>
      <c r="B46" s="1545"/>
      <c r="C46" s="1546"/>
      <c r="D46" s="1535"/>
      <c r="E46" s="1521" t="s">
        <v>662</v>
      </c>
      <c r="F46" s="1521"/>
      <c r="G46" s="1521"/>
      <c r="H46" s="1521"/>
      <c r="I46" s="672">
        <v>69767</v>
      </c>
      <c r="J46" s="966">
        <v>69767</v>
      </c>
    </row>
    <row r="47" spans="1:10" ht="25.2" customHeight="1" x14ac:dyDescent="0.3">
      <c r="A47" s="1541"/>
      <c r="B47" s="1547"/>
      <c r="C47" s="1548"/>
      <c r="D47" s="1551" t="s">
        <v>483</v>
      </c>
      <c r="E47" s="1522" t="s">
        <v>484</v>
      </c>
      <c r="F47" s="1523"/>
      <c r="G47" s="1523"/>
      <c r="H47" s="1524"/>
      <c r="I47" s="672"/>
      <c r="J47" s="966"/>
    </row>
    <row r="48" spans="1:10" ht="25.2" customHeight="1" x14ac:dyDescent="0.3">
      <c r="A48" s="1541"/>
      <c r="B48" s="1547"/>
      <c r="C48" s="1548"/>
      <c r="D48" s="1535"/>
      <c r="E48" s="1522" t="s">
        <v>663</v>
      </c>
      <c r="F48" s="1523"/>
      <c r="G48" s="1523"/>
      <c r="H48" s="1524"/>
      <c r="I48" s="672"/>
      <c r="J48" s="966"/>
    </row>
    <row r="49" spans="1:10" ht="25.2" customHeight="1" x14ac:dyDescent="0.3">
      <c r="A49" s="1541"/>
      <c r="B49" s="1547"/>
      <c r="C49" s="1548"/>
      <c r="D49" s="1535"/>
      <c r="E49" s="1522" t="s">
        <v>126</v>
      </c>
      <c r="F49" s="1523"/>
      <c r="G49" s="1523"/>
      <c r="H49" s="1524"/>
      <c r="I49" s="672"/>
      <c r="J49" s="966"/>
    </row>
    <row r="50" spans="1:10" ht="25.2" customHeight="1" x14ac:dyDescent="0.3">
      <c r="A50" s="1541"/>
      <c r="B50" s="1547"/>
      <c r="C50" s="1548"/>
      <c r="D50" s="1535"/>
      <c r="E50" s="1522" t="s">
        <v>33</v>
      </c>
      <c r="F50" s="1523"/>
      <c r="G50" s="1523"/>
      <c r="H50" s="1524"/>
      <c r="I50" s="672"/>
      <c r="J50" s="966"/>
    </row>
    <row r="51" spans="1:10" ht="25.2" customHeight="1" x14ac:dyDescent="0.3">
      <c r="A51" s="1541"/>
      <c r="B51" s="1547"/>
      <c r="C51" s="1548"/>
      <c r="D51" s="1535"/>
      <c r="E51" s="1522" t="s">
        <v>167</v>
      </c>
      <c r="F51" s="1523"/>
      <c r="G51" s="1523"/>
      <c r="H51" s="1524"/>
      <c r="I51" s="672">
        <v>69767</v>
      </c>
      <c r="J51" s="966">
        <v>69767</v>
      </c>
    </row>
    <row r="52" spans="1:10" ht="25.2" customHeight="1" x14ac:dyDescent="0.3">
      <c r="A52" s="1541"/>
      <c r="B52" s="1547"/>
      <c r="C52" s="1548"/>
      <c r="D52" s="1535"/>
      <c r="E52" s="1522" t="s">
        <v>168</v>
      </c>
      <c r="F52" s="1523"/>
      <c r="G52" s="1523"/>
      <c r="H52" s="1524"/>
      <c r="I52" s="672"/>
      <c r="J52" s="966"/>
    </row>
    <row r="53" spans="1:10" ht="25.2" customHeight="1" thickBot="1" x14ac:dyDescent="0.35">
      <c r="A53" s="1542"/>
      <c r="B53" s="1549"/>
      <c r="C53" s="1550"/>
      <c r="D53" s="1506"/>
      <c r="E53" s="684" t="s">
        <v>664</v>
      </c>
      <c r="F53" s="685"/>
      <c r="G53" s="685"/>
      <c r="H53" s="685"/>
      <c r="I53" s="675"/>
      <c r="J53" s="969"/>
    </row>
    <row r="54" spans="1:10" ht="25.2" customHeight="1" x14ac:dyDescent="0.3">
      <c r="A54" s="1540" t="s">
        <v>191</v>
      </c>
      <c r="B54" s="1543" t="s">
        <v>667</v>
      </c>
      <c r="C54" s="1544"/>
      <c r="D54" s="1534" t="s">
        <v>482</v>
      </c>
      <c r="E54" s="1537" t="s">
        <v>665</v>
      </c>
      <c r="F54" s="1537"/>
      <c r="G54" s="1537"/>
      <c r="H54" s="1537"/>
      <c r="I54" s="674">
        <v>13775</v>
      </c>
      <c r="J54" s="968">
        <v>13775</v>
      </c>
    </row>
    <row r="55" spans="1:10" ht="25.2" customHeight="1" x14ac:dyDescent="0.3">
      <c r="A55" s="1541"/>
      <c r="B55" s="1545"/>
      <c r="C55" s="1546"/>
      <c r="D55" s="1535"/>
      <c r="E55" s="1521" t="s">
        <v>666</v>
      </c>
      <c r="F55" s="1521"/>
      <c r="G55" s="1521"/>
      <c r="H55" s="1521"/>
      <c r="I55" s="672"/>
      <c r="J55" s="966"/>
    </row>
    <row r="56" spans="1:10" ht="25.2" customHeight="1" x14ac:dyDescent="0.3">
      <c r="A56" s="1541"/>
      <c r="B56" s="1547"/>
      <c r="C56" s="1548"/>
      <c r="D56" s="1551" t="s">
        <v>483</v>
      </c>
      <c r="E56" s="1521" t="s">
        <v>484</v>
      </c>
      <c r="F56" s="1521"/>
      <c r="G56" s="1521"/>
      <c r="H56" s="1521"/>
      <c r="I56" s="672">
        <v>7522</v>
      </c>
      <c r="J56" s="966">
        <v>8770</v>
      </c>
    </row>
    <row r="57" spans="1:10" ht="25.2" customHeight="1" x14ac:dyDescent="0.3">
      <c r="A57" s="1541"/>
      <c r="B57" s="1547"/>
      <c r="C57" s="1548"/>
      <c r="D57" s="1535"/>
      <c r="E57" s="1521" t="s">
        <v>663</v>
      </c>
      <c r="F57" s="1521"/>
      <c r="G57" s="1521"/>
      <c r="H57" s="1521"/>
      <c r="I57" s="672">
        <v>978</v>
      </c>
      <c r="J57" s="966">
        <v>1097</v>
      </c>
    </row>
    <row r="58" spans="1:10" ht="25.2" customHeight="1" x14ac:dyDescent="0.3">
      <c r="A58" s="1541"/>
      <c r="B58" s="1547"/>
      <c r="C58" s="1548"/>
      <c r="D58" s="1535"/>
      <c r="E58" s="1521" t="s">
        <v>126</v>
      </c>
      <c r="F58" s="1521"/>
      <c r="G58" s="1521"/>
      <c r="H58" s="1521"/>
      <c r="I58" s="672">
        <v>7700</v>
      </c>
      <c r="J58" s="966">
        <v>7700</v>
      </c>
    </row>
    <row r="59" spans="1:10" ht="25.2" customHeight="1" x14ac:dyDescent="0.3">
      <c r="A59" s="1541"/>
      <c r="B59" s="1547"/>
      <c r="C59" s="1548"/>
      <c r="D59" s="1535"/>
      <c r="E59" s="1521" t="s">
        <v>33</v>
      </c>
      <c r="F59" s="1521"/>
      <c r="G59" s="1521"/>
      <c r="H59" s="1521"/>
      <c r="I59" s="672"/>
      <c r="J59" s="966"/>
    </row>
    <row r="60" spans="1:10" ht="25.2" customHeight="1" x14ac:dyDescent="0.3">
      <c r="A60" s="1541"/>
      <c r="B60" s="1547"/>
      <c r="C60" s="1548"/>
      <c r="D60" s="1535"/>
      <c r="E60" s="1521" t="s">
        <v>167</v>
      </c>
      <c r="F60" s="1521"/>
      <c r="G60" s="1521"/>
      <c r="H60" s="1521"/>
      <c r="I60" s="672"/>
      <c r="J60" s="966">
        <v>3462</v>
      </c>
    </row>
    <row r="61" spans="1:10" ht="25.2" customHeight="1" x14ac:dyDescent="0.3">
      <c r="A61" s="1541"/>
      <c r="B61" s="1547"/>
      <c r="C61" s="1548"/>
      <c r="D61" s="1535"/>
      <c r="E61" s="1521" t="s">
        <v>168</v>
      </c>
      <c r="F61" s="1521"/>
      <c r="G61" s="1521"/>
      <c r="H61" s="1521"/>
      <c r="I61" s="672"/>
      <c r="J61" s="966"/>
    </row>
    <row r="62" spans="1:10" ht="25.2" customHeight="1" thickBot="1" x14ac:dyDescent="0.35">
      <c r="A62" s="1542"/>
      <c r="B62" s="1549"/>
      <c r="C62" s="1550"/>
      <c r="D62" s="1506"/>
      <c r="E62" s="684" t="s">
        <v>664</v>
      </c>
      <c r="F62" s="685"/>
      <c r="G62" s="685"/>
      <c r="H62" s="685"/>
      <c r="I62" s="675"/>
      <c r="J62" s="969"/>
    </row>
    <row r="63" spans="1:10" ht="25.2" customHeight="1" x14ac:dyDescent="0.3">
      <c r="A63" s="1525" t="s">
        <v>85</v>
      </c>
      <c r="B63" s="1526"/>
      <c r="C63" s="1527"/>
      <c r="D63" s="1534" t="s">
        <v>482</v>
      </c>
      <c r="E63" s="1537" t="s">
        <v>661</v>
      </c>
      <c r="F63" s="1537"/>
      <c r="G63" s="1537"/>
      <c r="H63" s="1537"/>
      <c r="I63" s="676">
        <f>SUM(I18+I27+I36+I45)</f>
        <v>0</v>
      </c>
      <c r="J63" s="970">
        <f>SUM(J18+J27+J36+J45)</f>
        <v>0</v>
      </c>
    </row>
    <row r="64" spans="1:10" ht="25.2" customHeight="1" x14ac:dyDescent="0.3">
      <c r="A64" s="1528"/>
      <c r="B64" s="1529"/>
      <c r="C64" s="1530"/>
      <c r="D64" s="1535"/>
      <c r="E64" s="1521" t="s">
        <v>662</v>
      </c>
      <c r="F64" s="1521"/>
      <c r="G64" s="1521"/>
      <c r="H64" s="1521"/>
      <c r="I64" s="677">
        <f>SUM(I19+I28+I37+I46)</f>
        <v>213158</v>
      </c>
      <c r="J64" s="971">
        <f>SUM(J19+J28+J37+J46)</f>
        <v>213158</v>
      </c>
    </row>
    <row r="65" spans="1:10" ht="25.2" customHeight="1" x14ac:dyDescent="0.3">
      <c r="A65" s="1528"/>
      <c r="B65" s="1529"/>
      <c r="C65" s="1530"/>
      <c r="D65" s="1535"/>
      <c r="E65" s="1521" t="s">
        <v>665</v>
      </c>
      <c r="F65" s="1521"/>
      <c r="G65" s="1521"/>
      <c r="H65" s="1521"/>
      <c r="I65" s="678">
        <f>SUM(I9+I54)</f>
        <v>13775</v>
      </c>
      <c r="J65" s="972">
        <f>SUM(J9+J54)</f>
        <v>13775</v>
      </c>
    </row>
    <row r="66" spans="1:10" ht="25.2" customHeight="1" thickBot="1" x14ac:dyDescent="0.35">
      <c r="A66" s="1528"/>
      <c r="B66" s="1529"/>
      <c r="C66" s="1530"/>
      <c r="D66" s="1536"/>
      <c r="E66" s="1538" t="s">
        <v>666</v>
      </c>
      <c r="F66" s="1538"/>
      <c r="G66" s="1538"/>
      <c r="H66" s="1538"/>
      <c r="I66" s="679">
        <f>SUM(I10+I55)</f>
        <v>0</v>
      </c>
      <c r="J66" s="973">
        <f>SUM(J10+J55)</f>
        <v>0</v>
      </c>
    </row>
    <row r="67" spans="1:10" ht="25.2" customHeight="1" x14ac:dyDescent="0.3">
      <c r="A67" s="1528"/>
      <c r="B67" s="1529"/>
      <c r="C67" s="1530"/>
      <c r="D67" s="1535" t="s">
        <v>483</v>
      </c>
      <c r="E67" s="1539" t="s">
        <v>484</v>
      </c>
      <c r="F67" s="1539"/>
      <c r="G67" s="1539"/>
      <c r="H67" s="1539"/>
      <c r="I67" s="680">
        <f>SUM(I11+I20+I29+I38+I47+I56)</f>
        <v>9598</v>
      </c>
      <c r="J67" s="974">
        <f>SUM(J11+J20+J29+J38+J47+J56)</f>
        <v>10846</v>
      </c>
    </row>
    <row r="68" spans="1:10" ht="25.2" customHeight="1" x14ac:dyDescent="0.3">
      <c r="A68" s="1528"/>
      <c r="B68" s="1529"/>
      <c r="C68" s="1530"/>
      <c r="D68" s="1535"/>
      <c r="E68" s="1521" t="s">
        <v>663</v>
      </c>
      <c r="F68" s="1521"/>
      <c r="G68" s="1521"/>
      <c r="H68" s="1521"/>
      <c r="I68" s="678">
        <f t="shared" ref="I68:J70" si="0">SUM(I12+I21+I30+I39+I48+I57)</f>
        <v>1248</v>
      </c>
      <c r="J68" s="972">
        <f t="shared" si="0"/>
        <v>1367</v>
      </c>
    </row>
    <row r="69" spans="1:10" ht="25.2" customHeight="1" x14ac:dyDescent="0.3">
      <c r="A69" s="1528"/>
      <c r="B69" s="1529"/>
      <c r="C69" s="1530"/>
      <c r="D69" s="1535"/>
      <c r="E69" s="1521" t="s">
        <v>126</v>
      </c>
      <c r="F69" s="1521"/>
      <c r="G69" s="1521"/>
      <c r="H69" s="1521"/>
      <c r="I69" s="678">
        <f t="shared" si="0"/>
        <v>8278</v>
      </c>
      <c r="J69" s="972">
        <f t="shared" si="0"/>
        <v>8278</v>
      </c>
    </row>
    <row r="70" spans="1:10" ht="25.2" customHeight="1" x14ac:dyDescent="0.3">
      <c r="A70" s="1528"/>
      <c r="B70" s="1529"/>
      <c r="C70" s="1530"/>
      <c r="D70" s="1535"/>
      <c r="E70" s="1521" t="s">
        <v>33</v>
      </c>
      <c r="F70" s="1521"/>
      <c r="G70" s="1521"/>
      <c r="H70" s="1521"/>
      <c r="I70" s="678">
        <f t="shared" si="0"/>
        <v>0</v>
      </c>
      <c r="J70" s="972">
        <f t="shared" si="0"/>
        <v>0</v>
      </c>
    </row>
    <row r="71" spans="1:10" ht="25.2" customHeight="1" x14ac:dyDescent="0.3">
      <c r="A71" s="1528"/>
      <c r="B71" s="1529"/>
      <c r="C71" s="1530"/>
      <c r="D71" s="1535"/>
      <c r="E71" s="1521" t="s">
        <v>487</v>
      </c>
      <c r="F71" s="1521"/>
      <c r="G71" s="1521"/>
      <c r="H71" s="1521"/>
      <c r="I71" s="678">
        <v>0</v>
      </c>
      <c r="J71" s="972">
        <v>0</v>
      </c>
    </row>
    <row r="72" spans="1:10" ht="25.2" customHeight="1" x14ac:dyDescent="0.3">
      <c r="A72" s="1528"/>
      <c r="B72" s="1529"/>
      <c r="C72" s="1530"/>
      <c r="D72" s="1535"/>
      <c r="E72" s="1521" t="s">
        <v>168</v>
      </c>
      <c r="F72" s="1521"/>
      <c r="G72" s="1521"/>
      <c r="H72" s="1521"/>
      <c r="I72" s="678">
        <f>SUM(I16+I25+I34+I43+I52+I61)</f>
        <v>0</v>
      </c>
      <c r="J72" s="972">
        <f>SUM(J16+J25+J34+J43+J52+J61)</f>
        <v>0</v>
      </c>
    </row>
    <row r="73" spans="1:10" ht="25.2" customHeight="1" x14ac:dyDescent="0.3">
      <c r="A73" s="1528"/>
      <c r="B73" s="1529"/>
      <c r="C73" s="1530"/>
      <c r="D73" s="1535"/>
      <c r="E73" s="681" t="s">
        <v>664</v>
      </c>
      <c r="F73" s="682"/>
      <c r="G73" s="682"/>
      <c r="H73" s="682"/>
      <c r="I73" s="683">
        <v>0</v>
      </c>
      <c r="J73" s="975">
        <v>0</v>
      </c>
    </row>
    <row r="74" spans="1:10" ht="25.2" customHeight="1" x14ac:dyDescent="0.3">
      <c r="A74" s="1528"/>
      <c r="B74" s="1529"/>
      <c r="C74" s="1530"/>
      <c r="D74" s="1535"/>
      <c r="E74" s="1522" t="s">
        <v>167</v>
      </c>
      <c r="F74" s="1523"/>
      <c r="G74" s="1523"/>
      <c r="H74" s="1524"/>
      <c r="I74" s="678">
        <f>SUM(I15+I24+I33+I42+I51+I60)</f>
        <v>213158</v>
      </c>
      <c r="J74" s="972">
        <f>SUM(J15+J24+J33+J42+J51+J60)</f>
        <v>216620</v>
      </c>
    </row>
    <row r="75" spans="1:10" ht="25.2" customHeight="1" thickBot="1" x14ac:dyDescent="0.4">
      <c r="A75" s="1531"/>
      <c r="B75" s="1532"/>
      <c r="C75" s="1533"/>
      <c r="D75" s="1536"/>
      <c r="E75" s="684" t="s">
        <v>664</v>
      </c>
      <c r="F75" s="685"/>
      <c r="G75" s="685"/>
      <c r="H75" s="685"/>
      <c r="I75" s="686">
        <v>0</v>
      </c>
      <c r="J75" s="976">
        <v>0</v>
      </c>
    </row>
    <row r="76" spans="1:10" ht="13.65" customHeight="1" x14ac:dyDescent="0.3">
      <c r="A76" s="566"/>
      <c r="B76" s="567"/>
      <c r="C76" s="567"/>
      <c r="D76" s="568"/>
      <c r="E76" s="564"/>
      <c r="F76" s="564"/>
      <c r="G76" s="564"/>
      <c r="H76" s="564"/>
    </row>
  </sheetData>
  <mergeCells count="95">
    <mergeCell ref="A1:I1"/>
    <mergeCell ref="A3:I3"/>
    <mergeCell ref="A7:A8"/>
    <mergeCell ref="B7:C8"/>
    <mergeCell ref="D7:H8"/>
    <mergeCell ref="I7:I8"/>
    <mergeCell ref="A9:A17"/>
    <mergeCell ref="B9:C17"/>
    <mergeCell ref="D9:D10"/>
    <mergeCell ref="E9:H9"/>
    <mergeCell ref="E10:H10"/>
    <mergeCell ref="D11:D17"/>
    <mergeCell ref="E11:H11"/>
    <mergeCell ref="E12:H12"/>
    <mergeCell ref="E13:H13"/>
    <mergeCell ref="E14:H14"/>
    <mergeCell ref="E15:H15"/>
    <mergeCell ref="E16:H16"/>
    <mergeCell ref="E17:H17"/>
    <mergeCell ref="A18:A26"/>
    <mergeCell ref="B18:C26"/>
    <mergeCell ref="D18:D19"/>
    <mergeCell ref="E18:H18"/>
    <mergeCell ref="E19:H19"/>
    <mergeCell ref="D20:D26"/>
    <mergeCell ref="E20:H20"/>
    <mergeCell ref="E24:H24"/>
    <mergeCell ref="E25:H25"/>
    <mergeCell ref="E26:H26"/>
    <mergeCell ref="A27:A35"/>
    <mergeCell ref="B27:C35"/>
    <mergeCell ref="D27:D28"/>
    <mergeCell ref="E27:H27"/>
    <mergeCell ref="E28:H28"/>
    <mergeCell ref="D29:D35"/>
    <mergeCell ref="E29:H29"/>
    <mergeCell ref="E30:H30"/>
    <mergeCell ref="E31:H31"/>
    <mergeCell ref="E32:H32"/>
    <mergeCell ref="A36:A44"/>
    <mergeCell ref="B36:C44"/>
    <mergeCell ref="D36:D37"/>
    <mergeCell ref="E36:H36"/>
    <mergeCell ref="E37:H37"/>
    <mergeCell ref="D38:D44"/>
    <mergeCell ref="E38:H38"/>
    <mergeCell ref="E39:H39"/>
    <mergeCell ref="A45:A53"/>
    <mergeCell ref="B45:C53"/>
    <mergeCell ref="D45:D46"/>
    <mergeCell ref="E45:H45"/>
    <mergeCell ref="E46:H46"/>
    <mergeCell ref="D47:D53"/>
    <mergeCell ref="E52:H52"/>
    <mergeCell ref="E48:H48"/>
    <mergeCell ref="E49:H49"/>
    <mergeCell ref="E50:H50"/>
    <mergeCell ref="E51:H51"/>
    <mergeCell ref="D56:D62"/>
    <mergeCell ref="E56:H56"/>
    <mergeCell ref="E57:H57"/>
    <mergeCell ref="E58:H58"/>
    <mergeCell ref="E59:H59"/>
    <mergeCell ref="E72:H72"/>
    <mergeCell ref="E74:H74"/>
    <mergeCell ref="E60:H60"/>
    <mergeCell ref="E61:H61"/>
    <mergeCell ref="A63:C75"/>
    <mergeCell ref="D63:D66"/>
    <mergeCell ref="E63:H63"/>
    <mergeCell ref="E64:H64"/>
    <mergeCell ref="E65:H65"/>
    <mergeCell ref="E66:H66"/>
    <mergeCell ref="D67:D75"/>
    <mergeCell ref="E67:H67"/>
    <mergeCell ref="A54:A62"/>
    <mergeCell ref="B54:C62"/>
    <mergeCell ref="D54:D55"/>
    <mergeCell ref="E54:H54"/>
    <mergeCell ref="J7:J8"/>
    <mergeCell ref="E68:H68"/>
    <mergeCell ref="E69:H69"/>
    <mergeCell ref="E70:H70"/>
    <mergeCell ref="E71:H71"/>
    <mergeCell ref="E55:H55"/>
    <mergeCell ref="E40:H40"/>
    <mergeCell ref="E41:H41"/>
    <mergeCell ref="E42:H42"/>
    <mergeCell ref="E43:H43"/>
    <mergeCell ref="E47:H47"/>
    <mergeCell ref="E33:H33"/>
    <mergeCell ref="E34:H34"/>
    <mergeCell ref="E21:H21"/>
    <mergeCell ref="E22:H22"/>
    <mergeCell ref="E23:H23"/>
  </mergeCells>
  <printOptions horizontalCentered="1"/>
  <pageMargins left="1.3779527559055118" right="1.3779527559055118" top="0.31496062992125984" bottom="0" header="0.51181102362204722" footer="0.11811023622047245"/>
  <pageSetup paperSize="9" scale="98" firstPageNumber="59" fitToHeight="0" orientation="landscape" useFirstPageNumber="1" r:id="rId1"/>
  <headerFooter alignWithMargins="0">
    <oddFooter>&amp;C&amp;P. oldal</oddFooter>
  </headerFooter>
  <rowBreaks count="3" manualBreakCount="3">
    <brk id="24" max="9" man="1"/>
    <brk id="44" max="9" man="1"/>
    <brk id="62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zoomScaleNormal="100" zoomScaleSheetLayoutView="100" workbookViewId="0">
      <selection activeCell="F33" sqref="F33:F34"/>
    </sheetView>
  </sheetViews>
  <sheetFormatPr defaultColWidth="9.109375" defaultRowHeight="14.4" x14ac:dyDescent="0.3"/>
  <cols>
    <col min="1" max="1" width="5.33203125" style="538" customWidth="1"/>
    <col min="2" max="3" width="9.109375" style="538"/>
    <col min="4" max="4" width="10.44140625" style="538" customWidth="1"/>
    <col min="5" max="5" width="10.6640625" style="538" customWidth="1"/>
    <col min="6" max="6" width="10.5546875" style="538" customWidth="1"/>
    <col min="7" max="7" width="9.109375" style="538"/>
    <col min="8" max="8" width="10.109375" style="538" customWidth="1"/>
    <col min="9" max="16384" width="9.109375" style="538"/>
  </cols>
  <sheetData>
    <row r="1" spans="1:12" x14ac:dyDescent="0.3">
      <c r="A1" s="537"/>
      <c r="B1" s="537"/>
      <c r="C1" s="537"/>
      <c r="D1" s="537"/>
      <c r="E1" s="537"/>
      <c r="F1" s="537"/>
      <c r="G1" s="537"/>
      <c r="H1" s="537"/>
      <c r="I1" s="537"/>
      <c r="J1" s="537"/>
    </row>
    <row r="2" spans="1:12" x14ac:dyDescent="0.3">
      <c r="A2" s="537"/>
      <c r="B2" s="1579" t="s">
        <v>1410</v>
      </c>
      <c r="C2" s="1579"/>
      <c r="D2" s="1579"/>
      <c r="E2" s="1579"/>
      <c r="F2" s="1579"/>
      <c r="G2" s="1579"/>
      <c r="H2" s="1579"/>
      <c r="I2" s="1579"/>
      <c r="J2" s="1579"/>
    </row>
    <row r="3" spans="1:12" x14ac:dyDescent="0.3">
      <c r="A3" s="537"/>
      <c r="B3" s="537"/>
      <c r="C3" s="537"/>
      <c r="D3" s="537"/>
      <c r="E3" s="537"/>
      <c r="F3" s="537"/>
      <c r="G3" s="537"/>
      <c r="H3" s="537"/>
      <c r="I3" s="537"/>
      <c r="J3" s="537"/>
    </row>
    <row r="4" spans="1:12" x14ac:dyDescent="0.3">
      <c r="A4" s="537"/>
      <c r="B4" s="1580" t="s">
        <v>578</v>
      </c>
      <c r="C4" s="1581"/>
      <c r="D4" s="1581"/>
      <c r="E4" s="1581"/>
      <c r="F4" s="1581"/>
      <c r="G4" s="1581"/>
      <c r="H4" s="1581"/>
      <c r="I4" s="1581"/>
      <c r="J4" s="1581"/>
    </row>
    <row r="5" spans="1:12" x14ac:dyDescent="0.3">
      <c r="A5" s="537"/>
      <c r="B5" s="539"/>
      <c r="C5" s="537"/>
      <c r="D5" s="537"/>
      <c r="E5" s="537"/>
      <c r="F5" s="537"/>
      <c r="G5" s="537"/>
      <c r="H5" s="537"/>
      <c r="I5" s="537"/>
      <c r="J5" s="537"/>
    </row>
    <row r="6" spans="1:12" ht="15" thickBot="1" x14ac:dyDescent="0.35">
      <c r="A6" s="537"/>
      <c r="B6" s="537"/>
      <c r="C6" s="537"/>
      <c r="D6" s="537"/>
      <c r="E6" s="537"/>
      <c r="F6" s="537"/>
      <c r="G6" s="537"/>
      <c r="H6" s="537"/>
      <c r="I6" s="537"/>
      <c r="J6" s="606" t="s">
        <v>1070</v>
      </c>
    </row>
    <row r="7" spans="1:12" x14ac:dyDescent="0.3">
      <c r="A7" s="1582" t="s">
        <v>579</v>
      </c>
      <c r="B7" s="1585" t="s">
        <v>580</v>
      </c>
      <c r="C7" s="1586"/>
      <c r="D7" s="1587"/>
      <c r="E7" s="1594" t="s">
        <v>581</v>
      </c>
      <c r="F7" s="1597" t="s">
        <v>582</v>
      </c>
      <c r="G7" s="1598"/>
      <c r="H7" s="1599"/>
      <c r="I7" s="1599"/>
      <c r="J7" s="726"/>
    </row>
    <row r="8" spans="1:12" x14ac:dyDescent="0.3">
      <c r="A8" s="1583"/>
      <c r="B8" s="1588"/>
      <c r="C8" s="1589"/>
      <c r="D8" s="1590"/>
      <c r="E8" s="1595"/>
      <c r="F8" s="1600" t="s">
        <v>583</v>
      </c>
      <c r="G8" s="1601"/>
      <c r="H8" s="1600" t="s">
        <v>584</v>
      </c>
      <c r="I8" s="1602"/>
      <c r="J8" s="1603" t="s">
        <v>585</v>
      </c>
    </row>
    <row r="9" spans="1:12" x14ac:dyDescent="0.3">
      <c r="A9" s="1583"/>
      <c r="B9" s="1588"/>
      <c r="C9" s="1589"/>
      <c r="D9" s="1590"/>
      <c r="E9" s="1595"/>
      <c r="F9" s="1606" t="s">
        <v>586</v>
      </c>
      <c r="G9" s="1608" t="s">
        <v>587</v>
      </c>
      <c r="H9" s="1606" t="s">
        <v>588</v>
      </c>
      <c r="I9" s="1606" t="s">
        <v>589</v>
      </c>
      <c r="J9" s="1604"/>
    </row>
    <row r="10" spans="1:12" ht="22.5" customHeight="1" x14ac:dyDescent="0.3">
      <c r="A10" s="1584"/>
      <c r="B10" s="1591"/>
      <c r="C10" s="1592"/>
      <c r="D10" s="1593"/>
      <c r="E10" s="1596"/>
      <c r="F10" s="1607"/>
      <c r="G10" s="1609"/>
      <c r="H10" s="1607"/>
      <c r="I10" s="1607"/>
      <c r="J10" s="1605"/>
    </row>
    <row r="11" spans="1:12" x14ac:dyDescent="0.3">
      <c r="A11" s="1610"/>
      <c r="B11" s="1612" t="s">
        <v>590</v>
      </c>
      <c r="C11" s="1613"/>
      <c r="D11" s="1614"/>
      <c r="E11" s="1618"/>
      <c r="F11" s="1618"/>
      <c r="G11" s="1618"/>
      <c r="H11" s="1618"/>
      <c r="I11" s="1618"/>
      <c r="J11" s="1626"/>
    </row>
    <row r="12" spans="1:12" x14ac:dyDescent="0.3">
      <c r="A12" s="1611"/>
      <c r="B12" s="1615"/>
      <c r="C12" s="1616"/>
      <c r="D12" s="1617"/>
      <c r="E12" s="1619"/>
      <c r="F12" s="1619"/>
      <c r="G12" s="1619"/>
      <c r="H12" s="1619"/>
      <c r="I12" s="1619"/>
      <c r="J12" s="1627"/>
    </row>
    <row r="13" spans="1:12" ht="26.25" customHeight="1" x14ac:dyDescent="0.3">
      <c r="A13" s="734" t="s">
        <v>77</v>
      </c>
      <c r="B13" s="1620" t="s">
        <v>591</v>
      </c>
      <c r="C13" s="1621"/>
      <c r="D13" s="1622"/>
      <c r="E13" s="540">
        <f>SUM(F13+G13+H13+I13)</f>
        <v>16</v>
      </c>
      <c r="F13" s="540">
        <v>12</v>
      </c>
      <c r="G13" s="540"/>
      <c r="H13" s="540">
        <v>4</v>
      </c>
      <c r="I13" s="540"/>
      <c r="J13" s="727"/>
    </row>
    <row r="14" spans="1:12" ht="26.25" customHeight="1" x14ac:dyDescent="0.3">
      <c r="A14" s="734" t="s">
        <v>78</v>
      </c>
      <c r="B14" s="1620" t="s">
        <v>592</v>
      </c>
      <c r="C14" s="1621"/>
      <c r="D14" s="1622"/>
      <c r="E14" s="540">
        <f t="shared" ref="E14:E23" si="0">SUM(F14+G14+H14+I14)</f>
        <v>1</v>
      </c>
      <c r="F14" s="540">
        <v>1</v>
      </c>
      <c r="G14" s="540"/>
      <c r="H14" s="540"/>
      <c r="I14" s="540"/>
      <c r="J14" s="727"/>
    </row>
    <row r="15" spans="1:12" ht="26.25" customHeight="1" x14ac:dyDescent="0.3">
      <c r="A15" s="734" t="s">
        <v>79</v>
      </c>
      <c r="B15" s="1620" t="s">
        <v>593</v>
      </c>
      <c r="C15" s="1621"/>
      <c r="D15" s="1622"/>
      <c r="E15" s="540">
        <f t="shared" si="0"/>
        <v>2</v>
      </c>
      <c r="F15" s="540">
        <v>2</v>
      </c>
      <c r="G15" s="540"/>
      <c r="H15" s="540"/>
      <c r="I15" s="540"/>
      <c r="J15" s="727"/>
    </row>
    <row r="16" spans="1:12" ht="26.25" customHeight="1" x14ac:dyDescent="0.3">
      <c r="A16" s="734" t="s">
        <v>191</v>
      </c>
      <c r="B16" s="1620" t="s">
        <v>594</v>
      </c>
      <c r="C16" s="1621"/>
      <c r="D16" s="1622"/>
      <c r="E16" s="540">
        <f t="shared" si="0"/>
        <v>72.5</v>
      </c>
      <c r="F16" s="540">
        <v>48</v>
      </c>
      <c r="G16" s="540">
        <v>2.6</v>
      </c>
      <c r="H16" s="540">
        <v>20</v>
      </c>
      <c r="I16" s="540">
        <v>1.9</v>
      </c>
      <c r="J16" s="727"/>
      <c r="K16" s="725"/>
      <c r="L16" s="541"/>
    </row>
    <row r="17" spans="1:10" ht="26.25" customHeight="1" x14ac:dyDescent="0.3">
      <c r="A17" s="734" t="s">
        <v>192</v>
      </c>
      <c r="B17" s="1620" t="s">
        <v>595</v>
      </c>
      <c r="C17" s="1621"/>
      <c r="D17" s="1622"/>
      <c r="E17" s="540">
        <f t="shared" si="0"/>
        <v>7</v>
      </c>
      <c r="F17" s="540">
        <v>7</v>
      </c>
      <c r="G17" s="540"/>
      <c r="H17" s="540"/>
      <c r="I17" s="540"/>
      <c r="J17" s="727"/>
    </row>
    <row r="18" spans="1:10" ht="26.25" customHeight="1" x14ac:dyDescent="0.3">
      <c r="A18" s="734" t="s">
        <v>197</v>
      </c>
      <c r="B18" s="1620" t="s">
        <v>596</v>
      </c>
      <c r="C18" s="1621"/>
      <c r="D18" s="1622"/>
      <c r="E18" s="540">
        <f t="shared" si="0"/>
        <v>30</v>
      </c>
      <c r="F18" s="540">
        <v>27</v>
      </c>
      <c r="G18" s="540">
        <v>1</v>
      </c>
      <c r="H18" s="540">
        <v>2</v>
      </c>
      <c r="I18" s="540"/>
      <c r="J18" s="727"/>
    </row>
    <row r="19" spans="1:10" ht="26.25" customHeight="1" x14ac:dyDescent="0.3">
      <c r="A19" s="734" t="s">
        <v>597</v>
      </c>
      <c r="B19" s="1620" t="s">
        <v>598</v>
      </c>
      <c r="C19" s="1621"/>
      <c r="D19" s="1622"/>
      <c r="E19" s="540">
        <f t="shared" si="0"/>
        <v>60</v>
      </c>
      <c r="F19" s="540">
        <v>53</v>
      </c>
      <c r="G19" s="540">
        <v>3</v>
      </c>
      <c r="H19" s="540">
        <v>4</v>
      </c>
      <c r="I19" s="540"/>
      <c r="J19" s="727"/>
    </row>
    <row r="20" spans="1:10" ht="26.25" customHeight="1" x14ac:dyDescent="0.3">
      <c r="A20" s="734" t="s">
        <v>599</v>
      </c>
      <c r="B20" s="1620" t="s">
        <v>600</v>
      </c>
      <c r="C20" s="1621"/>
      <c r="D20" s="1622"/>
      <c r="E20" s="540">
        <f t="shared" si="0"/>
        <v>21</v>
      </c>
      <c r="F20" s="540">
        <v>19</v>
      </c>
      <c r="G20" s="540">
        <v>1</v>
      </c>
      <c r="H20" s="540">
        <v>1</v>
      </c>
      <c r="I20" s="540"/>
      <c r="J20" s="727"/>
    </row>
    <row r="21" spans="1:10" ht="26.25" customHeight="1" x14ac:dyDescent="0.3">
      <c r="A21" s="734" t="s">
        <v>601</v>
      </c>
      <c r="B21" s="1620" t="s">
        <v>602</v>
      </c>
      <c r="C21" s="1621"/>
      <c r="D21" s="1622"/>
      <c r="E21" s="540">
        <f t="shared" si="0"/>
        <v>21</v>
      </c>
      <c r="F21" s="540">
        <v>20</v>
      </c>
      <c r="G21" s="540">
        <v>1</v>
      </c>
      <c r="H21" s="540"/>
      <c r="I21" s="540"/>
      <c r="J21" s="727"/>
    </row>
    <row r="22" spans="1:10" ht="26.25" customHeight="1" x14ac:dyDescent="0.3">
      <c r="A22" s="734" t="s">
        <v>603</v>
      </c>
      <c r="B22" s="1620" t="s">
        <v>604</v>
      </c>
      <c r="C22" s="1621"/>
      <c r="D22" s="1622"/>
      <c r="E22" s="540">
        <f t="shared" si="0"/>
        <v>18</v>
      </c>
      <c r="F22" s="540">
        <v>18</v>
      </c>
      <c r="G22" s="540"/>
      <c r="H22" s="540"/>
      <c r="I22" s="540"/>
      <c r="J22" s="727"/>
    </row>
    <row r="23" spans="1:10" ht="26.25" customHeight="1" thickBot="1" x14ac:dyDescent="0.35">
      <c r="A23" s="735" t="s">
        <v>605</v>
      </c>
      <c r="B23" s="1623" t="s">
        <v>606</v>
      </c>
      <c r="C23" s="1624"/>
      <c r="D23" s="1625"/>
      <c r="E23" s="718">
        <f t="shared" si="0"/>
        <v>55</v>
      </c>
      <c r="F23" s="718">
        <v>44</v>
      </c>
      <c r="G23" s="718"/>
      <c r="H23" s="718">
        <v>11</v>
      </c>
      <c r="I23" s="718"/>
      <c r="J23" s="728"/>
    </row>
    <row r="24" spans="1:10" ht="26.25" customHeight="1" thickBot="1" x14ac:dyDescent="0.35">
      <c r="A24" s="736"/>
      <c r="B24" s="729" t="s">
        <v>69</v>
      </c>
      <c r="C24" s="730"/>
      <c r="D24" s="731"/>
      <c r="E24" s="732">
        <f>SUM(E13:E23)</f>
        <v>303.5</v>
      </c>
      <c r="F24" s="732">
        <f>SUM(F13:F23)</f>
        <v>251</v>
      </c>
      <c r="G24" s="732">
        <f>SUM(G13:G23)</f>
        <v>8.6</v>
      </c>
      <c r="H24" s="732">
        <f>SUM(H13:H23)</f>
        <v>42</v>
      </c>
      <c r="I24" s="732">
        <f>SUM(I13:I23)</f>
        <v>1.9</v>
      </c>
      <c r="J24" s="733"/>
    </row>
    <row r="25" spans="1:10" x14ac:dyDescent="0.3">
      <c r="A25" s="737"/>
      <c r="B25" s="542"/>
      <c r="C25" s="542"/>
      <c r="D25" s="542"/>
      <c r="E25" s="543"/>
      <c r="F25" s="543"/>
      <c r="G25" s="543"/>
      <c r="H25" s="543"/>
      <c r="I25" s="543"/>
      <c r="J25" s="543"/>
    </row>
    <row r="26" spans="1:10" ht="15" thickBot="1" x14ac:dyDescent="0.35">
      <c r="A26" s="737"/>
      <c r="B26" s="542"/>
      <c r="C26" s="542"/>
      <c r="D26" s="542"/>
      <c r="E26" s="543"/>
      <c r="F26" s="543"/>
      <c r="G26" s="543"/>
      <c r="H26" s="543"/>
      <c r="I26" s="543"/>
      <c r="J26" s="543"/>
    </row>
    <row r="27" spans="1:10" x14ac:dyDescent="0.3">
      <c r="A27" s="1637" t="s">
        <v>607</v>
      </c>
      <c r="B27" s="1638" t="s">
        <v>608</v>
      </c>
      <c r="C27" s="1639"/>
      <c r="D27" s="1640"/>
      <c r="E27" s="1628">
        <f>F27+G27+H27+I27</f>
        <v>32</v>
      </c>
      <c r="F27" s="1628">
        <v>32</v>
      </c>
      <c r="G27" s="1628"/>
      <c r="H27" s="1628"/>
      <c r="I27" s="1628"/>
      <c r="J27" s="1629"/>
    </row>
    <row r="28" spans="1:10" x14ac:dyDescent="0.3">
      <c r="A28" s="1611"/>
      <c r="B28" s="1634"/>
      <c r="C28" s="1635"/>
      <c r="D28" s="1636"/>
      <c r="E28" s="1619"/>
      <c r="F28" s="1619"/>
      <c r="G28" s="1619"/>
      <c r="H28" s="1619"/>
      <c r="I28" s="1619"/>
      <c r="J28" s="1627"/>
    </row>
    <row r="29" spans="1:10" x14ac:dyDescent="0.3">
      <c r="A29" s="1630" t="s">
        <v>609</v>
      </c>
      <c r="B29" s="1631" t="s">
        <v>610</v>
      </c>
      <c r="C29" s="1632"/>
      <c r="D29" s="1633"/>
      <c r="E29" s="1618">
        <f t="shared" ref="E29" si="1">F29+G29+H29+I29</f>
        <v>31</v>
      </c>
      <c r="F29" s="1618">
        <v>31</v>
      </c>
      <c r="G29" s="1618"/>
      <c r="H29" s="1618"/>
      <c r="I29" s="1618"/>
      <c r="J29" s="1626"/>
    </row>
    <row r="30" spans="1:10" x14ac:dyDescent="0.3">
      <c r="A30" s="1611"/>
      <c r="B30" s="1634"/>
      <c r="C30" s="1635"/>
      <c r="D30" s="1636"/>
      <c r="E30" s="1619"/>
      <c r="F30" s="1619"/>
      <c r="G30" s="1619"/>
      <c r="H30" s="1619"/>
      <c r="I30" s="1619"/>
      <c r="J30" s="1627"/>
    </row>
    <row r="31" spans="1:10" x14ac:dyDescent="0.3">
      <c r="A31" s="1630" t="s">
        <v>611</v>
      </c>
      <c r="B31" s="1631" t="s">
        <v>612</v>
      </c>
      <c r="C31" s="1632"/>
      <c r="D31" s="1633"/>
      <c r="E31" s="1618">
        <f t="shared" ref="E31" si="2">F31+G31+H31+I31</f>
        <v>16</v>
      </c>
      <c r="F31" s="1618">
        <v>16</v>
      </c>
      <c r="G31" s="1618"/>
      <c r="H31" s="1618"/>
      <c r="I31" s="1618"/>
      <c r="J31" s="1626"/>
    </row>
    <row r="32" spans="1:10" x14ac:dyDescent="0.3">
      <c r="A32" s="1611"/>
      <c r="B32" s="1634"/>
      <c r="C32" s="1635"/>
      <c r="D32" s="1636"/>
      <c r="E32" s="1619"/>
      <c r="F32" s="1619"/>
      <c r="G32" s="1619"/>
      <c r="H32" s="1619"/>
      <c r="I32" s="1619"/>
      <c r="J32" s="1627"/>
    </row>
    <row r="33" spans="1:10" x14ac:dyDescent="0.3">
      <c r="A33" s="1610" t="s">
        <v>613</v>
      </c>
      <c r="B33" s="1631" t="s">
        <v>614</v>
      </c>
      <c r="C33" s="1632"/>
      <c r="D33" s="1633"/>
      <c r="E33" s="1618">
        <f t="shared" ref="E33" si="3">F33+G33+H33+I33</f>
        <v>69</v>
      </c>
      <c r="F33" s="1618">
        <v>69</v>
      </c>
      <c r="G33" s="1618"/>
      <c r="H33" s="1618"/>
      <c r="I33" s="1618"/>
      <c r="J33" s="1626"/>
    </row>
    <row r="34" spans="1:10" x14ac:dyDescent="0.3">
      <c r="A34" s="1611"/>
      <c r="B34" s="1634"/>
      <c r="C34" s="1635"/>
      <c r="D34" s="1636"/>
      <c r="E34" s="1619"/>
      <c r="F34" s="1619"/>
      <c r="G34" s="1619"/>
      <c r="H34" s="1619"/>
      <c r="I34" s="1619"/>
      <c r="J34" s="1627"/>
    </row>
    <row r="35" spans="1:10" x14ac:dyDescent="0.3">
      <c r="A35" s="1630" t="s">
        <v>615</v>
      </c>
      <c r="B35" s="1631" t="s">
        <v>616</v>
      </c>
      <c r="C35" s="1632"/>
      <c r="D35" s="1633"/>
      <c r="E35" s="1618">
        <f t="shared" ref="E35" si="4">F35+G35+H35+I35</f>
        <v>32</v>
      </c>
      <c r="F35" s="1618">
        <v>32</v>
      </c>
      <c r="G35" s="1618"/>
      <c r="H35" s="1618"/>
      <c r="I35" s="1618"/>
      <c r="J35" s="1626"/>
    </row>
    <row r="36" spans="1:10" x14ac:dyDescent="0.3">
      <c r="A36" s="1611"/>
      <c r="B36" s="1634"/>
      <c r="C36" s="1635"/>
      <c r="D36" s="1636"/>
      <c r="E36" s="1619"/>
      <c r="F36" s="1619"/>
      <c r="G36" s="1619"/>
      <c r="H36" s="1619"/>
      <c r="I36" s="1619"/>
      <c r="J36" s="1627"/>
    </row>
    <row r="37" spans="1:10" x14ac:dyDescent="0.3">
      <c r="A37" s="1630" t="s">
        <v>617</v>
      </c>
      <c r="B37" s="1631" t="s">
        <v>618</v>
      </c>
      <c r="C37" s="1632"/>
      <c r="D37" s="1633"/>
      <c r="E37" s="1618">
        <f t="shared" ref="E37" si="5">F37+G37+H37+I37</f>
        <v>25</v>
      </c>
      <c r="F37" s="1618">
        <v>25</v>
      </c>
      <c r="G37" s="1618"/>
      <c r="H37" s="1618"/>
      <c r="I37" s="1618"/>
      <c r="J37" s="1626"/>
    </row>
    <row r="38" spans="1:10" x14ac:dyDescent="0.3">
      <c r="A38" s="1611"/>
      <c r="B38" s="1634"/>
      <c r="C38" s="1635"/>
      <c r="D38" s="1636"/>
      <c r="E38" s="1619"/>
      <c r="F38" s="1619"/>
      <c r="G38" s="1619"/>
      <c r="H38" s="1619"/>
      <c r="I38" s="1619"/>
      <c r="J38" s="1627"/>
    </row>
    <row r="39" spans="1:10" x14ac:dyDescent="0.3">
      <c r="A39" s="1630" t="s">
        <v>619</v>
      </c>
      <c r="B39" s="1631" t="s">
        <v>620</v>
      </c>
      <c r="C39" s="1632"/>
      <c r="D39" s="1633"/>
      <c r="E39" s="1618">
        <f t="shared" ref="E39" si="6">F39+G39+H39+I39</f>
        <v>16</v>
      </c>
      <c r="F39" s="1618">
        <v>16</v>
      </c>
      <c r="G39" s="1618"/>
      <c r="H39" s="1618"/>
      <c r="I39" s="1618"/>
      <c r="J39" s="1626"/>
    </row>
    <row r="40" spans="1:10" x14ac:dyDescent="0.3">
      <c r="A40" s="1611"/>
      <c r="B40" s="1634"/>
      <c r="C40" s="1635"/>
      <c r="D40" s="1636"/>
      <c r="E40" s="1619"/>
      <c r="F40" s="1619"/>
      <c r="G40" s="1619"/>
      <c r="H40" s="1619"/>
      <c r="I40" s="1619"/>
      <c r="J40" s="1627"/>
    </row>
    <row r="41" spans="1:10" x14ac:dyDescent="0.3">
      <c r="A41" s="1630" t="s">
        <v>621</v>
      </c>
      <c r="B41" s="1631" t="s">
        <v>622</v>
      </c>
      <c r="C41" s="1632"/>
      <c r="D41" s="1633"/>
      <c r="E41" s="1618">
        <f t="shared" ref="E41" si="7">F41+G41+H41+I41</f>
        <v>17</v>
      </c>
      <c r="F41" s="1618">
        <v>17</v>
      </c>
      <c r="G41" s="1618"/>
      <c r="H41" s="1618"/>
      <c r="I41" s="1618"/>
      <c r="J41" s="1626"/>
    </row>
    <row r="42" spans="1:10" x14ac:dyDescent="0.3">
      <c r="A42" s="1611"/>
      <c r="B42" s="1634"/>
      <c r="C42" s="1635"/>
      <c r="D42" s="1636"/>
      <c r="E42" s="1619"/>
      <c r="F42" s="1619"/>
      <c r="G42" s="1619"/>
      <c r="H42" s="1619"/>
      <c r="I42" s="1619"/>
      <c r="J42" s="1627"/>
    </row>
    <row r="43" spans="1:10" x14ac:dyDescent="0.3">
      <c r="A43" s="1630" t="s">
        <v>623</v>
      </c>
      <c r="B43" s="1631" t="s">
        <v>624</v>
      </c>
      <c r="C43" s="1632"/>
      <c r="D43" s="1633"/>
      <c r="E43" s="1618">
        <f t="shared" ref="E43" si="8">F43+G43+H43+I43</f>
        <v>16</v>
      </c>
      <c r="F43" s="1618">
        <v>16</v>
      </c>
      <c r="G43" s="1618"/>
      <c r="H43" s="1618"/>
      <c r="I43" s="1618"/>
      <c r="J43" s="1626"/>
    </row>
    <row r="44" spans="1:10" x14ac:dyDescent="0.3">
      <c r="A44" s="1611"/>
      <c r="B44" s="1634"/>
      <c r="C44" s="1635"/>
      <c r="D44" s="1636"/>
      <c r="E44" s="1619"/>
      <c r="F44" s="1619"/>
      <c r="G44" s="1619"/>
      <c r="H44" s="1619"/>
      <c r="I44" s="1619"/>
      <c r="J44" s="1627"/>
    </row>
    <row r="45" spans="1:10" x14ac:dyDescent="0.3">
      <c r="A45" s="1630" t="s">
        <v>625</v>
      </c>
      <c r="B45" s="1641" t="s">
        <v>626</v>
      </c>
      <c r="C45" s="1642"/>
      <c r="D45" s="1643"/>
      <c r="E45" s="1618">
        <f t="shared" ref="E45" si="9">F45+G45+H45+I45</f>
        <v>166</v>
      </c>
      <c r="F45" s="1618">
        <v>166</v>
      </c>
      <c r="G45" s="1618"/>
      <c r="H45" s="1618"/>
      <c r="I45" s="1618"/>
      <c r="J45" s="1626"/>
    </row>
    <row r="46" spans="1:10" x14ac:dyDescent="0.3">
      <c r="A46" s="1611"/>
      <c r="B46" s="1644"/>
      <c r="C46" s="1645"/>
      <c r="D46" s="1646"/>
      <c r="E46" s="1619"/>
      <c r="F46" s="1619"/>
      <c r="G46" s="1619"/>
      <c r="H46" s="1619"/>
      <c r="I46" s="1619"/>
      <c r="J46" s="1627"/>
    </row>
    <row r="47" spans="1:10" x14ac:dyDescent="0.3">
      <c r="A47" s="1630" t="s">
        <v>627</v>
      </c>
      <c r="B47" s="1641" t="s">
        <v>636</v>
      </c>
      <c r="C47" s="1642"/>
      <c r="D47" s="1643"/>
      <c r="E47" s="1618">
        <f t="shared" ref="E47" si="10">F47+G47+H47+I47</f>
        <v>117</v>
      </c>
      <c r="F47" s="1618">
        <v>69</v>
      </c>
      <c r="G47" s="1618">
        <v>1</v>
      </c>
      <c r="H47" s="1618">
        <v>47</v>
      </c>
      <c r="I47" s="1618"/>
      <c r="J47" s="1626"/>
    </row>
    <row r="48" spans="1:10" x14ac:dyDescent="0.3">
      <c r="A48" s="1611"/>
      <c r="B48" s="1644"/>
      <c r="C48" s="1645"/>
      <c r="D48" s="1646"/>
      <c r="E48" s="1619"/>
      <c r="F48" s="1619"/>
      <c r="G48" s="1619"/>
      <c r="H48" s="1619"/>
      <c r="I48" s="1619"/>
      <c r="J48" s="1627"/>
    </row>
    <row r="49" spans="1:10" x14ac:dyDescent="0.3">
      <c r="A49" s="1630" t="s">
        <v>628</v>
      </c>
      <c r="B49" s="1631" t="s">
        <v>350</v>
      </c>
      <c r="C49" s="1632"/>
      <c r="D49" s="1633"/>
      <c r="E49" s="1618">
        <f t="shared" ref="E49" si="11">F49+G49+H49+I49</f>
        <v>158</v>
      </c>
      <c r="F49" s="1618">
        <v>134</v>
      </c>
      <c r="G49" s="1618"/>
      <c r="H49" s="1618">
        <v>24</v>
      </c>
      <c r="I49" s="1618"/>
      <c r="J49" s="1626"/>
    </row>
    <row r="50" spans="1:10" x14ac:dyDescent="0.3">
      <c r="A50" s="1611"/>
      <c r="B50" s="1634"/>
      <c r="C50" s="1635"/>
      <c r="D50" s="1636"/>
      <c r="E50" s="1619"/>
      <c r="F50" s="1619"/>
      <c r="G50" s="1619"/>
      <c r="H50" s="1619"/>
      <c r="I50" s="1619"/>
      <c r="J50" s="1627"/>
    </row>
    <row r="51" spans="1:10" x14ac:dyDescent="0.3">
      <c r="A51" s="1630" t="s">
        <v>629</v>
      </c>
      <c r="B51" s="1631" t="s">
        <v>630</v>
      </c>
      <c r="C51" s="1632"/>
      <c r="D51" s="1633"/>
      <c r="E51" s="1618">
        <f t="shared" ref="E51" si="12">F51+G51+H51+I51</f>
        <v>27</v>
      </c>
      <c r="F51" s="1618">
        <v>27</v>
      </c>
      <c r="G51" s="1618"/>
      <c r="H51" s="1618"/>
      <c r="I51" s="1618"/>
      <c r="J51" s="1626"/>
    </row>
    <row r="52" spans="1:10" x14ac:dyDescent="0.3">
      <c r="A52" s="1611"/>
      <c r="B52" s="1634"/>
      <c r="C52" s="1635"/>
      <c r="D52" s="1636"/>
      <c r="E52" s="1619"/>
      <c r="F52" s="1619"/>
      <c r="G52" s="1619"/>
      <c r="H52" s="1619"/>
      <c r="I52" s="1619"/>
      <c r="J52" s="1627"/>
    </row>
    <row r="53" spans="1:10" x14ac:dyDescent="0.3">
      <c r="A53" s="1630" t="s">
        <v>631</v>
      </c>
      <c r="B53" s="1631" t="s">
        <v>632</v>
      </c>
      <c r="C53" s="1632"/>
      <c r="D53" s="1633"/>
      <c r="E53" s="1618">
        <f t="shared" ref="E53" si="13">F53+G53+H53+I53</f>
        <v>15</v>
      </c>
      <c r="F53" s="1618">
        <v>15</v>
      </c>
      <c r="G53" s="1618"/>
      <c r="H53" s="1618"/>
      <c r="I53" s="1618"/>
      <c r="J53" s="1626"/>
    </row>
    <row r="54" spans="1:10" x14ac:dyDescent="0.3">
      <c r="A54" s="1611"/>
      <c r="B54" s="1634"/>
      <c r="C54" s="1635"/>
      <c r="D54" s="1636"/>
      <c r="E54" s="1619"/>
      <c r="F54" s="1619"/>
      <c r="G54" s="1619"/>
      <c r="H54" s="1619"/>
      <c r="I54" s="1619"/>
      <c r="J54" s="1627"/>
    </row>
    <row r="55" spans="1:10" x14ac:dyDescent="0.3">
      <c r="A55" s="1630" t="s">
        <v>633</v>
      </c>
      <c r="B55" s="1631" t="s">
        <v>1433</v>
      </c>
      <c r="C55" s="1632"/>
      <c r="D55" s="1633"/>
      <c r="E55" s="1618">
        <v>12</v>
      </c>
      <c r="F55" s="1618">
        <v>12</v>
      </c>
      <c r="G55" s="1618"/>
      <c r="H55" s="1618"/>
      <c r="I55" s="1618"/>
      <c r="J55" s="1626"/>
    </row>
    <row r="56" spans="1:10" x14ac:dyDescent="0.3">
      <c r="A56" s="1611"/>
      <c r="B56" s="1634"/>
      <c r="C56" s="1635"/>
      <c r="D56" s="1636"/>
      <c r="E56" s="1619"/>
      <c r="F56" s="1619"/>
      <c r="G56" s="1619"/>
      <c r="H56" s="1619"/>
      <c r="I56" s="1619"/>
      <c r="J56" s="1627"/>
    </row>
    <row r="57" spans="1:10" x14ac:dyDescent="0.3">
      <c r="A57" s="1630" t="s">
        <v>1430</v>
      </c>
      <c r="B57" s="1641" t="s">
        <v>343</v>
      </c>
      <c r="C57" s="1642"/>
      <c r="D57" s="1643"/>
      <c r="E57" s="1618">
        <v>243</v>
      </c>
      <c r="F57" s="1618">
        <v>114</v>
      </c>
      <c r="G57" s="1618">
        <v>95</v>
      </c>
      <c r="H57" s="1618">
        <v>24</v>
      </c>
      <c r="I57" s="1618">
        <v>10</v>
      </c>
      <c r="J57" s="1626"/>
    </row>
    <row r="58" spans="1:10" ht="15" thickBot="1" x14ac:dyDescent="0.35">
      <c r="A58" s="1630"/>
      <c r="B58" s="1651"/>
      <c r="C58" s="1652"/>
      <c r="D58" s="1653"/>
      <c r="E58" s="1654"/>
      <c r="F58" s="1654"/>
      <c r="G58" s="1654"/>
      <c r="H58" s="1654"/>
      <c r="I58" s="1654"/>
      <c r="J58" s="1667"/>
    </row>
    <row r="59" spans="1:10" x14ac:dyDescent="0.3">
      <c r="A59" s="1668"/>
      <c r="B59" s="1585" t="s">
        <v>634</v>
      </c>
      <c r="C59" s="1586"/>
      <c r="D59" s="1587"/>
      <c r="E59" s="1647">
        <f>SUM(E27:E58)</f>
        <v>992</v>
      </c>
      <c r="F59" s="1647">
        <f t="shared" ref="F59:I59" si="14">SUM(F27:F58)</f>
        <v>791</v>
      </c>
      <c r="G59" s="1647">
        <f t="shared" si="14"/>
        <v>96</v>
      </c>
      <c r="H59" s="1647">
        <f t="shared" si="14"/>
        <v>95</v>
      </c>
      <c r="I59" s="1647">
        <f t="shared" si="14"/>
        <v>10</v>
      </c>
      <c r="J59" s="1649"/>
    </row>
    <row r="60" spans="1:10" ht="30.75" customHeight="1" thickBot="1" x14ac:dyDescent="0.35">
      <c r="A60" s="1660"/>
      <c r="B60" s="1669"/>
      <c r="C60" s="1670"/>
      <c r="D60" s="1671"/>
      <c r="E60" s="1648"/>
      <c r="F60" s="1648"/>
      <c r="G60" s="1648"/>
      <c r="H60" s="1648"/>
      <c r="I60" s="1648"/>
      <c r="J60" s="1650"/>
    </row>
    <row r="61" spans="1:10" x14ac:dyDescent="0.3">
      <c r="A61" s="1659"/>
      <c r="B61" s="1661" t="s">
        <v>635</v>
      </c>
      <c r="C61" s="1662"/>
      <c r="D61" s="1663"/>
      <c r="E61" s="1655">
        <f t="shared" ref="E61:J61" si="15">SUM(E59+E24)</f>
        <v>1295.5</v>
      </c>
      <c r="F61" s="1655">
        <f t="shared" si="15"/>
        <v>1042</v>
      </c>
      <c r="G61" s="1655">
        <f t="shared" si="15"/>
        <v>104.6</v>
      </c>
      <c r="H61" s="1655">
        <f t="shared" si="15"/>
        <v>137</v>
      </c>
      <c r="I61" s="1655">
        <f t="shared" si="15"/>
        <v>11.9</v>
      </c>
      <c r="J61" s="1657">
        <f t="shared" si="15"/>
        <v>0</v>
      </c>
    </row>
    <row r="62" spans="1:10" ht="15" thickBot="1" x14ac:dyDescent="0.35">
      <c r="A62" s="1660"/>
      <c r="B62" s="1664"/>
      <c r="C62" s="1665"/>
      <c r="D62" s="1666"/>
      <c r="E62" s="1656"/>
      <c r="F62" s="1656"/>
      <c r="G62" s="1656"/>
      <c r="H62" s="1656"/>
      <c r="I62" s="1656"/>
      <c r="J62" s="1658"/>
    </row>
    <row r="65" spans="5:10" x14ac:dyDescent="0.3">
      <c r="E65" s="607"/>
      <c r="F65" s="557"/>
      <c r="G65" s="557"/>
      <c r="H65" s="557"/>
      <c r="I65" s="557"/>
      <c r="J65" s="557"/>
    </row>
    <row r="67" spans="5:10" x14ac:dyDescent="0.3">
      <c r="E67" s="557"/>
      <c r="F67" s="557"/>
      <c r="G67" s="557"/>
      <c r="H67" s="557"/>
      <c r="I67" s="557"/>
      <c r="J67" s="557"/>
    </row>
  </sheetData>
  <mergeCells count="176">
    <mergeCell ref="A55:A56"/>
    <mergeCell ref="B55:D56"/>
    <mergeCell ref="E55:E56"/>
    <mergeCell ref="F55:F56"/>
    <mergeCell ref="G55:G56"/>
    <mergeCell ref="H55:H56"/>
    <mergeCell ref="I55:I56"/>
    <mergeCell ref="J55:J56"/>
    <mergeCell ref="I61:I62"/>
    <mergeCell ref="J61:J62"/>
    <mergeCell ref="A61:A62"/>
    <mergeCell ref="B61:D62"/>
    <mergeCell ref="E61:E62"/>
    <mergeCell ref="F61:F62"/>
    <mergeCell ref="G61:G62"/>
    <mergeCell ref="H61:H62"/>
    <mergeCell ref="I57:I58"/>
    <mergeCell ref="J57:J58"/>
    <mergeCell ref="A59:A60"/>
    <mergeCell ref="B59:D60"/>
    <mergeCell ref="E59:E60"/>
    <mergeCell ref="F59:F60"/>
    <mergeCell ref="G59:G60"/>
    <mergeCell ref="H59:H60"/>
    <mergeCell ref="I59:I60"/>
    <mergeCell ref="J59:J60"/>
    <mergeCell ref="A57:A58"/>
    <mergeCell ref="B57:D58"/>
    <mergeCell ref="E57:E58"/>
    <mergeCell ref="F57:F58"/>
    <mergeCell ref="G57:G58"/>
    <mergeCell ref="H57:H58"/>
    <mergeCell ref="I51:I52"/>
    <mergeCell ref="J51:J52"/>
    <mergeCell ref="A53:A54"/>
    <mergeCell ref="B53:D54"/>
    <mergeCell ref="E53:E54"/>
    <mergeCell ref="F53:F54"/>
    <mergeCell ref="G53:G54"/>
    <mergeCell ref="H53:H54"/>
    <mergeCell ref="I53:I54"/>
    <mergeCell ref="J53:J54"/>
    <mergeCell ref="A51:A52"/>
    <mergeCell ref="B51:D52"/>
    <mergeCell ref="E51:E52"/>
    <mergeCell ref="F51:F52"/>
    <mergeCell ref="G51:G52"/>
    <mergeCell ref="H51:H52"/>
    <mergeCell ref="I47:I48"/>
    <mergeCell ref="J47:J48"/>
    <mergeCell ref="A49:A50"/>
    <mergeCell ref="B49:D50"/>
    <mergeCell ref="E49:E50"/>
    <mergeCell ref="F49:F50"/>
    <mergeCell ref="G49:G50"/>
    <mergeCell ref="H49:H50"/>
    <mergeCell ref="I49:I50"/>
    <mergeCell ref="J49:J50"/>
    <mergeCell ref="A47:A48"/>
    <mergeCell ref="B47:D48"/>
    <mergeCell ref="E47:E48"/>
    <mergeCell ref="F47:F48"/>
    <mergeCell ref="G47:G48"/>
    <mergeCell ref="H47:H48"/>
    <mergeCell ref="I43:I44"/>
    <mergeCell ref="J43:J44"/>
    <mergeCell ref="A45:A46"/>
    <mergeCell ref="B45:D46"/>
    <mergeCell ref="E45:E46"/>
    <mergeCell ref="F45:F46"/>
    <mergeCell ref="G45:G46"/>
    <mergeCell ref="H45:H46"/>
    <mergeCell ref="I45:I46"/>
    <mergeCell ref="J45:J46"/>
    <mergeCell ref="A43:A44"/>
    <mergeCell ref="B43:D44"/>
    <mergeCell ref="E43:E44"/>
    <mergeCell ref="F43:F44"/>
    <mergeCell ref="G43:G44"/>
    <mergeCell ref="H43:H44"/>
    <mergeCell ref="I39:I40"/>
    <mergeCell ref="J39:J40"/>
    <mergeCell ref="A41:A42"/>
    <mergeCell ref="B41:D42"/>
    <mergeCell ref="E41:E42"/>
    <mergeCell ref="F41:F42"/>
    <mergeCell ref="G41:G42"/>
    <mergeCell ref="H41:H42"/>
    <mergeCell ref="I41:I42"/>
    <mergeCell ref="J41:J42"/>
    <mergeCell ref="A39:A40"/>
    <mergeCell ref="B39:D40"/>
    <mergeCell ref="E39:E40"/>
    <mergeCell ref="F39:F40"/>
    <mergeCell ref="G39:G40"/>
    <mergeCell ref="H39:H40"/>
    <mergeCell ref="I35:I36"/>
    <mergeCell ref="J35:J36"/>
    <mergeCell ref="A37:A38"/>
    <mergeCell ref="B37:D38"/>
    <mergeCell ref="E37:E38"/>
    <mergeCell ref="F37:F38"/>
    <mergeCell ref="G37:G38"/>
    <mergeCell ref="H37:H38"/>
    <mergeCell ref="I37:I38"/>
    <mergeCell ref="J37:J38"/>
    <mergeCell ref="A35:A36"/>
    <mergeCell ref="B35:D36"/>
    <mergeCell ref="E35:E36"/>
    <mergeCell ref="F35:F36"/>
    <mergeCell ref="G35:G36"/>
    <mergeCell ref="H35:H36"/>
    <mergeCell ref="I31:I32"/>
    <mergeCell ref="J31:J32"/>
    <mergeCell ref="A33:A34"/>
    <mergeCell ref="B33:D34"/>
    <mergeCell ref="E33:E34"/>
    <mergeCell ref="F33:F34"/>
    <mergeCell ref="G33:G34"/>
    <mergeCell ref="H33:H34"/>
    <mergeCell ref="I33:I34"/>
    <mergeCell ref="J33:J34"/>
    <mergeCell ref="A31:A32"/>
    <mergeCell ref="B31:D32"/>
    <mergeCell ref="E31:E32"/>
    <mergeCell ref="F31:F32"/>
    <mergeCell ref="G31:G32"/>
    <mergeCell ref="H31:H32"/>
    <mergeCell ref="I27:I28"/>
    <mergeCell ref="J27:J28"/>
    <mergeCell ref="A29:A30"/>
    <mergeCell ref="B29:D30"/>
    <mergeCell ref="E29:E30"/>
    <mergeCell ref="F29:F30"/>
    <mergeCell ref="G29:G30"/>
    <mergeCell ref="H29:H30"/>
    <mergeCell ref="I29:I30"/>
    <mergeCell ref="J29:J30"/>
    <mergeCell ref="A27:A28"/>
    <mergeCell ref="B27:D28"/>
    <mergeCell ref="E27:E28"/>
    <mergeCell ref="F27:F28"/>
    <mergeCell ref="G27:G28"/>
    <mergeCell ref="H27:H28"/>
    <mergeCell ref="B20:D20"/>
    <mergeCell ref="B21:D21"/>
    <mergeCell ref="B22:D22"/>
    <mergeCell ref="B23:D23"/>
    <mergeCell ref="J11:J12"/>
    <mergeCell ref="B13:D13"/>
    <mergeCell ref="B14:D14"/>
    <mergeCell ref="B15:D15"/>
    <mergeCell ref="B16:D16"/>
    <mergeCell ref="B17:D17"/>
    <mergeCell ref="A11:A12"/>
    <mergeCell ref="B11:D12"/>
    <mergeCell ref="E11:E12"/>
    <mergeCell ref="F11:F12"/>
    <mergeCell ref="G11:G12"/>
    <mergeCell ref="H11:H12"/>
    <mergeCell ref="I11:I12"/>
    <mergeCell ref="B18:D18"/>
    <mergeCell ref="B19:D19"/>
    <mergeCell ref="B2:J2"/>
    <mergeCell ref="B4:J4"/>
    <mergeCell ref="A7:A10"/>
    <mergeCell ref="B7:D10"/>
    <mergeCell ref="E7:E10"/>
    <mergeCell ref="F7:I7"/>
    <mergeCell ref="F8:G8"/>
    <mergeCell ref="H8:I8"/>
    <mergeCell ref="J8:J10"/>
    <mergeCell ref="F9:F10"/>
    <mergeCell ref="G9:G10"/>
    <mergeCell ref="H9:H10"/>
    <mergeCell ref="I9:I10"/>
  </mergeCells>
  <pageMargins left="0.70866141732283472" right="0.70866141732283472" top="0.74803149606299213" bottom="0.74803149606299213" header="0.31496062992125984" footer="0.31496062992125984"/>
  <pageSetup paperSize="9" scale="69" firstPageNumber="63" orientation="portrait" useFirstPageNumber="1" r:id="rId1"/>
  <headerFooter>
    <oddFooter>&amp;P. oldal</oddFooter>
  </headerFooter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zoomScaleNormal="100" zoomScaleSheetLayoutView="100" workbookViewId="0">
      <selection activeCell="B8" sqref="B8:E9"/>
    </sheetView>
  </sheetViews>
  <sheetFormatPr defaultColWidth="9.109375" defaultRowHeight="13.2" x14ac:dyDescent="0.25"/>
  <cols>
    <col min="1" max="1" width="6.88671875" style="569" customWidth="1"/>
    <col min="2" max="4" width="9.109375" style="569"/>
    <col min="5" max="5" width="23.5546875" style="569" customWidth="1"/>
    <col min="6" max="6" width="20.88671875" style="569" customWidth="1"/>
    <col min="7" max="7" width="12" style="569" customWidth="1"/>
    <col min="8" max="8" width="21.109375" style="569" customWidth="1"/>
    <col min="9" max="9" width="16.44140625" style="569" customWidth="1"/>
    <col min="10" max="16384" width="9.109375" style="569"/>
  </cols>
  <sheetData>
    <row r="2" spans="1:9" ht="15.6" x14ac:dyDescent="0.25">
      <c r="A2" s="1672" t="s">
        <v>1411</v>
      </c>
      <c r="B2" s="1672"/>
      <c r="C2" s="1672"/>
      <c r="D2" s="1672"/>
      <c r="E2" s="1672"/>
      <c r="F2" s="1673"/>
      <c r="G2" s="1673"/>
      <c r="H2" s="1673"/>
      <c r="I2" s="1673"/>
    </row>
    <row r="3" spans="1:9" ht="18" customHeight="1" x14ac:dyDescent="0.25">
      <c r="A3" s="1672" t="s">
        <v>683</v>
      </c>
      <c r="B3" s="1672"/>
      <c r="C3" s="1672"/>
      <c r="D3" s="1672"/>
      <c r="E3" s="1672"/>
      <c r="F3" s="1673"/>
      <c r="G3" s="1673"/>
      <c r="H3" s="1673"/>
      <c r="I3" s="1673"/>
    </row>
    <row r="7" spans="1:9" ht="16.5" customHeight="1" thickBot="1" x14ac:dyDescent="0.3">
      <c r="I7" s="570" t="s">
        <v>87</v>
      </c>
    </row>
    <row r="8" spans="1:9" ht="21.75" customHeight="1" x14ac:dyDescent="0.25">
      <c r="A8" s="1674" t="s">
        <v>114</v>
      </c>
      <c r="B8" s="1676" t="s">
        <v>669</v>
      </c>
      <c r="C8" s="1676"/>
      <c r="D8" s="1676"/>
      <c r="E8" s="1676"/>
      <c r="F8" s="1678" t="s">
        <v>670</v>
      </c>
      <c r="G8" s="1679"/>
      <c r="H8" s="1680" t="s">
        <v>671</v>
      </c>
      <c r="I8" s="1679"/>
    </row>
    <row r="9" spans="1:9" ht="27" customHeight="1" thickBot="1" x14ac:dyDescent="0.3">
      <c r="A9" s="1675"/>
      <c r="B9" s="1677"/>
      <c r="C9" s="1677"/>
      <c r="D9" s="1677"/>
      <c r="E9" s="1677"/>
      <c r="F9" s="1452" t="s">
        <v>672</v>
      </c>
      <c r="G9" s="724" t="s">
        <v>673</v>
      </c>
      <c r="H9" s="1449" t="s">
        <v>672</v>
      </c>
      <c r="I9" s="724" t="s">
        <v>673</v>
      </c>
    </row>
    <row r="10" spans="1:9" ht="21.9" customHeight="1" x14ac:dyDescent="0.25">
      <c r="A10" s="719" t="s">
        <v>77</v>
      </c>
      <c r="B10" s="571" t="s">
        <v>674</v>
      </c>
      <c r="C10" s="717"/>
      <c r="D10" s="717"/>
      <c r="E10" s="717"/>
      <c r="F10" s="1453" t="s">
        <v>675</v>
      </c>
      <c r="G10" s="720">
        <v>200</v>
      </c>
      <c r="H10" s="1450" t="s">
        <v>676</v>
      </c>
      <c r="I10" s="720">
        <v>550000</v>
      </c>
    </row>
    <row r="11" spans="1:9" ht="21.9" customHeight="1" x14ac:dyDescent="0.25">
      <c r="A11" s="719" t="s">
        <v>78</v>
      </c>
      <c r="B11" s="571" t="s">
        <v>677</v>
      </c>
      <c r="C11" s="717"/>
      <c r="D11" s="717"/>
      <c r="E11" s="717"/>
      <c r="F11" s="1453" t="s">
        <v>675</v>
      </c>
      <c r="G11" s="720">
        <v>150</v>
      </c>
      <c r="H11" s="1450" t="s">
        <v>676</v>
      </c>
      <c r="I11" s="720">
        <v>100000</v>
      </c>
    </row>
    <row r="12" spans="1:9" ht="21.9" customHeight="1" x14ac:dyDescent="0.25">
      <c r="A12" s="719" t="s">
        <v>79</v>
      </c>
      <c r="B12" s="717" t="s">
        <v>678</v>
      </c>
      <c r="C12" s="717"/>
      <c r="D12" s="717"/>
      <c r="E12" s="717"/>
      <c r="F12" s="1453"/>
      <c r="G12" s="720"/>
      <c r="H12" s="1450" t="s">
        <v>679</v>
      </c>
      <c r="I12" s="720">
        <v>100</v>
      </c>
    </row>
    <row r="13" spans="1:9" ht="21.9" customHeight="1" x14ac:dyDescent="0.25">
      <c r="A13" s="719" t="s">
        <v>191</v>
      </c>
      <c r="B13" s="717" t="s">
        <v>680</v>
      </c>
      <c r="C13" s="717"/>
      <c r="D13" s="717"/>
      <c r="E13" s="717"/>
      <c r="F13" s="1453"/>
      <c r="G13" s="720"/>
      <c r="H13" s="1450" t="s">
        <v>679</v>
      </c>
      <c r="I13" s="720">
        <v>8500</v>
      </c>
    </row>
    <row r="14" spans="1:9" ht="21.9" customHeight="1" thickBot="1" x14ac:dyDescent="0.3">
      <c r="A14" s="721" t="s">
        <v>192</v>
      </c>
      <c r="B14" s="722" t="s">
        <v>681</v>
      </c>
      <c r="C14" s="722"/>
      <c r="D14" s="722"/>
      <c r="E14" s="722"/>
      <c r="F14" s="1454"/>
      <c r="G14" s="723"/>
      <c r="H14" s="1451" t="s">
        <v>682</v>
      </c>
      <c r="I14" s="723">
        <v>126905</v>
      </c>
    </row>
  </sheetData>
  <mergeCells count="6">
    <mergeCell ref="A2:I2"/>
    <mergeCell ref="A3:I3"/>
    <mergeCell ref="A8:A9"/>
    <mergeCell ref="B8:E9"/>
    <mergeCell ref="F8:G8"/>
    <mergeCell ref="H8:I8"/>
  </mergeCells>
  <pageMargins left="0.78740157480314965" right="0.39370078740157483" top="0.98425196850393704" bottom="0.98425196850393704" header="0.51181102362204722" footer="0.51181102362204722"/>
  <pageSetup paperSize="9" scale="99" firstPageNumber="64" orientation="landscape" useFirstPageNumber="1" r:id="rId1"/>
  <headerFooter alignWithMargins="0">
    <oddFooter>&amp;C&amp;P.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81"/>
  <sheetViews>
    <sheetView zoomScale="90" zoomScaleNormal="90" zoomScaleSheetLayoutView="90" workbookViewId="0">
      <pane ySplit="9" topLeftCell="A170" activePane="bottomLeft" state="frozen"/>
      <selection pane="bottomLeft" activeCell="C182" sqref="C182"/>
    </sheetView>
  </sheetViews>
  <sheetFormatPr defaultColWidth="9.109375" defaultRowHeight="13.2" x14ac:dyDescent="0.25"/>
  <cols>
    <col min="1" max="1" width="4.5546875" style="572" customWidth="1"/>
    <col min="2" max="2" width="61.5546875" style="572" bestFit="1" customWidth="1"/>
    <col min="3" max="3" width="15" style="572" customWidth="1"/>
    <col min="4" max="4" width="14.109375" style="572" customWidth="1"/>
    <col min="5" max="5" width="16.6640625" style="572" customWidth="1"/>
    <col min="6" max="6" width="12.44140625" style="572" customWidth="1"/>
    <col min="7" max="7" width="12.44140625" style="572" bestFit="1" customWidth="1"/>
    <col min="8" max="8" width="10.44140625" style="572" bestFit="1" customWidth="1"/>
    <col min="9" max="9" width="12.109375" style="572" bestFit="1" customWidth="1"/>
    <col min="10" max="10" width="10.44140625" style="572" bestFit="1" customWidth="1"/>
    <col min="11" max="12" width="13.88671875" style="572" bestFit="1" customWidth="1"/>
    <col min="13" max="13" width="13.5546875" style="572" bestFit="1" customWidth="1"/>
    <col min="14" max="14" width="14.6640625" style="572" bestFit="1" customWidth="1"/>
    <col min="15" max="15" width="10.109375" style="572" bestFit="1" customWidth="1"/>
    <col min="16" max="16384" width="9.109375" style="572"/>
  </cols>
  <sheetData>
    <row r="3" spans="1:14" ht="18.75" customHeight="1" x14ac:dyDescent="0.25">
      <c r="A3" s="1687" t="s">
        <v>1412</v>
      </c>
      <c r="B3" s="1687"/>
      <c r="C3" s="1687"/>
      <c r="D3" s="1687"/>
      <c r="E3" s="1687"/>
      <c r="F3" s="1687"/>
      <c r="G3" s="1687"/>
      <c r="H3" s="1687"/>
      <c r="I3" s="1687"/>
      <c r="J3" s="1687"/>
      <c r="K3" s="1687"/>
      <c r="L3" s="1687"/>
      <c r="M3" s="1687"/>
      <c r="N3" s="1687"/>
    </row>
    <row r="4" spans="1:14" ht="15.6" x14ac:dyDescent="0.25">
      <c r="A4" s="1126"/>
      <c r="B4" s="1688" t="s">
        <v>684</v>
      </c>
      <c r="C4" s="1688"/>
      <c r="D4" s="1688"/>
      <c r="E4" s="1688"/>
      <c r="F4" s="1688"/>
      <c r="G4" s="1688"/>
      <c r="H4" s="1688"/>
      <c r="I4" s="1688"/>
      <c r="J4" s="1688"/>
      <c r="K4" s="1688"/>
      <c r="L4" s="1688"/>
      <c r="M4" s="1688"/>
      <c r="N4" s="1126"/>
    </row>
    <row r="5" spans="1:14" ht="15.6" x14ac:dyDescent="0.25">
      <c r="A5" s="1688" t="s">
        <v>987</v>
      </c>
      <c r="B5" s="1688"/>
      <c r="C5" s="1688"/>
      <c r="D5" s="1688"/>
      <c r="E5" s="1688"/>
      <c r="F5" s="1688"/>
      <c r="G5" s="1688"/>
      <c r="H5" s="1688"/>
      <c r="I5" s="1688"/>
      <c r="J5" s="1688"/>
      <c r="K5" s="1688"/>
      <c r="L5" s="1688"/>
      <c r="M5" s="1688"/>
      <c r="N5" s="1688"/>
    </row>
    <row r="6" spans="1:14" ht="17.399999999999999" x14ac:dyDescent="0.25">
      <c r="B6" s="1119"/>
      <c r="C6" s="1119"/>
      <c r="D6" s="1119"/>
      <c r="E6" s="1119"/>
      <c r="F6" s="1119"/>
      <c r="G6" s="1119"/>
      <c r="H6" s="1119"/>
      <c r="I6" s="1119"/>
      <c r="J6" s="1119"/>
      <c r="K6" s="1119"/>
      <c r="L6" s="1119"/>
      <c r="M6" s="1119"/>
    </row>
    <row r="7" spans="1:14" ht="13.8" thickBot="1" x14ac:dyDescent="0.3">
      <c r="N7" s="1411" t="s">
        <v>87</v>
      </c>
    </row>
    <row r="8" spans="1:14" ht="32.25" customHeight="1" x14ac:dyDescent="0.25">
      <c r="A8" s="1051"/>
      <c r="B8" s="1683" t="s">
        <v>685</v>
      </c>
      <c r="C8" s="1690" t="s">
        <v>1460</v>
      </c>
      <c r="D8" s="1690" t="s">
        <v>686</v>
      </c>
      <c r="E8" s="1683" t="s">
        <v>687</v>
      </c>
      <c r="F8" s="1692" t="s">
        <v>688</v>
      </c>
      <c r="G8" s="1426" t="s">
        <v>689</v>
      </c>
      <c r="H8" s="1694" t="s">
        <v>690</v>
      </c>
      <c r="I8" s="1695"/>
      <c r="J8" s="1696" t="s">
        <v>691</v>
      </c>
      <c r="K8" s="1696"/>
      <c r="L8" s="1681" t="s">
        <v>692</v>
      </c>
      <c r="M8" s="1683" t="s">
        <v>693</v>
      </c>
      <c r="N8" s="1685" t="s">
        <v>694</v>
      </c>
    </row>
    <row r="9" spans="1:14" ht="52.5" customHeight="1" thickBot="1" x14ac:dyDescent="0.3">
      <c r="A9" s="1052"/>
      <c r="B9" s="1689"/>
      <c r="C9" s="1691"/>
      <c r="D9" s="1691"/>
      <c r="E9" s="1689"/>
      <c r="F9" s="1693"/>
      <c r="G9" s="1427" t="s">
        <v>695</v>
      </c>
      <c r="H9" s="1136" t="s">
        <v>696</v>
      </c>
      <c r="I9" s="1136" t="s">
        <v>697</v>
      </c>
      <c r="J9" s="1136" t="s">
        <v>696</v>
      </c>
      <c r="K9" s="1136" t="s">
        <v>698</v>
      </c>
      <c r="L9" s="1682"/>
      <c r="M9" s="1684"/>
      <c r="N9" s="1686"/>
    </row>
    <row r="10" spans="1:14" ht="21" customHeight="1" x14ac:dyDescent="0.25">
      <c r="A10" s="1428" t="s">
        <v>77</v>
      </c>
      <c r="B10" s="1120" t="s">
        <v>699</v>
      </c>
      <c r="C10" s="1122">
        <f>SUM(C11:C40)</f>
        <v>3782340</v>
      </c>
      <c r="D10" s="1122">
        <f>SUM(E10:N10)</f>
        <v>3782340</v>
      </c>
      <c r="E10" s="1122">
        <v>981006</v>
      </c>
      <c r="F10" s="1122">
        <v>289065</v>
      </c>
      <c r="G10" s="1122">
        <v>249901</v>
      </c>
      <c r="H10" s="1122"/>
      <c r="I10" s="1122"/>
      <c r="J10" s="1122"/>
      <c r="K10" s="1122"/>
      <c r="L10" s="1122">
        <f>SUM(L11:L40)</f>
        <v>280949</v>
      </c>
      <c r="M10" s="1122">
        <v>200000</v>
      </c>
      <c r="N10" s="1429">
        <v>1781419</v>
      </c>
    </row>
    <row r="11" spans="1:14" ht="21" customHeight="1" x14ac:dyDescent="0.25">
      <c r="A11" s="1430"/>
      <c r="B11" s="1127" t="s">
        <v>700</v>
      </c>
      <c r="C11" s="1124">
        <f>'3 mell. 2. pont'!E19</f>
        <v>20000</v>
      </c>
      <c r="D11" s="1128"/>
      <c r="E11" s="1122"/>
      <c r="F11" s="1128"/>
      <c r="G11" s="1122"/>
      <c r="H11" s="1122"/>
      <c r="I11" s="1122"/>
      <c r="J11" s="1122"/>
      <c r="K11" s="1122"/>
      <c r="L11" s="1128"/>
      <c r="M11" s="1122"/>
      <c r="N11" s="1431"/>
    </row>
    <row r="12" spans="1:14" ht="21" customHeight="1" x14ac:dyDescent="0.25">
      <c r="A12" s="1430"/>
      <c r="B12" s="1127" t="s">
        <v>701</v>
      </c>
      <c r="C12" s="1124">
        <f>'3 mell. 2. pont'!E29</f>
        <v>31163</v>
      </c>
      <c r="D12" s="1128"/>
      <c r="E12" s="1122"/>
      <c r="F12" s="1128"/>
      <c r="G12" s="1122"/>
      <c r="H12" s="1122"/>
      <c r="I12" s="1122"/>
      <c r="J12" s="1122"/>
      <c r="K12" s="1122"/>
      <c r="L12" s="1128">
        <v>6163</v>
      </c>
      <c r="M12" s="1122"/>
      <c r="N12" s="1431"/>
    </row>
    <row r="13" spans="1:14" ht="21" customHeight="1" x14ac:dyDescent="0.25">
      <c r="A13" s="1430"/>
      <c r="B13" s="1127" t="s">
        <v>702</v>
      </c>
      <c r="C13" s="1124">
        <f>'3 mell. 2. pont'!E39</f>
        <v>284510</v>
      </c>
      <c r="D13" s="1128"/>
      <c r="E13" s="1122"/>
      <c r="F13" s="1128"/>
      <c r="G13" s="1122"/>
      <c r="H13" s="1122"/>
      <c r="I13" s="1122"/>
      <c r="J13" s="1122"/>
      <c r="K13" s="1122"/>
      <c r="L13" s="1128">
        <v>144510</v>
      </c>
      <c r="M13" s="1122"/>
      <c r="N13" s="1431"/>
    </row>
    <row r="14" spans="1:14" ht="21" customHeight="1" x14ac:dyDescent="0.25">
      <c r="A14" s="1430"/>
      <c r="B14" s="1127" t="s">
        <v>703</v>
      </c>
      <c r="C14" s="1124">
        <f>'3 mell. 2. pont'!E49</f>
        <v>19438</v>
      </c>
      <c r="D14" s="1128"/>
      <c r="E14" s="1122"/>
      <c r="F14" s="1128"/>
      <c r="G14" s="1122"/>
      <c r="H14" s="1122"/>
      <c r="I14" s="1122"/>
      <c r="J14" s="1122"/>
      <c r="K14" s="1122"/>
      <c r="L14" s="1128">
        <v>11843</v>
      </c>
      <c r="M14" s="1122"/>
      <c r="N14" s="1431"/>
    </row>
    <row r="15" spans="1:14" ht="21" customHeight="1" x14ac:dyDescent="0.25">
      <c r="A15" s="1430"/>
      <c r="B15" s="1127" t="s">
        <v>1007</v>
      </c>
      <c r="C15" s="1129">
        <f>'3 mell. 2. pont'!E70</f>
        <v>6279</v>
      </c>
      <c r="D15" s="1128"/>
      <c r="E15" s="1128"/>
      <c r="F15" s="1128"/>
      <c r="G15" s="1128"/>
      <c r="H15" s="1128"/>
      <c r="I15" s="1128"/>
      <c r="J15" s="1128"/>
      <c r="K15" s="1128"/>
      <c r="L15" s="1128">
        <v>3279</v>
      </c>
      <c r="M15" s="1128"/>
      <c r="N15" s="1431"/>
    </row>
    <row r="16" spans="1:14" ht="20.399999999999999" customHeight="1" x14ac:dyDescent="0.25">
      <c r="A16" s="1430"/>
      <c r="B16" s="1127" t="s">
        <v>704</v>
      </c>
      <c r="C16" s="1129">
        <f>'3 mell. 2. pont'!E80</f>
        <v>50746</v>
      </c>
      <c r="D16" s="1128"/>
      <c r="E16" s="1128"/>
      <c r="F16" s="1128"/>
      <c r="G16" s="1128"/>
      <c r="H16" s="1128"/>
      <c r="I16" s="1128"/>
      <c r="J16" s="1128"/>
      <c r="K16" s="1128"/>
      <c r="L16" s="1128">
        <v>18341</v>
      </c>
      <c r="M16" s="1128"/>
      <c r="N16" s="1431"/>
    </row>
    <row r="17" spans="1:14" ht="21" customHeight="1" x14ac:dyDescent="0.25">
      <c r="A17" s="1430"/>
      <c r="B17" s="1127" t="s">
        <v>705</v>
      </c>
      <c r="C17" s="1129">
        <f>'3 mell. 2. pont'!E113</f>
        <v>75000</v>
      </c>
      <c r="D17" s="1128"/>
      <c r="E17" s="1128"/>
      <c r="F17" s="1128"/>
      <c r="G17" s="1128"/>
      <c r="H17" s="1128"/>
      <c r="I17" s="1128"/>
      <c r="J17" s="1128"/>
      <c r="K17" s="1128"/>
      <c r="L17" s="1128">
        <v>37135</v>
      </c>
      <c r="M17" s="1128"/>
      <c r="N17" s="1431"/>
    </row>
    <row r="18" spans="1:14" ht="21" customHeight="1" x14ac:dyDescent="0.25">
      <c r="A18" s="1430"/>
      <c r="B18" s="1127" t="s">
        <v>706</v>
      </c>
      <c r="C18" s="1129">
        <f>'3 mell. 2. pont'!E319</f>
        <v>117576</v>
      </c>
      <c r="D18" s="1128"/>
      <c r="E18" s="1128"/>
      <c r="F18" s="1128"/>
      <c r="G18" s="1128"/>
      <c r="H18" s="1128"/>
      <c r="I18" s="1128"/>
      <c r="J18" s="1128"/>
      <c r="K18" s="1128"/>
      <c r="L18" s="1128">
        <v>25682</v>
      </c>
      <c r="M18" s="1128"/>
      <c r="N18" s="1431"/>
    </row>
    <row r="19" spans="1:14" ht="21" customHeight="1" x14ac:dyDescent="0.25">
      <c r="A19" s="1430"/>
      <c r="B19" s="1127" t="s">
        <v>707</v>
      </c>
      <c r="C19" s="1129">
        <f>'3 mell. 2. pont'!E404</f>
        <v>437833</v>
      </c>
      <c r="D19" s="1128"/>
      <c r="E19" s="1128"/>
      <c r="F19" s="1128"/>
      <c r="G19" s="1128"/>
      <c r="H19" s="1128"/>
      <c r="I19" s="1128"/>
      <c r="J19" s="1128"/>
      <c r="K19" s="1128"/>
      <c r="L19" s="1128">
        <v>33996</v>
      </c>
      <c r="M19" s="1128"/>
      <c r="N19" s="1431"/>
    </row>
    <row r="20" spans="1:14" ht="21" customHeight="1" x14ac:dyDescent="0.25">
      <c r="A20" s="1430"/>
      <c r="B20" s="1127" t="s">
        <v>708</v>
      </c>
      <c r="C20" s="1129">
        <f>SUM('4.mell.'!E10)</f>
        <v>0</v>
      </c>
      <c r="D20" s="1128"/>
      <c r="E20" s="1128"/>
      <c r="F20" s="1128"/>
      <c r="G20" s="1128"/>
      <c r="H20" s="1128"/>
      <c r="I20" s="1128"/>
      <c r="J20" s="1128"/>
      <c r="K20" s="1128"/>
      <c r="L20" s="1128"/>
      <c r="M20" s="1128"/>
      <c r="N20" s="1431"/>
    </row>
    <row r="21" spans="1:14" ht="20.399999999999999" customHeight="1" x14ac:dyDescent="0.25">
      <c r="A21" s="1430"/>
      <c r="B21" s="1127" t="s">
        <v>709</v>
      </c>
      <c r="C21" s="1129">
        <f>'4.mell.'!E11</f>
        <v>230000</v>
      </c>
      <c r="D21" s="1128"/>
      <c r="E21" s="1128"/>
      <c r="F21" s="1128"/>
      <c r="G21" s="1128"/>
      <c r="H21" s="1128"/>
      <c r="I21" s="1128"/>
      <c r="J21" s="1128"/>
      <c r="K21" s="1128"/>
      <c r="L21" s="1128"/>
      <c r="M21" s="1128"/>
      <c r="N21" s="1431"/>
    </row>
    <row r="22" spans="1:14" ht="25.5" customHeight="1" x14ac:dyDescent="0.25">
      <c r="A22" s="1430"/>
      <c r="B22" s="1130" t="s">
        <v>710</v>
      </c>
      <c r="C22" s="1129">
        <f>'4.mell.'!E12</f>
        <v>197932</v>
      </c>
      <c r="D22" s="1128"/>
      <c r="E22" s="1128"/>
      <c r="F22" s="1128"/>
      <c r="G22" s="1128"/>
      <c r="H22" s="1128"/>
      <c r="I22" s="1128"/>
      <c r="J22" s="1128"/>
      <c r="K22" s="1128"/>
      <c r="L22" s="1128"/>
      <c r="M22" s="1128"/>
      <c r="N22" s="1431"/>
    </row>
    <row r="23" spans="1:14" ht="25.5" customHeight="1" x14ac:dyDescent="0.25">
      <c r="A23" s="1430"/>
      <c r="B23" s="1130" t="s">
        <v>711</v>
      </c>
      <c r="C23" s="1129">
        <f>'4.mell.'!E14</f>
        <v>10000</v>
      </c>
      <c r="D23" s="1128"/>
      <c r="E23" s="1128"/>
      <c r="F23" s="1128"/>
      <c r="G23" s="1128"/>
      <c r="H23" s="1128"/>
      <c r="I23" s="1128"/>
      <c r="J23" s="1128"/>
      <c r="K23" s="1128"/>
      <c r="L23" s="1128"/>
      <c r="M23" s="1128"/>
      <c r="N23" s="1431"/>
    </row>
    <row r="24" spans="1:14" ht="20.25" customHeight="1" x14ac:dyDescent="0.25">
      <c r="A24" s="1430"/>
      <c r="B24" s="1130" t="s">
        <v>712</v>
      </c>
      <c r="C24" s="1129">
        <f>'4.mell.'!E15</f>
        <v>300000</v>
      </c>
      <c r="D24" s="1128"/>
      <c r="E24" s="1128"/>
      <c r="F24" s="1128"/>
      <c r="G24" s="1128"/>
      <c r="H24" s="1128"/>
      <c r="I24" s="1128"/>
      <c r="J24" s="1128"/>
      <c r="K24" s="1128"/>
      <c r="L24" s="1128"/>
      <c r="M24" s="1128"/>
      <c r="N24" s="1431"/>
    </row>
    <row r="25" spans="1:14" ht="20.25" customHeight="1" x14ac:dyDescent="0.25">
      <c r="A25" s="1430"/>
      <c r="B25" s="1130" t="s">
        <v>713</v>
      </c>
      <c r="C25" s="1129">
        <f>'4.mell.'!E16</f>
        <v>120000</v>
      </c>
      <c r="D25" s="1128"/>
      <c r="E25" s="1128"/>
      <c r="F25" s="1128"/>
      <c r="G25" s="1128"/>
      <c r="H25" s="1128"/>
      <c r="I25" s="1128"/>
      <c r="J25" s="1128"/>
      <c r="K25" s="1128"/>
      <c r="L25" s="1128"/>
      <c r="M25" s="1128"/>
      <c r="N25" s="1431"/>
    </row>
    <row r="26" spans="1:14" ht="20.25" customHeight="1" x14ac:dyDescent="0.25">
      <c r="A26" s="1430"/>
      <c r="B26" s="1130" t="s">
        <v>714</v>
      </c>
      <c r="C26" s="1129">
        <f>'4.mell.'!E17</f>
        <v>204732</v>
      </c>
      <c r="D26" s="1128"/>
      <c r="E26" s="1128"/>
      <c r="F26" s="1128"/>
      <c r="G26" s="1128"/>
      <c r="H26" s="1128"/>
      <c r="I26" s="1128"/>
      <c r="J26" s="1128"/>
      <c r="K26" s="1128"/>
      <c r="L26" s="1128"/>
      <c r="M26" s="1128"/>
      <c r="N26" s="1431"/>
    </row>
    <row r="27" spans="1:14" ht="20.25" customHeight="1" x14ac:dyDescent="0.25">
      <c r="A27" s="1430"/>
      <c r="B27" s="1130" t="s">
        <v>1035</v>
      </c>
      <c r="C27" s="1129">
        <f>SUM('4.mell.'!E21)</f>
        <v>20000</v>
      </c>
      <c r="D27" s="1128"/>
      <c r="E27" s="1128"/>
      <c r="F27" s="1128"/>
      <c r="G27" s="1128"/>
      <c r="H27" s="1128"/>
      <c r="I27" s="1128"/>
      <c r="J27" s="1128"/>
      <c r="K27" s="1128"/>
      <c r="L27" s="1128"/>
      <c r="M27" s="1128"/>
      <c r="N27" s="1431"/>
    </row>
    <row r="28" spans="1:14" ht="20.25" customHeight="1" x14ac:dyDescent="0.25">
      <c r="A28" s="1430"/>
      <c r="B28" s="1130" t="s">
        <v>991</v>
      </c>
      <c r="C28" s="1129">
        <f>'4.mell.'!E22</f>
        <v>17000</v>
      </c>
      <c r="D28" s="1128"/>
      <c r="E28" s="1128"/>
      <c r="F28" s="1128"/>
      <c r="G28" s="1128"/>
      <c r="H28" s="1128"/>
      <c r="I28" s="1128"/>
      <c r="J28" s="1128"/>
      <c r="K28" s="1128"/>
      <c r="L28" s="1128"/>
      <c r="M28" s="1128"/>
      <c r="N28" s="1431"/>
    </row>
    <row r="29" spans="1:14" ht="20.25" customHeight="1" x14ac:dyDescent="0.25">
      <c r="A29" s="1430"/>
      <c r="B29" s="1130" t="s">
        <v>1034</v>
      </c>
      <c r="C29" s="1129">
        <f>'5.mell. '!E13</f>
        <v>51179</v>
      </c>
      <c r="D29" s="1128"/>
      <c r="E29" s="1128"/>
      <c r="F29" s="1128"/>
      <c r="G29" s="1128"/>
      <c r="H29" s="1128"/>
      <c r="I29" s="1128"/>
      <c r="J29" s="1128"/>
      <c r="K29" s="1128"/>
      <c r="L29" s="1128"/>
      <c r="M29" s="1128"/>
      <c r="N29" s="1431"/>
    </row>
    <row r="30" spans="1:14" ht="20.25" customHeight="1" x14ac:dyDescent="0.25">
      <c r="A30" s="1430"/>
      <c r="B30" s="1130" t="s">
        <v>1030</v>
      </c>
      <c r="C30" s="1129">
        <f>'5.mell. '!E11</f>
        <v>24607</v>
      </c>
      <c r="D30" s="1128"/>
      <c r="E30" s="1128"/>
      <c r="F30" s="1128"/>
      <c r="G30" s="1128"/>
      <c r="H30" s="1128"/>
      <c r="I30" s="1128"/>
      <c r="J30" s="1128"/>
      <c r="K30" s="1128"/>
      <c r="L30" s="1128"/>
      <c r="M30" s="1128"/>
      <c r="N30" s="1431"/>
    </row>
    <row r="31" spans="1:14" ht="20.25" customHeight="1" x14ac:dyDescent="0.25">
      <c r="A31" s="1430"/>
      <c r="B31" s="1130" t="s">
        <v>1033</v>
      </c>
      <c r="C31" s="1129">
        <f>'5.mell. '!E12</f>
        <v>50000</v>
      </c>
      <c r="D31" s="1128"/>
      <c r="E31" s="1128"/>
      <c r="F31" s="1128"/>
      <c r="G31" s="1128"/>
      <c r="H31" s="1128"/>
      <c r="I31" s="1128"/>
      <c r="J31" s="1128"/>
      <c r="K31" s="1128"/>
      <c r="L31" s="1128"/>
      <c r="M31" s="1128"/>
      <c r="N31" s="1431"/>
    </row>
    <row r="32" spans="1:14" ht="20.25" customHeight="1" x14ac:dyDescent="0.25">
      <c r="A32" s="1430"/>
      <c r="B32" s="1130" t="s">
        <v>1312</v>
      </c>
      <c r="C32" s="1129">
        <f>SUM('5.mell. '!E16)</f>
        <v>208284</v>
      </c>
      <c r="D32" s="1128"/>
      <c r="E32" s="1128"/>
      <c r="F32" s="1128"/>
      <c r="G32" s="1128"/>
      <c r="H32" s="1128"/>
      <c r="I32" s="1128"/>
      <c r="J32" s="1128"/>
      <c r="K32" s="1128"/>
      <c r="L32" s="1128"/>
      <c r="M32" s="1128"/>
      <c r="N32" s="1431"/>
    </row>
    <row r="33" spans="1:14" ht="20.25" customHeight="1" x14ac:dyDescent="0.25">
      <c r="A33" s="1430"/>
      <c r="B33" s="1130" t="s">
        <v>1031</v>
      </c>
      <c r="C33" s="1129">
        <f>'5.mell. '!E17</f>
        <v>1258</v>
      </c>
      <c r="D33" s="1128"/>
      <c r="E33" s="1128"/>
      <c r="F33" s="1128"/>
      <c r="G33" s="1128"/>
      <c r="H33" s="1128"/>
      <c r="I33" s="1128"/>
      <c r="J33" s="1128"/>
      <c r="K33" s="1128"/>
      <c r="L33" s="1128"/>
      <c r="M33" s="1128"/>
      <c r="N33" s="1431"/>
    </row>
    <row r="34" spans="1:14" ht="20.25" customHeight="1" x14ac:dyDescent="0.25">
      <c r="A34" s="1430"/>
      <c r="B34" s="1130" t="s">
        <v>1032</v>
      </c>
      <c r="C34" s="1129">
        <f>'5.mell. '!E19</f>
        <v>71502</v>
      </c>
      <c r="D34" s="1128"/>
      <c r="E34" s="1128"/>
      <c r="F34" s="1128"/>
      <c r="G34" s="1128"/>
      <c r="H34" s="1128"/>
      <c r="I34" s="1128"/>
      <c r="J34" s="1128"/>
      <c r="K34" s="1128"/>
      <c r="L34" s="1128"/>
      <c r="M34" s="1128"/>
      <c r="N34" s="1431"/>
    </row>
    <row r="35" spans="1:14" ht="20.25" customHeight="1" x14ac:dyDescent="0.25">
      <c r="A35" s="1430"/>
      <c r="B35" s="1130" t="s">
        <v>1036</v>
      </c>
      <c r="C35" s="1129">
        <f>'5.mell. '!E20</f>
        <v>16192</v>
      </c>
      <c r="D35" s="1128"/>
      <c r="E35" s="1128"/>
      <c r="F35" s="1128"/>
      <c r="G35" s="1128"/>
      <c r="H35" s="1128"/>
      <c r="I35" s="1128"/>
      <c r="J35" s="1128"/>
      <c r="K35" s="1128"/>
      <c r="L35" s="1128"/>
      <c r="M35" s="1128"/>
      <c r="N35" s="1431"/>
    </row>
    <row r="36" spans="1:14" ht="20.25" customHeight="1" x14ac:dyDescent="0.25">
      <c r="A36" s="1430"/>
      <c r="B36" s="1130" t="s">
        <v>1319</v>
      </c>
      <c r="C36" s="1129">
        <f>SUM('5.mell. '!E23)</f>
        <v>60000</v>
      </c>
      <c r="D36" s="1128"/>
      <c r="E36" s="1128"/>
      <c r="F36" s="1128"/>
      <c r="G36" s="1128"/>
      <c r="H36" s="1128"/>
      <c r="I36" s="1128"/>
      <c r="J36" s="1128"/>
      <c r="K36" s="1128"/>
      <c r="L36" s="1128"/>
      <c r="M36" s="1128"/>
      <c r="N36" s="1431"/>
    </row>
    <row r="37" spans="1:14" ht="20.25" customHeight="1" x14ac:dyDescent="0.25">
      <c r="A37" s="1430"/>
      <c r="B37" s="1130" t="s">
        <v>1037</v>
      </c>
      <c r="C37" s="1129">
        <f>'5.mell. '!E24</f>
        <v>30508</v>
      </c>
      <c r="D37" s="1128"/>
      <c r="E37" s="1128"/>
      <c r="F37" s="1128"/>
      <c r="G37" s="1128"/>
      <c r="H37" s="1128"/>
      <c r="I37" s="1128"/>
      <c r="J37" s="1128"/>
      <c r="K37" s="1128"/>
      <c r="L37" s="1128"/>
      <c r="M37" s="1128"/>
      <c r="N37" s="1431"/>
    </row>
    <row r="38" spans="1:14" ht="20.25" customHeight="1" x14ac:dyDescent="0.25">
      <c r="A38" s="1430"/>
      <c r="B38" s="1130" t="s">
        <v>1038</v>
      </c>
      <c r="C38" s="1129">
        <f>'5.mell. '!E29</f>
        <v>916601</v>
      </c>
      <c r="D38" s="1128"/>
      <c r="E38" s="1128"/>
      <c r="F38" s="1128"/>
      <c r="G38" s="1128"/>
      <c r="H38" s="1128"/>
      <c r="I38" s="1128"/>
      <c r="J38" s="1128"/>
      <c r="K38" s="1128"/>
      <c r="L38" s="1128"/>
      <c r="M38" s="1128"/>
      <c r="N38" s="1431"/>
    </row>
    <row r="39" spans="1:14" ht="20.25" customHeight="1" x14ac:dyDescent="0.25">
      <c r="A39" s="1430"/>
      <c r="B39" s="1130" t="s">
        <v>1483</v>
      </c>
      <c r="C39" s="1129">
        <v>10000</v>
      </c>
      <c r="D39" s="1128"/>
      <c r="E39" s="1128"/>
      <c r="F39" s="1128"/>
      <c r="G39" s="1128"/>
      <c r="H39" s="1128"/>
      <c r="I39" s="1128"/>
      <c r="J39" s="1128"/>
      <c r="K39" s="1128"/>
      <c r="L39" s="1128"/>
      <c r="M39" s="1128"/>
      <c r="N39" s="1431"/>
    </row>
    <row r="40" spans="1:14" ht="20.25" customHeight="1" x14ac:dyDescent="0.25">
      <c r="A40" s="1430"/>
      <c r="B40" s="1130" t="s">
        <v>1039</v>
      </c>
      <c r="C40" s="1129">
        <f>'6.mell. '!E24</f>
        <v>200000</v>
      </c>
      <c r="D40" s="1128"/>
      <c r="E40" s="1128"/>
      <c r="F40" s="1128"/>
      <c r="G40" s="1128"/>
      <c r="H40" s="1128"/>
      <c r="I40" s="1128"/>
      <c r="J40" s="1128"/>
      <c r="K40" s="1128"/>
      <c r="L40" s="1128"/>
      <c r="M40" s="1128"/>
      <c r="N40" s="1431"/>
    </row>
    <row r="41" spans="1:14" ht="21" customHeight="1" x14ac:dyDescent="0.25">
      <c r="A41" s="1430" t="s">
        <v>78</v>
      </c>
      <c r="B41" s="1123" t="s">
        <v>715</v>
      </c>
      <c r="C41" s="1121">
        <f>SUM(C42:C44)</f>
        <v>451759</v>
      </c>
      <c r="D41" s="1121">
        <f>SUM(E41:N41)</f>
        <v>451759</v>
      </c>
      <c r="E41" s="1121"/>
      <c r="F41" s="1121">
        <v>224745</v>
      </c>
      <c r="G41" s="1121"/>
      <c r="H41" s="1121"/>
      <c r="I41" s="1121"/>
      <c r="J41" s="1121"/>
      <c r="K41" s="1121">
        <v>15000</v>
      </c>
      <c r="L41" s="1121">
        <f>SUM(L42:L44)</f>
        <v>212014</v>
      </c>
      <c r="M41" s="1121"/>
      <c r="N41" s="1431"/>
    </row>
    <row r="42" spans="1:14" ht="21" customHeight="1" x14ac:dyDescent="0.25">
      <c r="A42" s="1430"/>
      <c r="B42" s="1131" t="s">
        <v>716</v>
      </c>
      <c r="C42" s="1124">
        <f>'3 mell 3. pont'!E10</f>
        <v>27053</v>
      </c>
      <c r="D42" s="1124"/>
      <c r="E42" s="1124"/>
      <c r="F42" s="1124"/>
      <c r="G42" s="1124"/>
      <c r="H42" s="1124"/>
      <c r="I42" s="1124"/>
      <c r="J42" s="1124"/>
      <c r="K42" s="1124"/>
      <c r="L42" s="1124">
        <v>53</v>
      </c>
      <c r="M42" s="1124"/>
      <c r="N42" s="1431"/>
    </row>
    <row r="43" spans="1:14" ht="21" customHeight="1" x14ac:dyDescent="0.25">
      <c r="A43" s="1430"/>
      <c r="B43" s="1131" t="s">
        <v>1014</v>
      </c>
      <c r="C43" s="1124">
        <f>'3 mell 3. pont'!E18</f>
        <v>5000</v>
      </c>
      <c r="D43" s="1124"/>
      <c r="E43" s="1124"/>
      <c r="F43" s="1124"/>
      <c r="G43" s="1124"/>
      <c r="H43" s="1124"/>
      <c r="I43" s="1124"/>
      <c r="J43" s="1124"/>
      <c r="K43" s="1124"/>
      <c r="L43" s="1124"/>
      <c r="M43" s="1124"/>
      <c r="N43" s="1431"/>
    </row>
    <row r="44" spans="1:14" ht="21" customHeight="1" x14ac:dyDescent="0.25">
      <c r="A44" s="1430"/>
      <c r="B44" s="1131" t="s">
        <v>1015</v>
      </c>
      <c r="C44" s="1124">
        <f>'3 mell 3. pont'!E19</f>
        <v>419706</v>
      </c>
      <c r="D44" s="1124"/>
      <c r="E44" s="1124"/>
      <c r="F44" s="1124"/>
      <c r="G44" s="1124"/>
      <c r="H44" s="1124"/>
      <c r="I44" s="1124"/>
      <c r="J44" s="1124"/>
      <c r="K44" s="1124"/>
      <c r="L44" s="1124">
        <v>211961</v>
      </c>
      <c r="M44" s="1124"/>
      <c r="N44" s="1431"/>
    </row>
    <row r="45" spans="1:14" ht="21" customHeight="1" x14ac:dyDescent="0.25">
      <c r="A45" s="1430" t="s">
        <v>79</v>
      </c>
      <c r="B45" s="1123" t="s">
        <v>717</v>
      </c>
      <c r="C45" s="1121">
        <f>SUM(C46:C46)</f>
        <v>1693284</v>
      </c>
      <c r="D45" s="1121">
        <f>SUM(E45:N45)</f>
        <v>1693284</v>
      </c>
      <c r="E45" s="1121"/>
      <c r="F45" s="1121">
        <v>633877</v>
      </c>
      <c r="G45" s="1121">
        <v>926327</v>
      </c>
      <c r="H45" s="1124"/>
      <c r="I45" s="1124"/>
      <c r="J45" s="1124"/>
      <c r="K45" s="1124"/>
      <c r="L45" s="1121">
        <f>SUM(L46:L46)</f>
        <v>133080</v>
      </c>
      <c r="M45" s="1124"/>
      <c r="N45" s="1431"/>
    </row>
    <row r="46" spans="1:14" ht="29.1" customHeight="1" x14ac:dyDescent="0.25">
      <c r="A46" s="1430"/>
      <c r="B46" s="1132" t="s">
        <v>718</v>
      </c>
      <c r="C46" s="1124">
        <f>'3 mell. 2. pont'!E383</f>
        <v>1693284</v>
      </c>
      <c r="D46" s="1124"/>
      <c r="E46" s="1124"/>
      <c r="F46" s="1124"/>
      <c r="G46" s="1124"/>
      <c r="H46" s="1124"/>
      <c r="I46" s="1124"/>
      <c r="J46" s="1124"/>
      <c r="K46" s="1124"/>
      <c r="L46" s="1124">
        <v>133080</v>
      </c>
      <c r="M46" s="1124"/>
      <c r="N46" s="1431"/>
    </row>
    <row r="47" spans="1:14" ht="21" customHeight="1" x14ac:dyDescent="0.25">
      <c r="A47" s="1430" t="s">
        <v>192</v>
      </c>
      <c r="B47" s="1123" t="s">
        <v>719</v>
      </c>
      <c r="C47" s="1121">
        <f>SUM(C48:C55)</f>
        <v>1527219</v>
      </c>
      <c r="D47" s="1121">
        <f>SUM(E47:N47)</f>
        <v>1527219</v>
      </c>
      <c r="E47" s="1124"/>
      <c r="F47" s="1121">
        <v>1226001</v>
      </c>
      <c r="G47" s="1121"/>
      <c r="H47" s="1124"/>
      <c r="I47" s="1121">
        <v>213158</v>
      </c>
      <c r="J47" s="1124"/>
      <c r="K47" s="1121"/>
      <c r="L47" s="1121">
        <f>SUM(L48:L55)</f>
        <v>88060</v>
      </c>
      <c r="M47" s="1121"/>
      <c r="N47" s="1432"/>
    </row>
    <row r="48" spans="1:14" ht="21" customHeight="1" x14ac:dyDescent="0.25">
      <c r="A48" s="1430"/>
      <c r="B48" s="1131" t="s">
        <v>720</v>
      </c>
      <c r="C48" s="1124">
        <f>'3 mell. 2. pont'!E370</f>
        <v>1001415</v>
      </c>
      <c r="D48" s="1124"/>
      <c r="E48" s="1124"/>
      <c r="F48" s="1124"/>
      <c r="G48" s="1124"/>
      <c r="H48" s="1124"/>
      <c r="I48" s="1124"/>
      <c r="J48" s="1124"/>
      <c r="K48" s="1124"/>
      <c r="L48" s="1124">
        <v>85464</v>
      </c>
      <c r="M48" s="1124"/>
      <c r="N48" s="1431"/>
    </row>
    <row r="49" spans="1:14" ht="21" customHeight="1" x14ac:dyDescent="0.25">
      <c r="A49" s="1430"/>
      <c r="B49" s="1131" t="s">
        <v>721</v>
      </c>
      <c r="C49" s="1124">
        <f>'3 mell. 2. pont'!E143</f>
        <v>22596</v>
      </c>
      <c r="D49" s="1124"/>
      <c r="E49" s="1124"/>
      <c r="F49" s="1124"/>
      <c r="G49" s="1124"/>
      <c r="H49" s="1124"/>
      <c r="I49" s="1124"/>
      <c r="J49" s="1124"/>
      <c r="K49" s="1124"/>
      <c r="L49" s="1124">
        <v>2596</v>
      </c>
      <c r="M49" s="1124"/>
      <c r="N49" s="1431"/>
    </row>
    <row r="50" spans="1:14" ht="21" customHeight="1" x14ac:dyDescent="0.25">
      <c r="A50" s="1430"/>
      <c r="B50" s="1131" t="s">
        <v>722</v>
      </c>
      <c r="C50" s="1124">
        <f>'4.mell.'!E26</f>
        <v>179884</v>
      </c>
      <c r="D50" s="1124"/>
      <c r="E50" s="1124"/>
      <c r="F50" s="1124"/>
      <c r="G50" s="1124"/>
      <c r="H50" s="1124"/>
      <c r="I50" s="1124"/>
      <c r="J50" s="1124"/>
      <c r="K50" s="1124"/>
      <c r="L50" s="1124"/>
      <c r="M50" s="1124"/>
      <c r="N50" s="1431"/>
    </row>
    <row r="51" spans="1:14" ht="21" customHeight="1" x14ac:dyDescent="0.25">
      <c r="A51" s="1430"/>
      <c r="B51" s="1131" t="s">
        <v>1321</v>
      </c>
      <c r="C51" s="1124">
        <f>'4.mell.'!E53</f>
        <v>110166</v>
      </c>
      <c r="D51" s="1124"/>
      <c r="E51" s="1124"/>
      <c r="F51" s="1124"/>
      <c r="G51" s="1124"/>
      <c r="H51" s="1124"/>
      <c r="I51" s="1124"/>
      <c r="J51" s="1124"/>
      <c r="K51" s="1124"/>
      <c r="L51" s="1124"/>
      <c r="M51" s="1124"/>
      <c r="N51" s="1431"/>
    </row>
    <row r="52" spans="1:14" ht="21" customHeight="1" x14ac:dyDescent="0.25">
      <c r="A52" s="1430"/>
      <c r="B52" s="1131" t="s">
        <v>1315</v>
      </c>
      <c r="C52" s="1124">
        <f>SUM('5.mell. '!E41)</f>
        <v>69767</v>
      </c>
      <c r="D52" s="1124"/>
      <c r="E52" s="1124"/>
      <c r="F52" s="1124"/>
      <c r="G52" s="1124"/>
      <c r="H52" s="1124"/>
      <c r="I52" s="1124"/>
      <c r="J52" s="1124"/>
      <c r="K52" s="1124"/>
      <c r="L52" s="1124"/>
      <c r="M52" s="1124"/>
      <c r="N52" s="1431"/>
    </row>
    <row r="53" spans="1:14" ht="21" customHeight="1" x14ac:dyDescent="0.25">
      <c r="A53" s="1430"/>
      <c r="B53" s="1131" t="s">
        <v>1316</v>
      </c>
      <c r="C53" s="1124">
        <f>SUM('5.mell. '!E42)</f>
        <v>62704</v>
      </c>
      <c r="D53" s="1124"/>
      <c r="E53" s="1124"/>
      <c r="F53" s="1124"/>
      <c r="G53" s="1124"/>
      <c r="H53" s="1124"/>
      <c r="I53" s="1124"/>
      <c r="J53" s="1124"/>
      <c r="K53" s="1124"/>
      <c r="L53" s="1124"/>
      <c r="M53" s="1124"/>
      <c r="N53" s="1431"/>
    </row>
    <row r="54" spans="1:14" ht="21" customHeight="1" x14ac:dyDescent="0.25">
      <c r="A54" s="1430"/>
      <c r="B54" s="1131" t="s">
        <v>1317</v>
      </c>
      <c r="C54" s="1124">
        <f>SUM('5.mell. '!E43)</f>
        <v>52136</v>
      </c>
      <c r="D54" s="1124"/>
      <c r="E54" s="1124"/>
      <c r="F54" s="1124"/>
      <c r="G54" s="1124"/>
      <c r="H54" s="1124"/>
      <c r="I54" s="1124"/>
      <c r="J54" s="1124"/>
      <c r="K54" s="1124"/>
      <c r="L54" s="1124"/>
      <c r="M54" s="1124"/>
      <c r="N54" s="1431"/>
    </row>
    <row r="55" spans="1:14" ht="21" customHeight="1" x14ac:dyDescent="0.25">
      <c r="A55" s="1430"/>
      <c r="B55" s="1131" t="s">
        <v>1318</v>
      </c>
      <c r="C55" s="1124">
        <f>SUM('5.mell. '!E44)</f>
        <v>28551</v>
      </c>
      <c r="D55" s="1124"/>
      <c r="E55" s="1124"/>
      <c r="F55" s="1124"/>
      <c r="G55" s="1124"/>
      <c r="H55" s="1124"/>
      <c r="I55" s="1124"/>
      <c r="J55" s="1124"/>
      <c r="K55" s="1124"/>
      <c r="L55" s="1124"/>
      <c r="M55" s="1124"/>
      <c r="N55" s="1431"/>
    </row>
    <row r="56" spans="1:14" ht="21" customHeight="1" x14ac:dyDescent="0.25">
      <c r="A56" s="1430" t="s">
        <v>197</v>
      </c>
      <c r="B56" s="1123" t="s">
        <v>723</v>
      </c>
      <c r="C56" s="1121">
        <v>0</v>
      </c>
      <c r="D56" s="1121"/>
      <c r="E56" s="1124"/>
      <c r="F56" s="1124"/>
      <c r="G56" s="1124"/>
      <c r="H56" s="1124"/>
      <c r="I56" s="1124"/>
      <c r="J56" s="1124"/>
      <c r="K56" s="1124"/>
      <c r="L56" s="1124"/>
      <c r="M56" s="1124"/>
      <c r="N56" s="1431"/>
    </row>
    <row r="57" spans="1:14" ht="21" customHeight="1" x14ac:dyDescent="0.25">
      <c r="A57" s="1430" t="s">
        <v>597</v>
      </c>
      <c r="B57" s="1123" t="s">
        <v>724</v>
      </c>
      <c r="C57" s="1121">
        <v>0</v>
      </c>
      <c r="D57" s="1121"/>
      <c r="E57" s="1124"/>
      <c r="F57" s="1124"/>
      <c r="G57" s="1124"/>
      <c r="H57" s="1124"/>
      <c r="I57" s="1124"/>
      <c r="J57" s="1124"/>
      <c r="K57" s="1124"/>
      <c r="L57" s="1124"/>
      <c r="M57" s="1124"/>
      <c r="N57" s="1431"/>
    </row>
    <row r="58" spans="1:14" ht="21" customHeight="1" x14ac:dyDescent="0.25">
      <c r="A58" s="1430" t="s">
        <v>599</v>
      </c>
      <c r="B58" s="1123" t="s">
        <v>725</v>
      </c>
      <c r="C58" s="1121">
        <v>0</v>
      </c>
      <c r="D58" s="1121"/>
      <c r="E58" s="1124"/>
      <c r="F58" s="1124"/>
      <c r="G58" s="1124"/>
      <c r="H58" s="1124"/>
      <c r="I58" s="1124"/>
      <c r="J58" s="1124"/>
      <c r="K58" s="1124"/>
      <c r="L58" s="1124"/>
      <c r="M58" s="1124"/>
      <c r="N58" s="1431"/>
    </row>
    <row r="59" spans="1:14" ht="21" customHeight="1" x14ac:dyDescent="0.25">
      <c r="A59" s="1430" t="s">
        <v>601</v>
      </c>
      <c r="B59" s="1123" t="s">
        <v>726</v>
      </c>
      <c r="C59" s="1121">
        <f>SUM(C60:C61)</f>
        <v>21960</v>
      </c>
      <c r="D59" s="1121">
        <f>SUM(E59:N59)</f>
        <v>21960</v>
      </c>
      <c r="E59" s="1121"/>
      <c r="F59" s="1121">
        <v>21000</v>
      </c>
      <c r="G59" s="1121"/>
      <c r="H59" s="1124"/>
      <c r="I59" s="1124"/>
      <c r="J59" s="1124"/>
      <c r="K59" s="1124"/>
      <c r="L59" s="1121">
        <f>SUM(L60:L61)</f>
        <v>960</v>
      </c>
      <c r="M59" s="1124"/>
      <c r="N59" s="1431"/>
    </row>
    <row r="60" spans="1:14" ht="21" customHeight="1" x14ac:dyDescent="0.25">
      <c r="A60" s="1430"/>
      <c r="B60" s="1131" t="s">
        <v>727</v>
      </c>
      <c r="C60" s="1124">
        <f>'3 mell. 2. pont'!E505</f>
        <v>18960</v>
      </c>
      <c r="D60" s="1124"/>
      <c r="E60" s="1124"/>
      <c r="F60" s="1124"/>
      <c r="G60" s="1124"/>
      <c r="H60" s="1124"/>
      <c r="I60" s="1124"/>
      <c r="J60" s="1124"/>
      <c r="K60" s="1124"/>
      <c r="L60" s="1124">
        <v>960</v>
      </c>
      <c r="M60" s="1124"/>
      <c r="N60" s="1431"/>
    </row>
    <row r="61" spans="1:14" ht="21" customHeight="1" x14ac:dyDescent="0.25">
      <c r="A61" s="1430"/>
      <c r="B61" s="1131" t="s">
        <v>728</v>
      </c>
      <c r="C61" s="1124">
        <f>'3 mell. 2. pont'!E715</f>
        <v>3000</v>
      </c>
      <c r="D61" s="1124"/>
      <c r="E61" s="1124"/>
      <c r="F61" s="1124"/>
      <c r="G61" s="1124"/>
      <c r="H61" s="1124"/>
      <c r="I61" s="1124"/>
      <c r="J61" s="1124"/>
      <c r="K61" s="1124"/>
      <c r="L61" s="1124"/>
      <c r="M61" s="1124"/>
      <c r="N61" s="1431"/>
    </row>
    <row r="62" spans="1:14" ht="21" customHeight="1" x14ac:dyDescent="0.25">
      <c r="A62" s="1430" t="s">
        <v>603</v>
      </c>
      <c r="B62" s="1123" t="s">
        <v>729</v>
      </c>
      <c r="C62" s="1121">
        <f>SUM(C63:C71)</f>
        <v>2812160</v>
      </c>
      <c r="D62" s="1121">
        <f>SUM(E62:N62)</f>
        <v>2812160</v>
      </c>
      <c r="E62" s="1121">
        <v>1864061</v>
      </c>
      <c r="F62" s="1121">
        <v>870614</v>
      </c>
      <c r="G62" s="1121"/>
      <c r="H62" s="1121">
        <f>SUM(H63:H71)</f>
        <v>47360</v>
      </c>
      <c r="I62" s="1121"/>
      <c r="J62" s="1121"/>
      <c r="K62" s="1124"/>
      <c r="L62" s="1121">
        <f>SUM(L63:L71)</f>
        <v>30125</v>
      </c>
      <c r="M62" s="1124"/>
      <c r="N62" s="1431"/>
    </row>
    <row r="63" spans="1:14" ht="21" customHeight="1" x14ac:dyDescent="0.25">
      <c r="A63" s="1430"/>
      <c r="B63" s="1131" t="s">
        <v>730</v>
      </c>
      <c r="C63" s="1124">
        <f>SUM('2.mell'!E43)</f>
        <v>355703</v>
      </c>
      <c r="D63" s="1124"/>
      <c r="E63" s="1121"/>
      <c r="F63" s="1124"/>
      <c r="G63" s="1124"/>
      <c r="H63" s="1124">
        <v>5120</v>
      </c>
      <c r="I63" s="1124"/>
      <c r="J63" s="1124"/>
      <c r="K63" s="1124"/>
      <c r="L63" s="1124">
        <v>3402</v>
      </c>
      <c r="M63" s="1124"/>
      <c r="N63" s="1431"/>
    </row>
    <row r="64" spans="1:14" ht="21" customHeight="1" x14ac:dyDescent="0.25">
      <c r="A64" s="1430"/>
      <c r="B64" s="1131" t="s">
        <v>731</v>
      </c>
      <c r="C64" s="1124">
        <f>SUM('2.mell'!E78)</f>
        <v>355190</v>
      </c>
      <c r="D64" s="1124"/>
      <c r="E64" s="1121"/>
      <c r="F64" s="1124"/>
      <c r="G64" s="1124"/>
      <c r="H64" s="1124">
        <v>7680</v>
      </c>
      <c r="I64" s="1124"/>
      <c r="J64" s="1124"/>
      <c r="K64" s="1124"/>
      <c r="L64" s="1124">
        <v>3181</v>
      </c>
      <c r="M64" s="1124"/>
      <c r="N64" s="1431"/>
    </row>
    <row r="65" spans="1:14" ht="21" customHeight="1" x14ac:dyDescent="0.25">
      <c r="A65" s="1430"/>
      <c r="B65" s="1131" t="s">
        <v>732</v>
      </c>
      <c r="C65" s="1124">
        <f>SUM('2.mell'!E113)</f>
        <v>182616</v>
      </c>
      <c r="D65" s="1124"/>
      <c r="E65" s="1121"/>
      <c r="F65" s="1124"/>
      <c r="G65" s="1124"/>
      <c r="H65" s="1124">
        <v>2560</v>
      </c>
      <c r="I65" s="1124"/>
      <c r="J65" s="1124"/>
      <c r="K65" s="1124"/>
      <c r="L65" s="1124">
        <v>2542</v>
      </c>
      <c r="M65" s="1124"/>
      <c r="N65" s="1431"/>
    </row>
    <row r="66" spans="1:14" ht="21" customHeight="1" x14ac:dyDescent="0.25">
      <c r="A66" s="1430"/>
      <c r="B66" s="1131" t="s">
        <v>733</v>
      </c>
      <c r="C66" s="1124">
        <f>SUM('2.mell'!E183)</f>
        <v>381687</v>
      </c>
      <c r="D66" s="1124"/>
      <c r="E66" s="1124"/>
      <c r="F66" s="1124"/>
      <c r="G66" s="1124"/>
      <c r="H66" s="1124">
        <v>6400</v>
      </c>
      <c r="I66" s="1124"/>
      <c r="J66" s="1124"/>
      <c r="K66" s="1124"/>
      <c r="L66" s="1124">
        <v>3493</v>
      </c>
      <c r="M66" s="1124"/>
      <c r="N66" s="1431"/>
    </row>
    <row r="67" spans="1:14" ht="21" customHeight="1" x14ac:dyDescent="0.25">
      <c r="A67" s="1430"/>
      <c r="B67" s="1131" t="s">
        <v>734</v>
      </c>
      <c r="C67" s="1124">
        <f>SUM('2.mell'!E148)</f>
        <v>679481</v>
      </c>
      <c r="D67" s="1124"/>
      <c r="E67" s="1124"/>
      <c r="F67" s="1125"/>
      <c r="G67" s="1124"/>
      <c r="H67" s="1124">
        <v>10240</v>
      </c>
      <c r="I67" s="1124"/>
      <c r="J67" s="1124"/>
      <c r="K67" s="1124"/>
      <c r="L67" s="1124">
        <v>7248</v>
      </c>
      <c r="M67" s="1124"/>
      <c r="N67" s="1431"/>
    </row>
    <row r="68" spans="1:14" ht="21" customHeight="1" x14ac:dyDescent="0.25">
      <c r="A68" s="1430"/>
      <c r="B68" s="1131" t="s">
        <v>735</v>
      </c>
      <c r="C68" s="1124">
        <f>SUM('2.mell'!E218)</f>
        <v>281589</v>
      </c>
      <c r="D68" s="1124"/>
      <c r="E68" s="1124"/>
      <c r="F68" s="1125"/>
      <c r="G68" s="1124"/>
      <c r="H68" s="1124">
        <v>5120</v>
      </c>
      <c r="I68" s="1124"/>
      <c r="J68" s="1124"/>
      <c r="K68" s="1124"/>
      <c r="L68" s="1124">
        <v>2634</v>
      </c>
      <c r="M68" s="1124"/>
      <c r="N68" s="1431"/>
    </row>
    <row r="69" spans="1:14" ht="21" customHeight="1" x14ac:dyDescent="0.25">
      <c r="A69" s="1430"/>
      <c r="B69" s="1131" t="s">
        <v>736</v>
      </c>
      <c r="C69" s="1124">
        <f>SUM('2.mell'!E253)</f>
        <v>186609</v>
      </c>
      <c r="D69" s="1124"/>
      <c r="E69" s="1124"/>
      <c r="F69" s="1125"/>
      <c r="G69" s="1124"/>
      <c r="H69" s="1124">
        <v>6400</v>
      </c>
      <c r="I69" s="1124"/>
      <c r="J69" s="1124"/>
      <c r="K69" s="1124"/>
      <c r="L69" s="1124">
        <v>2413</v>
      </c>
      <c r="M69" s="1124"/>
      <c r="N69" s="1431"/>
    </row>
    <row r="70" spans="1:14" ht="21" customHeight="1" x14ac:dyDescent="0.25">
      <c r="A70" s="1430"/>
      <c r="B70" s="1131" t="s">
        <v>737</v>
      </c>
      <c r="C70" s="1124">
        <f>SUM('2.mell'!E288)</f>
        <v>197067</v>
      </c>
      <c r="D70" s="1124"/>
      <c r="E70" s="1124"/>
      <c r="F70" s="1125"/>
      <c r="G70" s="1124"/>
      <c r="H70" s="1124">
        <v>2560</v>
      </c>
      <c r="I70" s="1124"/>
      <c r="J70" s="1124"/>
      <c r="K70" s="1124"/>
      <c r="L70" s="1124">
        <v>2654</v>
      </c>
      <c r="M70" s="1124"/>
      <c r="N70" s="1431"/>
    </row>
    <row r="71" spans="1:14" ht="21" customHeight="1" x14ac:dyDescent="0.25">
      <c r="A71" s="1430"/>
      <c r="B71" s="1131" t="s">
        <v>738</v>
      </c>
      <c r="C71" s="1124">
        <f>SUM('2.mell'!E323)</f>
        <v>192218</v>
      </c>
      <c r="D71" s="1124"/>
      <c r="E71" s="1124"/>
      <c r="F71" s="1125"/>
      <c r="G71" s="1124"/>
      <c r="H71" s="1124">
        <v>1280</v>
      </c>
      <c r="I71" s="1124"/>
      <c r="J71" s="1124"/>
      <c r="K71" s="1124"/>
      <c r="L71" s="1124">
        <v>2558</v>
      </c>
      <c r="M71" s="1124"/>
      <c r="N71" s="1431"/>
    </row>
    <row r="72" spans="1:14" ht="21" customHeight="1" x14ac:dyDescent="0.25">
      <c r="A72" s="1430" t="s">
        <v>605</v>
      </c>
      <c r="B72" s="1123" t="s">
        <v>739</v>
      </c>
      <c r="C72" s="1121">
        <f>SUM(C73:C85)</f>
        <v>217444</v>
      </c>
      <c r="D72" s="1121">
        <f>SUM(E72:N72)</f>
        <v>217444</v>
      </c>
      <c r="E72" s="1121"/>
      <c r="F72" s="1121">
        <v>198169</v>
      </c>
      <c r="G72" s="1121"/>
      <c r="H72" s="1121">
        <v>8000</v>
      </c>
      <c r="I72" s="1124"/>
      <c r="J72" s="1124"/>
      <c r="K72" s="1121"/>
      <c r="L72" s="1121">
        <f>SUM(L73:L85)</f>
        <v>11275</v>
      </c>
      <c r="M72" s="1124"/>
      <c r="N72" s="1431"/>
    </row>
    <row r="73" spans="1:14" ht="21" customHeight="1" x14ac:dyDescent="0.25">
      <c r="A73" s="1433"/>
      <c r="B73" s="1131" t="s">
        <v>740</v>
      </c>
      <c r="C73" s="1124">
        <f>'3 mell. 2. pont'!E91</f>
        <v>32858</v>
      </c>
      <c r="D73" s="1124"/>
      <c r="E73" s="1124"/>
      <c r="F73" s="1124"/>
      <c r="G73" s="1124"/>
      <c r="H73" s="1124"/>
      <c r="I73" s="1124"/>
      <c r="J73" s="1124"/>
      <c r="K73" s="1124"/>
      <c r="L73" s="1124">
        <v>2858</v>
      </c>
      <c r="M73" s="1124"/>
      <c r="N73" s="1431"/>
    </row>
    <row r="74" spans="1:14" ht="21" customHeight="1" x14ac:dyDescent="0.25">
      <c r="A74" s="1433"/>
      <c r="B74" s="1131" t="s">
        <v>1009</v>
      </c>
      <c r="C74" s="1124">
        <f>SUM('3 mell. 2. pont'!E555)</f>
        <v>50000</v>
      </c>
      <c r="D74" s="1124"/>
      <c r="E74" s="1124"/>
      <c r="F74" s="1124"/>
      <c r="G74" s="1124"/>
      <c r="H74" s="1124"/>
      <c r="I74" s="1124"/>
      <c r="J74" s="1124"/>
      <c r="K74" s="1124"/>
      <c r="L74" s="1124"/>
      <c r="M74" s="1124"/>
      <c r="N74" s="1431"/>
    </row>
    <row r="75" spans="1:14" ht="21" customHeight="1" x14ac:dyDescent="0.25">
      <c r="A75" s="1433"/>
      <c r="B75" s="1131" t="s">
        <v>741</v>
      </c>
      <c r="C75" s="1124">
        <f>SUM('3 mell. 2. pont'!E565)</f>
        <v>15000</v>
      </c>
      <c r="D75" s="1124"/>
      <c r="E75" s="1124"/>
      <c r="F75" s="1124"/>
      <c r="G75" s="1124"/>
      <c r="H75" s="1124"/>
      <c r="I75" s="1124"/>
      <c r="J75" s="1124"/>
      <c r="K75" s="1124"/>
      <c r="L75" s="1124"/>
      <c r="M75" s="1124"/>
      <c r="N75" s="1431"/>
    </row>
    <row r="76" spans="1:14" ht="21" customHeight="1" x14ac:dyDescent="0.25">
      <c r="A76" s="1433"/>
      <c r="B76" s="1131" t="s">
        <v>1011</v>
      </c>
      <c r="C76" s="1124">
        <f>'3 mell. 2. pont'!E575</f>
        <v>35107</v>
      </c>
      <c r="D76" s="1124"/>
      <c r="E76" s="1124"/>
      <c r="F76" s="1124"/>
      <c r="G76" s="1124"/>
      <c r="H76" s="1124"/>
      <c r="I76" s="1124"/>
      <c r="J76" s="1124"/>
      <c r="K76" s="1124"/>
      <c r="L76" s="1124">
        <v>107</v>
      </c>
      <c r="M76" s="1124"/>
      <c r="N76" s="1431"/>
    </row>
    <row r="77" spans="1:14" ht="21" customHeight="1" x14ac:dyDescent="0.25">
      <c r="A77" s="1433"/>
      <c r="B77" s="1131" t="s">
        <v>1012</v>
      </c>
      <c r="C77" s="1124">
        <f>'3 mell. 2. pont'!E595</f>
        <v>3000</v>
      </c>
      <c r="D77" s="1124"/>
      <c r="E77" s="1124"/>
      <c r="F77" s="1124"/>
      <c r="G77" s="1124"/>
      <c r="H77" s="1124"/>
      <c r="I77" s="1124"/>
      <c r="J77" s="1124"/>
      <c r="K77" s="1124"/>
      <c r="L77" s="1124"/>
      <c r="M77" s="1124"/>
      <c r="N77" s="1431"/>
    </row>
    <row r="78" spans="1:14" ht="21" customHeight="1" x14ac:dyDescent="0.25">
      <c r="A78" s="1433"/>
      <c r="B78" s="1131" t="s">
        <v>1013</v>
      </c>
      <c r="C78" s="1124">
        <f>'3 mell. 2. pont'!E605</f>
        <v>35074</v>
      </c>
      <c r="D78" s="1124"/>
      <c r="E78" s="1124"/>
      <c r="F78" s="1124"/>
      <c r="G78" s="1124"/>
      <c r="H78" s="1124"/>
      <c r="I78" s="1124"/>
      <c r="J78" s="1124"/>
      <c r="K78" s="1124"/>
      <c r="L78" s="1124">
        <v>74</v>
      </c>
      <c r="M78" s="1124"/>
      <c r="N78" s="1431"/>
    </row>
    <row r="79" spans="1:14" ht="21" customHeight="1" x14ac:dyDescent="0.25">
      <c r="A79" s="1433"/>
      <c r="B79" s="1131" t="s">
        <v>742</v>
      </c>
      <c r="C79" s="1124">
        <f>'3 mell. 2. pont'!E645</f>
        <v>7656</v>
      </c>
      <c r="D79" s="1124"/>
      <c r="E79" s="1124"/>
      <c r="F79" s="1124"/>
      <c r="G79" s="1124"/>
      <c r="H79" s="1124"/>
      <c r="I79" s="1124"/>
      <c r="J79" s="1124"/>
      <c r="K79" s="1124"/>
      <c r="L79" s="1124">
        <v>2656</v>
      </c>
      <c r="M79" s="1124"/>
      <c r="N79" s="1431"/>
    </row>
    <row r="80" spans="1:14" ht="21" customHeight="1" x14ac:dyDescent="0.25">
      <c r="A80" s="1433"/>
      <c r="B80" s="1131" t="s">
        <v>743</v>
      </c>
      <c r="C80" s="1124">
        <f>'3 mell. 2. pont'!E655</f>
        <v>880</v>
      </c>
      <c r="D80" s="1124"/>
      <c r="E80" s="1124"/>
      <c r="F80" s="1124"/>
      <c r="G80" s="1124"/>
      <c r="H80" s="1124"/>
      <c r="I80" s="1124"/>
      <c r="J80" s="1124"/>
      <c r="K80" s="1124"/>
      <c r="L80" s="1124"/>
      <c r="M80" s="1124"/>
      <c r="N80" s="1431"/>
    </row>
    <row r="81" spans="1:14" ht="21" customHeight="1" x14ac:dyDescent="0.25">
      <c r="A81" s="1433"/>
      <c r="B81" s="1131" t="s">
        <v>744</v>
      </c>
      <c r="C81" s="1124">
        <f>'3 mell. 2. pont'!E685</f>
        <v>300</v>
      </c>
      <c r="D81" s="1124"/>
      <c r="E81" s="1124"/>
      <c r="F81" s="1124"/>
      <c r="G81" s="1124"/>
      <c r="H81" s="1124"/>
      <c r="I81" s="1124"/>
      <c r="J81" s="1124"/>
      <c r="K81" s="1124"/>
      <c r="L81" s="1124"/>
      <c r="M81" s="1124"/>
      <c r="N81" s="1431"/>
    </row>
    <row r="82" spans="1:14" ht="21" customHeight="1" x14ac:dyDescent="0.25">
      <c r="A82" s="1433"/>
      <c r="B82" s="1131" t="s">
        <v>745</v>
      </c>
      <c r="C82" s="1124">
        <f>'3 mell. 2. pont'!E695</f>
        <v>7820</v>
      </c>
      <c r="D82" s="1124"/>
      <c r="E82" s="1124"/>
      <c r="F82" s="1124"/>
      <c r="G82" s="1124"/>
      <c r="H82" s="1124"/>
      <c r="I82" s="1124"/>
      <c r="J82" s="1124"/>
      <c r="K82" s="1124"/>
      <c r="L82" s="1124">
        <v>3187</v>
      </c>
      <c r="M82" s="1124"/>
      <c r="N82" s="1431"/>
    </row>
    <row r="83" spans="1:14" ht="21" customHeight="1" x14ac:dyDescent="0.25">
      <c r="A83" s="1433"/>
      <c r="B83" s="1131" t="s">
        <v>746</v>
      </c>
      <c r="C83" s="1124">
        <f>'3 mell. 2. pont'!E705</f>
        <v>4756</v>
      </c>
      <c r="D83" s="1124"/>
      <c r="E83" s="1124"/>
      <c r="F83" s="1124"/>
      <c r="G83" s="1124"/>
      <c r="H83" s="1124"/>
      <c r="I83" s="1124"/>
      <c r="J83" s="1124"/>
      <c r="K83" s="1124"/>
      <c r="L83" s="1124">
        <v>2000</v>
      </c>
      <c r="M83" s="1124"/>
      <c r="N83" s="1431"/>
    </row>
    <row r="84" spans="1:14" ht="21" customHeight="1" x14ac:dyDescent="0.25">
      <c r="A84" s="1433"/>
      <c r="B84" s="1131" t="s">
        <v>747</v>
      </c>
      <c r="C84" s="1124">
        <f>'3 mell. 2. pont'!E725</f>
        <v>9600</v>
      </c>
      <c r="D84" s="1124"/>
      <c r="E84" s="1124"/>
      <c r="F84" s="1124"/>
      <c r="G84" s="1124"/>
      <c r="H84" s="1124"/>
      <c r="I84" s="1124"/>
      <c r="J84" s="1124"/>
      <c r="K84" s="1124"/>
      <c r="L84" s="1124"/>
      <c r="M84" s="1124"/>
      <c r="N84" s="1431"/>
    </row>
    <row r="85" spans="1:14" ht="21" customHeight="1" x14ac:dyDescent="0.25">
      <c r="A85" s="1433"/>
      <c r="B85" s="1131" t="s">
        <v>748</v>
      </c>
      <c r="C85" s="1124">
        <f>'3 mell. 2. pont'!E735</f>
        <v>15393</v>
      </c>
      <c r="D85" s="1124"/>
      <c r="E85" s="1124"/>
      <c r="F85" s="1124"/>
      <c r="G85" s="1124"/>
      <c r="H85" s="1124"/>
      <c r="I85" s="1124"/>
      <c r="J85" s="1124"/>
      <c r="K85" s="1124"/>
      <c r="L85" s="1124">
        <v>393</v>
      </c>
      <c r="M85" s="1124"/>
      <c r="N85" s="1431"/>
    </row>
    <row r="86" spans="1:14" ht="21" customHeight="1" x14ac:dyDescent="0.25">
      <c r="A86" s="1430" t="s">
        <v>749</v>
      </c>
      <c r="B86" s="1123" t="s">
        <v>750</v>
      </c>
      <c r="C86" s="1121">
        <f>SUM(C87)</f>
        <v>4107</v>
      </c>
      <c r="D86" s="1121">
        <f>SUM(E86:N86)</f>
        <v>4107</v>
      </c>
      <c r="E86" s="1124"/>
      <c r="F86" s="1121">
        <v>1540</v>
      </c>
      <c r="G86" s="1121"/>
      <c r="H86" s="1124"/>
      <c r="I86" s="1124"/>
      <c r="J86" s="1124"/>
      <c r="K86" s="1124"/>
      <c r="L86" s="1121">
        <f>SUM(L87)</f>
        <v>2567</v>
      </c>
      <c r="M86" s="1124"/>
      <c r="N86" s="1431"/>
    </row>
    <row r="87" spans="1:14" ht="21" customHeight="1" x14ac:dyDescent="0.25">
      <c r="A87" s="1430"/>
      <c r="B87" s="1131" t="s">
        <v>751</v>
      </c>
      <c r="C87" s="1124">
        <f>'3 mell. 2. pont'!E675</f>
        <v>4107</v>
      </c>
      <c r="D87" s="1124"/>
      <c r="E87" s="1124"/>
      <c r="F87" s="1124"/>
      <c r="G87" s="1124"/>
      <c r="H87" s="1124"/>
      <c r="I87" s="1124"/>
      <c r="J87" s="1124"/>
      <c r="K87" s="1124"/>
      <c r="L87" s="1124">
        <v>2567</v>
      </c>
      <c r="M87" s="1124"/>
      <c r="N87" s="1431"/>
    </row>
    <row r="88" spans="1:14" ht="21" customHeight="1" x14ac:dyDescent="0.25">
      <c r="A88" s="1430" t="s">
        <v>752</v>
      </c>
      <c r="B88" s="1123" t="s">
        <v>753</v>
      </c>
      <c r="C88" s="1121">
        <f>SUM(C89:C95)</f>
        <v>363426</v>
      </c>
      <c r="D88" s="1121">
        <f>SUM(E88:N88)</f>
        <v>363426</v>
      </c>
      <c r="E88" s="1121">
        <v>313826</v>
      </c>
      <c r="F88" s="1121">
        <v>49600</v>
      </c>
      <c r="G88" s="1121"/>
      <c r="H88" s="1124"/>
      <c r="I88" s="1124"/>
      <c r="J88" s="1124"/>
      <c r="K88" s="1124"/>
      <c r="L88" s="1121">
        <f>SUM(L89:L95)</f>
        <v>0</v>
      </c>
      <c r="M88" s="1124"/>
      <c r="N88" s="1431"/>
    </row>
    <row r="89" spans="1:14" ht="21" customHeight="1" x14ac:dyDescent="0.25">
      <c r="A89" s="1433"/>
      <c r="B89" s="1131" t="s">
        <v>754</v>
      </c>
      <c r="C89" s="1124">
        <f>'3 mell. 2. pont'!E878</f>
        <v>4000</v>
      </c>
      <c r="D89" s="1124"/>
      <c r="E89" s="1124"/>
      <c r="F89" s="1124"/>
      <c r="G89" s="1124"/>
      <c r="H89" s="1124"/>
      <c r="I89" s="1124"/>
      <c r="J89" s="1124"/>
      <c r="K89" s="1124"/>
      <c r="L89" s="1124"/>
      <c r="M89" s="1124"/>
      <c r="N89" s="1431"/>
    </row>
    <row r="90" spans="1:14" ht="21" customHeight="1" x14ac:dyDescent="0.25">
      <c r="A90" s="1433"/>
      <c r="B90" s="1131" t="s">
        <v>755</v>
      </c>
      <c r="C90" s="1124">
        <f>'3 mell. 2. pont'!E888</f>
        <v>2500</v>
      </c>
      <c r="D90" s="1124"/>
      <c r="E90" s="1124"/>
      <c r="F90" s="1124"/>
      <c r="G90" s="1124"/>
      <c r="H90" s="1124"/>
      <c r="I90" s="1124"/>
      <c r="J90" s="1124"/>
      <c r="K90" s="1124"/>
      <c r="L90" s="1124"/>
      <c r="M90" s="1124"/>
      <c r="N90" s="1431"/>
    </row>
    <row r="91" spans="1:14" ht="21" customHeight="1" x14ac:dyDescent="0.25">
      <c r="A91" s="1433"/>
      <c r="B91" s="1131" t="s">
        <v>756</v>
      </c>
      <c r="C91" s="1124">
        <f>'3 mell. 2. pont'!E898</f>
        <v>0</v>
      </c>
      <c r="D91" s="1124"/>
      <c r="E91" s="1124"/>
      <c r="F91" s="1124"/>
      <c r="G91" s="1124"/>
      <c r="H91" s="1124"/>
      <c r="I91" s="1124"/>
      <c r="J91" s="1124"/>
      <c r="K91" s="1124"/>
      <c r="L91" s="1124"/>
      <c r="M91" s="1124"/>
      <c r="N91" s="1431"/>
    </row>
    <row r="92" spans="1:14" ht="21" customHeight="1" x14ac:dyDescent="0.25">
      <c r="A92" s="1433"/>
      <c r="B92" s="1131" t="s">
        <v>757</v>
      </c>
      <c r="C92" s="1124">
        <f>'3 mell. 2. pont'!E908</f>
        <v>8000</v>
      </c>
      <c r="D92" s="1124"/>
      <c r="E92" s="1124"/>
      <c r="F92" s="1124"/>
      <c r="G92" s="1124"/>
      <c r="H92" s="1124"/>
      <c r="I92" s="1124"/>
      <c r="J92" s="1124"/>
      <c r="K92" s="1124"/>
      <c r="L92" s="1124"/>
      <c r="M92" s="1124"/>
      <c r="N92" s="1431"/>
    </row>
    <row r="93" spans="1:14" ht="19.2" customHeight="1" x14ac:dyDescent="0.25">
      <c r="A93" s="1433"/>
      <c r="B93" s="1131" t="s">
        <v>758</v>
      </c>
      <c r="C93" s="1124">
        <f>'3 mell 3. pont'!E39</f>
        <v>313826</v>
      </c>
      <c r="D93" s="1124"/>
      <c r="E93" s="1124"/>
      <c r="F93" s="1124"/>
      <c r="G93" s="1124"/>
      <c r="H93" s="1124"/>
      <c r="I93" s="1124"/>
      <c r="J93" s="1124"/>
      <c r="K93" s="1124"/>
      <c r="L93" s="1124"/>
      <c r="M93" s="1124"/>
      <c r="N93" s="1431"/>
    </row>
    <row r="94" spans="1:14" ht="19.2" customHeight="1" x14ac:dyDescent="0.25">
      <c r="A94" s="1433"/>
      <c r="B94" s="1131" t="s">
        <v>992</v>
      </c>
      <c r="C94" s="1124">
        <f>'3 mell 3. pont'!E48</f>
        <v>5100</v>
      </c>
      <c r="D94" s="1124"/>
      <c r="E94" s="1124"/>
      <c r="F94" s="1124"/>
      <c r="G94" s="1124"/>
      <c r="H94" s="1124"/>
      <c r="I94" s="1124"/>
      <c r="J94" s="1124"/>
      <c r="K94" s="1124"/>
      <c r="L94" s="1124"/>
      <c r="M94" s="1124"/>
      <c r="N94" s="1431"/>
    </row>
    <row r="95" spans="1:14" ht="19.2" customHeight="1" x14ac:dyDescent="0.25">
      <c r="A95" s="1433"/>
      <c r="B95" s="1131" t="s">
        <v>1322</v>
      </c>
      <c r="C95" s="1124">
        <f>SUM('4.mell.'!E45)</f>
        <v>30000</v>
      </c>
      <c r="D95" s="1124"/>
      <c r="E95" s="1124"/>
      <c r="F95" s="1124"/>
      <c r="G95" s="1124"/>
      <c r="H95" s="1124"/>
      <c r="I95" s="1124"/>
      <c r="J95" s="1124"/>
      <c r="K95" s="1124"/>
      <c r="L95" s="1124"/>
      <c r="M95" s="1124"/>
      <c r="N95" s="1431"/>
    </row>
    <row r="96" spans="1:14" ht="21" customHeight="1" x14ac:dyDescent="0.25">
      <c r="A96" s="1430" t="s">
        <v>759</v>
      </c>
      <c r="B96" s="1123" t="s">
        <v>760</v>
      </c>
      <c r="C96" s="1121">
        <f>SUM(C97:C125)</f>
        <v>11482644</v>
      </c>
      <c r="D96" s="1121">
        <f>SUM(E96:N96)</f>
        <v>11482644</v>
      </c>
      <c r="E96" s="1124"/>
      <c r="F96" s="1121">
        <v>403317</v>
      </c>
      <c r="G96" s="1121">
        <v>1078017</v>
      </c>
      <c r="H96" s="1121"/>
      <c r="I96" s="1121">
        <v>750000</v>
      </c>
      <c r="J96" s="1124"/>
      <c r="K96" s="1121"/>
      <c r="L96" s="1121">
        <f>SUM(L97:L125)</f>
        <v>410723</v>
      </c>
      <c r="M96" s="1121">
        <v>340587</v>
      </c>
      <c r="N96" s="1434">
        <v>8500000</v>
      </c>
    </row>
    <row r="97" spans="1:14" ht="21" customHeight="1" x14ac:dyDescent="0.25">
      <c r="A97" s="1433"/>
      <c r="B97" s="1131" t="s">
        <v>761</v>
      </c>
      <c r="C97" s="1124">
        <f>'3 mell. 2. pont'!E103</f>
        <v>1200000</v>
      </c>
      <c r="D97" s="1124"/>
      <c r="E97" s="1124"/>
      <c r="F97" s="1124"/>
      <c r="G97" s="1124"/>
      <c r="H97" s="1124"/>
      <c r="I97" s="1124"/>
      <c r="J97" s="1124"/>
      <c r="K97" s="1124"/>
      <c r="L97" s="1124">
        <v>334392</v>
      </c>
      <c r="M97" s="1124"/>
      <c r="N97" s="1431"/>
    </row>
    <row r="98" spans="1:14" ht="21" customHeight="1" x14ac:dyDescent="0.25">
      <c r="A98" s="1433"/>
      <c r="B98" s="1131" t="s">
        <v>762</v>
      </c>
      <c r="C98" s="1124">
        <f>'3 mell. 2. pont'!E123</f>
        <v>172443</v>
      </c>
      <c r="D98" s="1124"/>
      <c r="E98" s="1124"/>
      <c r="F98" s="1124"/>
      <c r="G98" s="1124"/>
      <c r="H98" s="1124"/>
      <c r="I98" s="1124"/>
      <c r="J98" s="1124"/>
      <c r="K98" s="1124"/>
      <c r="L98" s="1124">
        <v>16885</v>
      </c>
      <c r="M98" s="1124"/>
      <c r="N98" s="1431"/>
    </row>
    <row r="99" spans="1:14" ht="21" customHeight="1" x14ac:dyDescent="0.25">
      <c r="A99" s="1433"/>
      <c r="B99" s="1127" t="s">
        <v>763</v>
      </c>
      <c r="C99" s="1124">
        <f>'3 mell. 2. pont'!E133</f>
        <v>57693</v>
      </c>
      <c r="D99" s="1124"/>
      <c r="E99" s="1124"/>
      <c r="F99" s="1124"/>
      <c r="G99" s="1124"/>
      <c r="H99" s="1124"/>
      <c r="I99" s="1124"/>
      <c r="J99" s="1124"/>
      <c r="K99" s="1124"/>
      <c r="L99" s="1124">
        <v>7692</v>
      </c>
      <c r="M99" s="1124"/>
      <c r="N99" s="1431"/>
    </row>
    <row r="100" spans="1:14" ht="21" customHeight="1" x14ac:dyDescent="0.25">
      <c r="A100" s="1433"/>
      <c r="B100" s="1127" t="s">
        <v>764</v>
      </c>
      <c r="C100" s="1124">
        <f>'3 mell. 2. pont'!E154</f>
        <v>12407</v>
      </c>
      <c r="D100" s="1124"/>
      <c r="E100" s="1124"/>
      <c r="F100" s="1124"/>
      <c r="G100" s="1124"/>
      <c r="H100" s="1124"/>
      <c r="I100" s="1124"/>
      <c r="J100" s="1124"/>
      <c r="K100" s="1124"/>
      <c r="L100" s="1124">
        <v>1651</v>
      </c>
      <c r="M100" s="1124"/>
      <c r="N100" s="1431"/>
    </row>
    <row r="101" spans="1:14" ht="21" customHeight="1" x14ac:dyDescent="0.25">
      <c r="A101" s="1433"/>
      <c r="B101" s="1127" t="s">
        <v>765</v>
      </c>
      <c r="C101" s="1124">
        <f>'3 mell. 2. pont'!E164</f>
        <v>5500</v>
      </c>
      <c r="D101" s="1124"/>
      <c r="E101" s="1124"/>
      <c r="F101" s="1124"/>
      <c r="G101" s="1124"/>
      <c r="H101" s="1124"/>
      <c r="I101" s="1124"/>
      <c r="J101" s="1124"/>
      <c r="K101" s="1124"/>
      <c r="L101" s="1124"/>
      <c r="M101" s="1124"/>
      <c r="N101" s="1431"/>
    </row>
    <row r="102" spans="1:14" ht="21" customHeight="1" x14ac:dyDescent="0.25">
      <c r="A102" s="1433"/>
      <c r="B102" s="1127" t="s">
        <v>766</v>
      </c>
      <c r="C102" s="1124">
        <f>'3 mell. 2. pont'!E174</f>
        <v>16663</v>
      </c>
      <c r="D102" s="1124"/>
      <c r="E102" s="1124"/>
      <c r="F102" s="1124"/>
      <c r="G102" s="1124"/>
      <c r="H102" s="1124"/>
      <c r="I102" s="1124"/>
      <c r="J102" s="1124"/>
      <c r="K102" s="1124"/>
      <c r="L102" s="1124">
        <v>1663</v>
      </c>
      <c r="M102" s="1124"/>
      <c r="N102" s="1431"/>
    </row>
    <row r="103" spans="1:14" ht="21" customHeight="1" x14ac:dyDescent="0.25">
      <c r="A103" s="1433"/>
      <c r="B103" s="1127" t="s">
        <v>767</v>
      </c>
      <c r="C103" s="1124">
        <f>'3 mell. 2. pont'!E184</f>
        <v>5000</v>
      </c>
      <c r="D103" s="1124"/>
      <c r="E103" s="1124"/>
      <c r="F103" s="1124"/>
      <c r="G103" s="1124"/>
      <c r="H103" s="1124"/>
      <c r="I103" s="1124"/>
      <c r="J103" s="1124"/>
      <c r="K103" s="1124"/>
      <c r="L103" s="1124"/>
      <c r="M103" s="1124"/>
      <c r="N103" s="1431"/>
    </row>
    <row r="104" spans="1:14" ht="21" customHeight="1" x14ac:dyDescent="0.25">
      <c r="A104" s="1433"/>
      <c r="B104" s="1127" t="s">
        <v>768</v>
      </c>
      <c r="C104" s="1124">
        <f>'3 mell. 2. pont'!E194</f>
        <v>5000</v>
      </c>
      <c r="D104" s="1124"/>
      <c r="E104" s="1124"/>
      <c r="F104" s="1124"/>
      <c r="G104" s="1124"/>
      <c r="H104" s="1124"/>
      <c r="I104" s="1124"/>
      <c r="J104" s="1124"/>
      <c r="K104" s="1124"/>
      <c r="L104" s="1124"/>
      <c r="M104" s="1124"/>
      <c r="N104" s="1431"/>
    </row>
    <row r="105" spans="1:14" ht="21" customHeight="1" x14ac:dyDescent="0.25">
      <c r="A105" s="1433"/>
      <c r="B105" s="1127" t="s">
        <v>769</v>
      </c>
      <c r="C105" s="1124">
        <f>'3 mell. 2. pont'!E394</f>
        <v>710000</v>
      </c>
      <c r="D105" s="1124"/>
      <c r="E105" s="1124"/>
      <c r="F105" s="1124"/>
      <c r="G105" s="1124"/>
      <c r="H105" s="1124"/>
      <c r="I105" s="1124"/>
      <c r="J105" s="1124"/>
      <c r="K105" s="1124"/>
      <c r="L105" s="1124">
        <v>48440</v>
      </c>
      <c r="M105" s="1124"/>
      <c r="N105" s="1431"/>
    </row>
    <row r="106" spans="1:14" ht="21" customHeight="1" x14ac:dyDescent="0.25">
      <c r="A106" s="1433"/>
      <c r="B106" s="1127" t="s">
        <v>996</v>
      </c>
      <c r="C106" s="1124">
        <f>'4.mell.'!E25</f>
        <v>144000</v>
      </c>
      <c r="D106" s="1124"/>
      <c r="E106" s="1124"/>
      <c r="F106" s="1124"/>
      <c r="G106" s="1124"/>
      <c r="H106" s="1124"/>
      <c r="I106" s="1124"/>
      <c r="J106" s="1124"/>
      <c r="K106" s="1124"/>
      <c r="L106" s="1124"/>
      <c r="M106" s="1124"/>
      <c r="N106" s="1431"/>
    </row>
    <row r="107" spans="1:14" ht="21" customHeight="1" x14ac:dyDescent="0.25">
      <c r="A107" s="1433"/>
      <c r="B107" s="1131" t="s">
        <v>997</v>
      </c>
      <c r="C107" s="1124">
        <f>'4.mell.'!E30</f>
        <v>252175</v>
      </c>
      <c r="D107" s="1124"/>
      <c r="E107" s="1124"/>
      <c r="F107" s="1124"/>
      <c r="G107" s="1124"/>
      <c r="H107" s="1124"/>
      <c r="I107" s="1124"/>
      <c r="J107" s="1124"/>
      <c r="K107" s="1124"/>
      <c r="L107" s="1124"/>
      <c r="M107" s="1124"/>
      <c r="N107" s="1431"/>
    </row>
    <row r="108" spans="1:14" ht="21" customHeight="1" x14ac:dyDescent="0.25">
      <c r="A108" s="1433"/>
      <c r="B108" s="1131" t="s">
        <v>770</v>
      </c>
      <c r="C108" s="1124">
        <f>'4.mell.'!E48</f>
        <v>24278</v>
      </c>
      <c r="D108" s="1124"/>
      <c r="E108" s="1124"/>
      <c r="F108" s="1124"/>
      <c r="G108" s="1124"/>
      <c r="H108" s="1124"/>
      <c r="I108" s="1124"/>
      <c r="J108" s="1124"/>
      <c r="K108" s="1124"/>
      <c r="L108" s="1124"/>
      <c r="M108" s="1124"/>
      <c r="N108" s="1431"/>
    </row>
    <row r="109" spans="1:14" ht="21" customHeight="1" x14ac:dyDescent="0.25">
      <c r="A109" s="1433"/>
      <c r="B109" s="1131" t="s">
        <v>1005</v>
      </c>
      <c r="C109" s="1124">
        <f>'4.mell.'!E52</f>
        <v>241156</v>
      </c>
      <c r="D109" s="1124"/>
      <c r="E109" s="1124"/>
      <c r="F109" s="1124"/>
      <c r="G109" s="1124"/>
      <c r="H109" s="1124"/>
      <c r="I109" s="1124"/>
      <c r="J109" s="1124"/>
      <c r="K109" s="1124"/>
      <c r="L109" s="1124"/>
      <c r="M109" s="1124"/>
      <c r="N109" s="1431"/>
    </row>
    <row r="110" spans="1:14" ht="21" customHeight="1" x14ac:dyDescent="0.25">
      <c r="A110" s="1433"/>
      <c r="B110" s="1131" t="s">
        <v>998</v>
      </c>
      <c r="C110" s="1124">
        <f>'4.mell.'!E33</f>
        <v>25000</v>
      </c>
      <c r="D110" s="1124"/>
      <c r="E110" s="1124"/>
      <c r="F110" s="1124"/>
      <c r="G110" s="1124"/>
      <c r="H110" s="1124"/>
      <c r="I110" s="1124"/>
      <c r="J110" s="1124"/>
      <c r="K110" s="1124"/>
      <c r="L110" s="1124"/>
      <c r="M110" s="1124"/>
      <c r="N110" s="1431"/>
    </row>
    <row r="111" spans="1:14" ht="21" customHeight="1" x14ac:dyDescent="0.25">
      <c r="A111" s="1433"/>
      <c r="B111" s="1131" t="s">
        <v>771</v>
      </c>
      <c r="C111" s="1124">
        <f>'4.mell.'!E34</f>
        <v>462527</v>
      </c>
      <c r="D111" s="1124"/>
      <c r="E111" s="1124"/>
      <c r="F111" s="1124"/>
      <c r="G111" s="1124"/>
      <c r="H111" s="1124"/>
      <c r="I111" s="1124"/>
      <c r="J111" s="1124"/>
      <c r="K111" s="1124"/>
      <c r="L111" s="1124"/>
      <c r="M111" s="1124"/>
      <c r="N111" s="1431"/>
    </row>
    <row r="112" spans="1:14" ht="21" customHeight="1" x14ac:dyDescent="0.25">
      <c r="A112" s="1433"/>
      <c r="B112" s="1131" t="s">
        <v>772</v>
      </c>
      <c r="C112" s="1124">
        <f>'4.mell.'!E35</f>
        <v>30451</v>
      </c>
      <c r="D112" s="1124"/>
      <c r="E112" s="1124"/>
      <c r="F112" s="1124"/>
      <c r="G112" s="1124"/>
      <c r="H112" s="1124"/>
      <c r="I112" s="1124"/>
      <c r="J112" s="1124"/>
      <c r="K112" s="1124"/>
      <c r="L112" s="1124"/>
      <c r="M112" s="1124"/>
      <c r="N112" s="1431"/>
    </row>
    <row r="113" spans="1:14" ht="21" customHeight="1" x14ac:dyDescent="0.25">
      <c r="A113" s="1433"/>
      <c r="B113" s="1131" t="s">
        <v>993</v>
      </c>
      <c r="C113" s="1124">
        <f>'4.mell.'!E36</f>
        <v>188000</v>
      </c>
      <c r="D113" s="1124"/>
      <c r="E113" s="1124"/>
      <c r="F113" s="1124"/>
      <c r="G113" s="1124"/>
      <c r="H113" s="1124"/>
      <c r="I113" s="1124"/>
      <c r="J113" s="1124"/>
      <c r="K113" s="1124"/>
      <c r="L113" s="1124"/>
      <c r="M113" s="1124"/>
      <c r="N113" s="1431"/>
    </row>
    <row r="114" spans="1:14" ht="21" customHeight="1" x14ac:dyDescent="0.25">
      <c r="A114" s="1433"/>
      <c r="B114" s="1131" t="s">
        <v>994</v>
      </c>
      <c r="C114" s="1124">
        <f>'4.mell.'!E37</f>
        <v>2071</v>
      </c>
      <c r="D114" s="1124"/>
      <c r="E114" s="1124"/>
      <c r="F114" s="1124"/>
      <c r="G114" s="1124"/>
      <c r="H114" s="1124"/>
      <c r="I114" s="1124"/>
      <c r="J114" s="1124"/>
      <c r="K114" s="1124"/>
      <c r="L114" s="1124"/>
      <c r="M114" s="1124"/>
      <c r="N114" s="1431"/>
    </row>
    <row r="115" spans="1:14" ht="21" customHeight="1" x14ac:dyDescent="0.25">
      <c r="A115" s="1433"/>
      <c r="B115" s="1131" t="s">
        <v>995</v>
      </c>
      <c r="C115" s="1124">
        <f>'4.mell.'!E38</f>
        <v>492222</v>
      </c>
      <c r="D115" s="1124"/>
      <c r="E115" s="1124"/>
      <c r="F115" s="1124"/>
      <c r="G115" s="1124"/>
      <c r="H115" s="1124"/>
      <c r="I115" s="1124"/>
      <c r="J115" s="1124"/>
      <c r="K115" s="1124"/>
      <c r="L115" s="1124"/>
      <c r="M115" s="1124"/>
      <c r="N115" s="1431"/>
    </row>
    <row r="116" spans="1:14" ht="21" customHeight="1" x14ac:dyDescent="0.25">
      <c r="A116" s="1433"/>
      <c r="B116" s="1131" t="s">
        <v>999</v>
      </c>
      <c r="C116" s="1124">
        <f>'4.mell.'!E39</f>
        <v>2050655</v>
      </c>
      <c r="D116" s="1124"/>
      <c r="E116" s="1124"/>
      <c r="F116" s="1124"/>
      <c r="G116" s="1124"/>
      <c r="H116" s="1124"/>
      <c r="I116" s="1124"/>
      <c r="J116" s="1124"/>
      <c r="K116" s="1124"/>
      <c r="L116" s="1124"/>
      <c r="M116" s="1124"/>
      <c r="N116" s="1431"/>
    </row>
    <row r="117" spans="1:14" ht="21" customHeight="1" x14ac:dyDescent="0.25">
      <c r="A117" s="1433"/>
      <c r="B117" s="1131" t="s">
        <v>1000</v>
      </c>
      <c r="C117" s="1124">
        <f>'4.mell.'!E41</f>
        <v>67056</v>
      </c>
      <c r="D117" s="1124"/>
      <c r="E117" s="1124"/>
      <c r="F117" s="1124"/>
      <c r="G117" s="1124"/>
      <c r="H117" s="1124"/>
      <c r="I117" s="1124"/>
      <c r="J117" s="1124"/>
      <c r="K117" s="1124"/>
      <c r="L117" s="1124"/>
      <c r="M117" s="1124"/>
      <c r="N117" s="1431"/>
    </row>
    <row r="118" spans="1:14" ht="21" customHeight="1" x14ac:dyDescent="0.25">
      <c r="A118" s="1433"/>
      <c r="B118" s="1131" t="s">
        <v>1001</v>
      </c>
      <c r="C118" s="1124">
        <f>'4.mell.'!E42</f>
        <v>80000</v>
      </c>
      <c r="D118" s="1124"/>
      <c r="E118" s="1124"/>
      <c r="F118" s="1124"/>
      <c r="G118" s="1124"/>
      <c r="H118" s="1124"/>
      <c r="I118" s="1124"/>
      <c r="J118" s="1124"/>
      <c r="K118" s="1124"/>
      <c r="L118" s="1124"/>
      <c r="M118" s="1124"/>
      <c r="N118" s="1431"/>
    </row>
    <row r="119" spans="1:14" ht="21" customHeight="1" x14ac:dyDescent="0.25">
      <c r="A119" s="1433"/>
      <c r="B119" s="1131" t="s">
        <v>1002</v>
      </c>
      <c r="C119" s="1124">
        <f>'4.mell.'!E43</f>
        <v>2165386</v>
      </c>
      <c r="D119" s="1124"/>
      <c r="E119" s="1124"/>
      <c r="F119" s="1124"/>
      <c r="G119" s="1124"/>
      <c r="H119" s="1124"/>
      <c r="I119" s="1124"/>
      <c r="J119" s="1124"/>
      <c r="K119" s="1124"/>
      <c r="L119" s="1124"/>
      <c r="M119" s="1124"/>
      <c r="N119" s="1431"/>
    </row>
    <row r="120" spans="1:14" ht="21" customHeight="1" x14ac:dyDescent="0.25">
      <c r="A120" s="1433"/>
      <c r="B120" s="1131" t="s">
        <v>1003</v>
      </c>
      <c r="C120" s="1124">
        <f>'4.mell.'!E44</f>
        <v>1302988</v>
      </c>
      <c r="D120" s="1124"/>
      <c r="E120" s="1124"/>
      <c r="F120" s="1124"/>
      <c r="G120" s="1124"/>
      <c r="H120" s="1124"/>
      <c r="I120" s="1124"/>
      <c r="J120" s="1124"/>
      <c r="K120" s="1124"/>
      <c r="L120" s="1124"/>
      <c r="M120" s="1124"/>
      <c r="N120" s="1431"/>
    </row>
    <row r="121" spans="1:14" ht="21" customHeight="1" x14ac:dyDescent="0.25">
      <c r="A121" s="1433"/>
      <c r="B121" s="1131" t="s">
        <v>1004</v>
      </c>
      <c r="C121" s="1124">
        <f>'4.mell.'!E46</f>
        <v>120000</v>
      </c>
      <c r="D121" s="1124"/>
      <c r="E121" s="1124"/>
      <c r="F121" s="1124"/>
      <c r="G121" s="1124"/>
      <c r="H121" s="1124"/>
      <c r="I121" s="1124"/>
      <c r="J121" s="1124"/>
      <c r="K121" s="1124"/>
      <c r="L121" s="1124"/>
      <c r="M121" s="1124"/>
      <c r="N121" s="1431"/>
    </row>
    <row r="122" spans="1:14" ht="21" customHeight="1" x14ac:dyDescent="0.25">
      <c r="A122" s="1433"/>
      <c r="B122" s="1131" t="s">
        <v>1006</v>
      </c>
      <c r="C122" s="1124">
        <f>'4.mell.'!E66</f>
        <v>1690</v>
      </c>
      <c r="D122" s="1124"/>
      <c r="E122" s="1124"/>
      <c r="F122" s="1124"/>
      <c r="G122" s="1124"/>
      <c r="H122" s="1124"/>
      <c r="I122" s="1124"/>
      <c r="J122" s="1124"/>
      <c r="K122" s="1124"/>
      <c r="L122" s="1124"/>
      <c r="M122" s="1124"/>
      <c r="N122" s="1431"/>
    </row>
    <row r="123" spans="1:14" ht="21" customHeight="1" x14ac:dyDescent="0.25">
      <c r="A123" s="1433"/>
      <c r="B123" s="1131" t="s">
        <v>1482</v>
      </c>
      <c r="C123" s="1124">
        <f>'4.mell.'!E67</f>
        <v>30000</v>
      </c>
      <c r="D123" s="1124"/>
      <c r="E123" s="1124"/>
      <c r="F123" s="1124"/>
      <c r="G123" s="1124"/>
      <c r="H123" s="1124"/>
      <c r="I123" s="1124"/>
      <c r="J123" s="1124"/>
      <c r="K123" s="1124"/>
      <c r="L123" s="1124"/>
      <c r="M123" s="1124"/>
      <c r="N123" s="1431"/>
    </row>
    <row r="124" spans="1:14" ht="21" customHeight="1" x14ac:dyDescent="0.25">
      <c r="A124" s="1433"/>
      <c r="B124" s="1131" t="s">
        <v>1320</v>
      </c>
      <c r="C124" s="1124">
        <f>SUM('5.mell. '!E32)</f>
        <v>150000</v>
      </c>
      <c r="D124" s="1124"/>
      <c r="E124" s="1124"/>
      <c r="F124" s="1124"/>
      <c r="G124" s="1124"/>
      <c r="H124" s="1124"/>
      <c r="I124" s="1124"/>
      <c r="J124" s="1124"/>
      <c r="K124" s="1124"/>
      <c r="L124" s="1124"/>
      <c r="M124" s="1124"/>
      <c r="N124" s="1431"/>
    </row>
    <row r="125" spans="1:14" ht="21" customHeight="1" x14ac:dyDescent="0.25">
      <c r="A125" s="1433"/>
      <c r="B125" s="1131" t="s">
        <v>1029</v>
      </c>
      <c r="C125" s="1124">
        <f>'5.mell. '!E46</f>
        <v>1468283</v>
      </c>
      <c r="D125" s="1124"/>
      <c r="E125" s="1124"/>
      <c r="F125" s="1124"/>
      <c r="G125" s="1124"/>
      <c r="H125" s="1124"/>
      <c r="I125" s="1124"/>
      <c r="J125" s="1124"/>
      <c r="K125" s="1124"/>
      <c r="L125" s="1124"/>
      <c r="M125" s="1124"/>
      <c r="N125" s="1431"/>
    </row>
    <row r="126" spans="1:14" ht="21" customHeight="1" x14ac:dyDescent="0.25">
      <c r="A126" s="1430" t="s">
        <v>607</v>
      </c>
      <c r="B126" s="1123" t="s">
        <v>773</v>
      </c>
      <c r="C126" s="1121">
        <v>0</v>
      </c>
      <c r="D126" s="1121"/>
      <c r="E126" s="1124"/>
      <c r="F126" s="1124"/>
      <c r="G126" s="1124"/>
      <c r="H126" s="1124"/>
      <c r="I126" s="1124"/>
      <c r="J126" s="1124"/>
      <c r="K126" s="1124"/>
      <c r="L126" s="1124"/>
      <c r="M126" s="1124"/>
      <c r="N126" s="1431"/>
    </row>
    <row r="127" spans="1:14" ht="21" customHeight="1" x14ac:dyDescent="0.25">
      <c r="A127" s="1430" t="s">
        <v>609</v>
      </c>
      <c r="B127" s="1123" t="s">
        <v>774</v>
      </c>
      <c r="C127" s="1121">
        <v>0</v>
      </c>
      <c r="D127" s="1121"/>
      <c r="E127" s="1124"/>
      <c r="F127" s="1124"/>
      <c r="G127" s="1124"/>
      <c r="H127" s="1124"/>
      <c r="I127" s="1124"/>
      <c r="J127" s="1124"/>
      <c r="K127" s="1124"/>
      <c r="L127" s="1124"/>
      <c r="M127" s="1124"/>
      <c r="N127" s="1431"/>
    </row>
    <row r="128" spans="1:14" ht="21" customHeight="1" x14ac:dyDescent="0.25">
      <c r="A128" s="1430" t="s">
        <v>611</v>
      </c>
      <c r="B128" s="1123" t="s">
        <v>775</v>
      </c>
      <c r="C128" s="1121">
        <f>SUM(C129:C133)</f>
        <v>40901</v>
      </c>
      <c r="D128" s="1121">
        <f>SUM(E128:N128)</f>
        <v>40901</v>
      </c>
      <c r="E128" s="1124"/>
      <c r="F128" s="1121">
        <v>33500</v>
      </c>
      <c r="G128" s="1121"/>
      <c r="H128" s="1121"/>
      <c r="I128" s="1124"/>
      <c r="J128" s="1124"/>
      <c r="K128" s="1124"/>
      <c r="L128" s="1121">
        <f>SUM(L129:L133)</f>
        <v>7401</v>
      </c>
      <c r="M128" s="1124"/>
      <c r="N128" s="1431"/>
    </row>
    <row r="129" spans="1:14" ht="21" customHeight="1" x14ac:dyDescent="0.25">
      <c r="A129" s="1430"/>
      <c r="B129" s="1131" t="s">
        <v>776</v>
      </c>
      <c r="C129" s="1124">
        <f>'3 mell. 2. pont'!E215</f>
        <v>7500</v>
      </c>
      <c r="D129" s="1124"/>
      <c r="E129" s="1124"/>
      <c r="F129" s="1124"/>
      <c r="G129" s="1124"/>
      <c r="H129" s="1121"/>
      <c r="I129" s="1124"/>
      <c r="J129" s="1124"/>
      <c r="K129" s="1124"/>
      <c r="L129" s="1124"/>
      <c r="M129" s="1124"/>
      <c r="N129" s="1431"/>
    </row>
    <row r="130" spans="1:14" ht="21" customHeight="1" x14ac:dyDescent="0.25">
      <c r="A130" s="1430"/>
      <c r="B130" s="1131" t="s">
        <v>777</v>
      </c>
      <c r="C130" s="1124">
        <f>'3 mell. 2. pont'!E225</f>
        <v>6000</v>
      </c>
      <c r="D130" s="1124"/>
      <c r="E130" s="1124"/>
      <c r="F130" s="1124"/>
      <c r="G130" s="1124"/>
      <c r="H130" s="1121"/>
      <c r="I130" s="1124"/>
      <c r="J130" s="1124"/>
      <c r="K130" s="1124"/>
      <c r="L130" s="1124"/>
      <c r="M130" s="1124"/>
      <c r="N130" s="1431"/>
    </row>
    <row r="131" spans="1:14" ht="21" customHeight="1" x14ac:dyDescent="0.25">
      <c r="A131" s="1430"/>
      <c r="B131" s="1131" t="s">
        <v>778</v>
      </c>
      <c r="C131" s="1124">
        <f>'3 mell. 2. pont'!E245</f>
        <v>5262</v>
      </c>
      <c r="D131" s="1124"/>
      <c r="E131" s="1124"/>
      <c r="F131" s="1124"/>
      <c r="G131" s="1124"/>
      <c r="H131" s="1121"/>
      <c r="I131" s="1124"/>
      <c r="J131" s="1124"/>
      <c r="K131" s="1124"/>
      <c r="L131" s="1124">
        <v>262</v>
      </c>
      <c r="M131" s="1124"/>
      <c r="N131" s="1431"/>
    </row>
    <row r="132" spans="1:14" ht="21" customHeight="1" x14ac:dyDescent="0.25">
      <c r="A132" s="1430"/>
      <c r="B132" s="1131" t="s">
        <v>779</v>
      </c>
      <c r="C132" s="1124">
        <f>'3 mell. 2. pont'!E235</f>
        <v>12821</v>
      </c>
      <c r="D132" s="1124"/>
      <c r="E132" s="1124"/>
      <c r="F132" s="1124"/>
      <c r="G132" s="1124"/>
      <c r="H132" s="1124"/>
      <c r="I132" s="1124"/>
      <c r="J132" s="1124"/>
      <c r="K132" s="1124"/>
      <c r="L132" s="1124">
        <v>2821</v>
      </c>
      <c r="M132" s="1124"/>
      <c r="N132" s="1431"/>
    </row>
    <row r="133" spans="1:14" ht="21" customHeight="1" x14ac:dyDescent="0.25">
      <c r="A133" s="1430"/>
      <c r="B133" s="1131" t="s">
        <v>780</v>
      </c>
      <c r="C133" s="1124">
        <f>'3 mell. 2. pont'!E807</f>
        <v>9318</v>
      </c>
      <c r="D133" s="1124"/>
      <c r="E133" s="1124"/>
      <c r="F133" s="1124"/>
      <c r="G133" s="1124"/>
      <c r="H133" s="1124"/>
      <c r="I133" s="1124"/>
      <c r="J133" s="1124"/>
      <c r="K133" s="1124"/>
      <c r="L133" s="1124">
        <v>4318</v>
      </c>
      <c r="M133" s="1124"/>
      <c r="N133" s="1431"/>
    </row>
    <row r="134" spans="1:14" ht="21" customHeight="1" x14ac:dyDescent="0.25">
      <c r="A134" s="1430" t="s">
        <v>613</v>
      </c>
      <c r="B134" s="1123" t="s">
        <v>781</v>
      </c>
      <c r="C134" s="1121">
        <v>0</v>
      </c>
      <c r="D134" s="1121"/>
      <c r="E134" s="1124"/>
      <c r="F134" s="1121"/>
      <c r="G134" s="1121"/>
      <c r="H134" s="1124"/>
      <c r="I134" s="1124"/>
      <c r="J134" s="1124"/>
      <c r="K134" s="1124"/>
      <c r="L134" s="1121"/>
      <c r="M134" s="1124"/>
      <c r="N134" s="1431"/>
    </row>
    <row r="135" spans="1:14" ht="21" customHeight="1" x14ac:dyDescent="0.25">
      <c r="A135" s="1430" t="s">
        <v>615</v>
      </c>
      <c r="B135" s="1123" t="s">
        <v>782</v>
      </c>
      <c r="C135" s="1121">
        <f>SUM(C136:C148)</f>
        <v>36002</v>
      </c>
      <c r="D135" s="1121">
        <f>SUM(E135:N135)</f>
        <v>36002</v>
      </c>
      <c r="E135" s="1121"/>
      <c r="F135" s="1121">
        <v>33345</v>
      </c>
      <c r="G135" s="1121"/>
      <c r="H135" s="1124"/>
      <c r="I135" s="1124"/>
      <c r="J135" s="1124"/>
      <c r="K135" s="1124"/>
      <c r="L135" s="1121">
        <f>SUM(L136:L148)</f>
        <v>2657</v>
      </c>
      <c r="M135" s="1124"/>
      <c r="N135" s="1431"/>
    </row>
    <row r="136" spans="1:14" ht="21" customHeight="1" x14ac:dyDescent="0.25">
      <c r="A136" s="1430"/>
      <c r="B136" s="1131" t="s">
        <v>783</v>
      </c>
      <c r="C136" s="1124">
        <f>'3 mell. 2. pont'!E299</f>
        <v>9580</v>
      </c>
      <c r="D136" s="1124"/>
      <c r="E136" s="1124"/>
      <c r="F136" s="1124"/>
      <c r="G136" s="1124"/>
      <c r="H136" s="1124"/>
      <c r="I136" s="1124"/>
      <c r="J136" s="1124"/>
      <c r="K136" s="1124"/>
      <c r="L136" s="1124">
        <v>580</v>
      </c>
      <c r="M136" s="1124"/>
      <c r="N136" s="1431"/>
    </row>
    <row r="137" spans="1:14" ht="21" customHeight="1" x14ac:dyDescent="0.25">
      <c r="A137" s="1430"/>
      <c r="B137" s="1131" t="s">
        <v>784</v>
      </c>
      <c r="C137" s="1124">
        <f>SUM('3 mell. 2. pont'!E938)</f>
        <v>6802</v>
      </c>
      <c r="D137" s="1124"/>
      <c r="E137" s="1124"/>
      <c r="F137" s="1124"/>
      <c r="G137" s="1124"/>
      <c r="H137" s="1124"/>
      <c r="I137" s="1124"/>
      <c r="J137" s="1124"/>
      <c r="K137" s="1124"/>
      <c r="L137" s="1124">
        <v>2077</v>
      </c>
      <c r="M137" s="1124"/>
      <c r="N137" s="1431"/>
    </row>
    <row r="138" spans="1:14" ht="21" customHeight="1" x14ac:dyDescent="0.25">
      <c r="A138" s="1430"/>
      <c r="B138" s="691" t="s">
        <v>1017</v>
      </c>
      <c r="C138" s="1124">
        <f>'3 mell 3. pont'!E53</f>
        <v>900</v>
      </c>
      <c r="D138" s="1124"/>
      <c r="E138" s="1124"/>
      <c r="F138" s="1124"/>
      <c r="G138" s="1124"/>
      <c r="H138" s="1124"/>
      <c r="I138" s="1124"/>
      <c r="J138" s="1124"/>
      <c r="K138" s="1124"/>
      <c r="L138" s="1124"/>
      <c r="M138" s="1124"/>
      <c r="N138" s="1431"/>
    </row>
    <row r="139" spans="1:14" ht="21" customHeight="1" x14ac:dyDescent="0.25">
      <c r="A139" s="1430"/>
      <c r="B139" s="691" t="s">
        <v>1018</v>
      </c>
      <c r="C139" s="1124">
        <f>'3 mell 3. pont'!E54</f>
        <v>900</v>
      </c>
      <c r="D139" s="1124"/>
      <c r="E139" s="1124"/>
      <c r="F139" s="1124"/>
      <c r="G139" s="1124"/>
      <c r="H139" s="1124"/>
      <c r="I139" s="1124"/>
      <c r="J139" s="1124"/>
      <c r="K139" s="1124"/>
      <c r="L139" s="1124"/>
      <c r="M139" s="1124"/>
      <c r="N139" s="1431"/>
    </row>
    <row r="140" spans="1:14" ht="21" customHeight="1" x14ac:dyDescent="0.25">
      <c r="A140" s="1430"/>
      <c r="B140" s="1133" t="s">
        <v>1019</v>
      </c>
      <c r="C140" s="1124">
        <f>'3 mell 3. pont'!E52</f>
        <v>6000</v>
      </c>
      <c r="D140" s="1124"/>
      <c r="E140" s="1124"/>
      <c r="F140" s="1124"/>
      <c r="G140" s="1124"/>
      <c r="H140" s="1124"/>
      <c r="I140" s="1124"/>
      <c r="J140" s="1124"/>
      <c r="K140" s="1124"/>
      <c r="L140" s="1124"/>
      <c r="M140" s="1124"/>
      <c r="N140" s="1431"/>
    </row>
    <row r="141" spans="1:14" ht="21" customHeight="1" x14ac:dyDescent="0.25">
      <c r="A141" s="1430"/>
      <c r="B141" s="1134" t="s">
        <v>1020</v>
      </c>
      <c r="C141" s="1124">
        <f>'3 mell 3. pont'!E55</f>
        <v>1000</v>
      </c>
      <c r="D141" s="1124"/>
      <c r="E141" s="1124"/>
      <c r="F141" s="1124"/>
      <c r="G141" s="1124"/>
      <c r="H141" s="1124"/>
      <c r="I141" s="1124"/>
      <c r="J141" s="1124"/>
      <c r="K141" s="1124"/>
      <c r="L141" s="1124"/>
      <c r="M141" s="1124"/>
      <c r="N141" s="1431"/>
    </row>
    <row r="142" spans="1:14" ht="21" customHeight="1" x14ac:dyDescent="0.25">
      <c r="A142" s="1430"/>
      <c r="B142" s="1134" t="s">
        <v>1021</v>
      </c>
      <c r="C142" s="1124">
        <f>'3 mell 3. pont'!E56</f>
        <v>4820</v>
      </c>
      <c r="D142" s="1124"/>
      <c r="E142" s="1124"/>
      <c r="F142" s="1124"/>
      <c r="G142" s="1124"/>
      <c r="H142" s="1124"/>
      <c r="I142" s="1124"/>
      <c r="J142" s="1124"/>
      <c r="K142" s="1124"/>
      <c r="L142" s="1124"/>
      <c r="M142" s="1124"/>
      <c r="N142" s="1431"/>
    </row>
    <row r="143" spans="1:14" ht="21" customHeight="1" x14ac:dyDescent="0.25">
      <c r="A143" s="1430"/>
      <c r="B143" s="1134" t="s">
        <v>1022</v>
      </c>
      <c r="C143" s="1124">
        <f>'3 mell 3. pont'!E57</f>
        <v>1400</v>
      </c>
      <c r="D143" s="1124"/>
      <c r="E143" s="1124"/>
      <c r="F143" s="1124"/>
      <c r="G143" s="1124"/>
      <c r="H143" s="1124"/>
      <c r="I143" s="1124"/>
      <c r="J143" s="1124"/>
      <c r="K143" s="1124"/>
      <c r="L143" s="1124"/>
      <c r="M143" s="1124"/>
      <c r="N143" s="1431"/>
    </row>
    <row r="144" spans="1:14" ht="21" customHeight="1" x14ac:dyDescent="0.25">
      <c r="A144" s="1430"/>
      <c r="B144" s="1134" t="s">
        <v>1023</v>
      </c>
      <c r="C144" s="1124">
        <f>'3 mell 3. pont'!E58</f>
        <v>900</v>
      </c>
      <c r="D144" s="1124"/>
      <c r="E144" s="1124"/>
      <c r="F144" s="1124"/>
      <c r="G144" s="1124"/>
      <c r="H144" s="1124"/>
      <c r="I144" s="1124"/>
      <c r="J144" s="1124"/>
      <c r="K144" s="1124"/>
      <c r="L144" s="1124"/>
      <c r="M144" s="1124"/>
      <c r="N144" s="1431"/>
    </row>
    <row r="145" spans="1:14" ht="21" customHeight="1" x14ac:dyDescent="0.25">
      <c r="A145" s="1430"/>
      <c r="B145" s="1134" t="s">
        <v>1024</v>
      </c>
      <c r="C145" s="1124">
        <f>'3 mell 3. pont'!E59</f>
        <v>900</v>
      </c>
      <c r="D145" s="1124"/>
      <c r="E145" s="1124"/>
      <c r="F145" s="1124"/>
      <c r="G145" s="1124"/>
      <c r="H145" s="1124"/>
      <c r="I145" s="1124"/>
      <c r="J145" s="1124"/>
      <c r="K145" s="1124"/>
      <c r="L145" s="1124"/>
      <c r="M145" s="1124"/>
      <c r="N145" s="1431"/>
    </row>
    <row r="146" spans="1:14" ht="21" customHeight="1" x14ac:dyDescent="0.25">
      <c r="A146" s="1430"/>
      <c r="B146" s="1134" t="s">
        <v>1025</v>
      </c>
      <c r="C146" s="1124">
        <f>'3 mell 3. pont'!E61</f>
        <v>900</v>
      </c>
      <c r="D146" s="1124"/>
      <c r="E146" s="1124"/>
      <c r="F146" s="1124"/>
      <c r="G146" s="1124"/>
      <c r="H146" s="1124"/>
      <c r="I146" s="1124"/>
      <c r="J146" s="1124"/>
      <c r="K146" s="1124"/>
      <c r="L146" s="1124"/>
      <c r="M146" s="1124"/>
      <c r="N146" s="1431"/>
    </row>
    <row r="147" spans="1:14" ht="21" customHeight="1" x14ac:dyDescent="0.25">
      <c r="A147" s="1430"/>
      <c r="B147" s="1134" t="s">
        <v>1026</v>
      </c>
      <c r="C147" s="1124">
        <f>'3 mell 3. pont'!E62</f>
        <v>900</v>
      </c>
      <c r="D147" s="1124"/>
      <c r="E147" s="1124"/>
      <c r="F147" s="1124"/>
      <c r="G147" s="1124"/>
      <c r="H147" s="1124"/>
      <c r="I147" s="1124"/>
      <c r="J147" s="1124"/>
      <c r="K147" s="1124"/>
      <c r="L147" s="1124"/>
      <c r="M147" s="1124"/>
      <c r="N147" s="1431"/>
    </row>
    <row r="148" spans="1:14" ht="21" customHeight="1" x14ac:dyDescent="0.25">
      <c r="A148" s="1430"/>
      <c r="B148" s="1134" t="s">
        <v>1027</v>
      </c>
      <c r="C148" s="1124">
        <f>'3 mell 3. pont'!E63</f>
        <v>1000</v>
      </c>
      <c r="D148" s="1124"/>
      <c r="E148" s="1124"/>
      <c r="F148" s="1124"/>
      <c r="G148" s="1124"/>
      <c r="H148" s="1124"/>
      <c r="I148" s="1124"/>
      <c r="J148" s="1124"/>
      <c r="K148" s="1124"/>
      <c r="L148" s="1124"/>
      <c r="M148" s="1124"/>
      <c r="N148" s="1431"/>
    </row>
    <row r="149" spans="1:14" ht="21" customHeight="1" x14ac:dyDescent="0.25">
      <c r="A149" s="1435"/>
      <c r="B149" s="1123" t="s">
        <v>785</v>
      </c>
      <c r="C149" s="1121">
        <f>'3 mell. 2. pont'!E276</f>
        <v>365654</v>
      </c>
      <c r="D149" s="1121">
        <f t="shared" ref="D149:D178" si="0">SUM(E149:N149)</f>
        <v>365654</v>
      </c>
      <c r="E149" s="1124"/>
      <c r="F149" s="1121">
        <v>361405</v>
      </c>
      <c r="G149" s="1121"/>
      <c r="H149" s="1124"/>
      <c r="I149" s="1124"/>
      <c r="J149" s="1124"/>
      <c r="K149" s="1124"/>
      <c r="L149" s="1121">
        <v>4249</v>
      </c>
      <c r="M149" s="1124"/>
      <c r="N149" s="1431"/>
    </row>
    <row r="150" spans="1:14" ht="21" customHeight="1" x14ac:dyDescent="0.25">
      <c r="A150" s="1435"/>
      <c r="B150" s="1123" t="s">
        <v>786</v>
      </c>
      <c r="C150" s="1121">
        <f>'3 mell. 2. pont'!E289</f>
        <v>160442</v>
      </c>
      <c r="D150" s="1121">
        <f t="shared" si="0"/>
        <v>160442</v>
      </c>
      <c r="E150" s="1124"/>
      <c r="F150" s="1121">
        <v>117397</v>
      </c>
      <c r="G150" s="1121"/>
      <c r="H150" s="1121"/>
      <c r="I150" s="1124"/>
      <c r="J150" s="1124"/>
      <c r="K150" s="1124"/>
      <c r="L150" s="1121">
        <v>43045</v>
      </c>
      <c r="M150" s="1124"/>
      <c r="N150" s="1431"/>
    </row>
    <row r="151" spans="1:14" ht="30.6" customHeight="1" x14ac:dyDescent="0.25">
      <c r="A151" s="1435"/>
      <c r="B151" s="1135" t="s">
        <v>787</v>
      </c>
      <c r="C151" s="1121">
        <f>SUM('3 mell 1. pont'!E29+'3 mell 1. pont'!E59+'3 mell 1. pont'!E69-'13.mell'!C12)</f>
        <v>4438343</v>
      </c>
      <c r="D151" s="1121">
        <f t="shared" si="0"/>
        <v>4438343</v>
      </c>
      <c r="E151" s="1121"/>
      <c r="F151" s="1121">
        <v>4021837</v>
      </c>
      <c r="G151" s="1121">
        <v>44450</v>
      </c>
      <c r="H151" s="1121">
        <v>55019</v>
      </c>
      <c r="I151" s="1124"/>
      <c r="J151" s="1124"/>
      <c r="K151" s="1121">
        <v>2000</v>
      </c>
      <c r="L151" s="1121">
        <v>315037</v>
      </c>
      <c r="M151" s="1121"/>
      <c r="N151" s="1436"/>
    </row>
    <row r="152" spans="1:14" ht="30.6" customHeight="1" x14ac:dyDescent="0.25">
      <c r="A152" s="1435"/>
      <c r="B152" s="1135" t="s">
        <v>1461</v>
      </c>
      <c r="C152" s="1121">
        <f>SUM('3 mell 1. pont'!E39)</f>
        <v>34350</v>
      </c>
      <c r="D152" s="1121">
        <f t="shared" si="0"/>
        <v>34350</v>
      </c>
      <c r="E152" s="1121"/>
      <c r="F152" s="1121"/>
      <c r="G152" s="1121"/>
      <c r="H152" s="1121">
        <v>34350</v>
      </c>
      <c r="I152" s="1124"/>
      <c r="J152" s="1124"/>
      <c r="K152" s="1121"/>
      <c r="L152" s="1121"/>
      <c r="M152" s="1121"/>
      <c r="N152" s="1436"/>
    </row>
    <row r="153" spans="1:14" ht="24.75" customHeight="1" x14ac:dyDescent="0.25">
      <c r="A153" s="1435"/>
      <c r="B153" s="1135" t="s">
        <v>1462</v>
      </c>
      <c r="C153" s="1121">
        <f>'3 mell 1. pont'!E49</f>
        <v>62360</v>
      </c>
      <c r="D153" s="1121">
        <f t="shared" si="0"/>
        <v>62360</v>
      </c>
      <c r="E153" s="1121"/>
      <c r="F153" s="1121">
        <v>62360</v>
      </c>
      <c r="G153" s="1121"/>
      <c r="H153" s="1121"/>
      <c r="I153" s="1124"/>
      <c r="J153" s="1124"/>
      <c r="K153" s="1121"/>
      <c r="L153" s="1121"/>
      <c r="M153" s="1121"/>
      <c r="N153" s="1436"/>
    </row>
    <row r="154" spans="1:14" ht="21" customHeight="1" x14ac:dyDescent="0.25">
      <c r="A154" s="1435"/>
      <c r="B154" s="1123" t="s">
        <v>788</v>
      </c>
      <c r="C154" s="1121">
        <f>'3 mell. 2. pont'!E349</f>
        <v>27178</v>
      </c>
      <c r="D154" s="1121">
        <f t="shared" si="0"/>
        <v>27178</v>
      </c>
      <c r="E154" s="1124"/>
      <c r="F154" s="1121">
        <v>18000</v>
      </c>
      <c r="G154" s="1121"/>
      <c r="H154" s="1124"/>
      <c r="I154" s="1124"/>
      <c r="J154" s="1124"/>
      <c r="K154" s="1124"/>
      <c r="L154" s="1121">
        <v>9178</v>
      </c>
      <c r="M154" s="1124"/>
      <c r="N154" s="1436"/>
    </row>
    <row r="155" spans="1:14" ht="21" customHeight="1" x14ac:dyDescent="0.25">
      <c r="A155" s="1435"/>
      <c r="B155" s="1123" t="s">
        <v>789</v>
      </c>
      <c r="C155" s="1121">
        <f>'3 mell. 2. pont'!E444</f>
        <v>21469</v>
      </c>
      <c r="D155" s="1121">
        <f t="shared" si="0"/>
        <v>21469</v>
      </c>
      <c r="E155" s="1124"/>
      <c r="F155" s="1121">
        <v>20000</v>
      </c>
      <c r="G155" s="1121"/>
      <c r="H155" s="1121"/>
      <c r="I155" s="1124"/>
      <c r="J155" s="1124"/>
      <c r="K155" s="1124"/>
      <c r="L155" s="1121">
        <v>1469</v>
      </c>
      <c r="M155" s="1124"/>
      <c r="N155" s="1436"/>
    </row>
    <row r="156" spans="1:14" ht="21" customHeight="1" x14ac:dyDescent="0.25">
      <c r="A156" s="1435"/>
      <c r="B156" s="1123" t="s">
        <v>1008</v>
      </c>
      <c r="C156" s="1121">
        <f>'3 mell. 2. pont'!E474</f>
        <v>60000</v>
      </c>
      <c r="D156" s="1121">
        <f t="shared" si="0"/>
        <v>60000</v>
      </c>
      <c r="E156" s="1124"/>
      <c r="F156" s="1121">
        <v>60000</v>
      </c>
      <c r="G156" s="1121"/>
      <c r="H156" s="1121"/>
      <c r="I156" s="1124"/>
      <c r="J156" s="1124"/>
      <c r="K156" s="1124"/>
      <c r="L156" s="1121"/>
      <c r="M156" s="1124"/>
      <c r="N156" s="1436"/>
    </row>
    <row r="157" spans="1:14" ht="21" customHeight="1" x14ac:dyDescent="0.25">
      <c r="A157" s="1435"/>
      <c r="B157" s="1123" t="s">
        <v>790</v>
      </c>
      <c r="C157" s="1121">
        <f>'3 mell 3. pont'!E15</f>
        <v>232410</v>
      </c>
      <c r="D157" s="1121">
        <f t="shared" si="0"/>
        <v>232410</v>
      </c>
      <c r="E157" s="1124"/>
      <c r="F157" s="1121">
        <v>232410</v>
      </c>
      <c r="G157" s="1121"/>
      <c r="H157" s="1124"/>
      <c r="I157" s="1124"/>
      <c r="J157" s="1124"/>
      <c r="K157" s="1124"/>
      <c r="L157" s="1121"/>
      <c r="M157" s="1124"/>
      <c r="N157" s="1436"/>
    </row>
    <row r="158" spans="1:14" ht="21" customHeight="1" x14ac:dyDescent="0.25">
      <c r="A158" s="1435"/>
      <c r="B158" s="1123" t="s">
        <v>1016</v>
      </c>
      <c r="C158" s="1121">
        <f>'3 mell 3. pont'!E32</f>
        <v>1245480</v>
      </c>
      <c r="D158" s="1121">
        <f t="shared" si="0"/>
        <v>1245480</v>
      </c>
      <c r="E158" s="1124"/>
      <c r="F158" s="1121">
        <v>245480</v>
      </c>
      <c r="G158" s="1121"/>
      <c r="H158" s="1124"/>
      <c r="I158" s="1124"/>
      <c r="J158" s="1124"/>
      <c r="K158" s="1124"/>
      <c r="L158" s="1121"/>
      <c r="M158" s="1124"/>
      <c r="N158" s="1436">
        <v>1000000</v>
      </c>
    </row>
    <row r="159" spans="1:14" ht="21" customHeight="1" x14ac:dyDescent="0.25">
      <c r="A159" s="1435"/>
      <c r="B159" s="1123" t="s">
        <v>1028</v>
      </c>
      <c r="C159" s="1121">
        <f>'4.mell.'!E51</f>
        <v>47121</v>
      </c>
      <c r="D159" s="1121">
        <f t="shared" si="0"/>
        <v>47121</v>
      </c>
      <c r="E159" s="1124"/>
      <c r="F159" s="1121"/>
      <c r="G159" s="1121"/>
      <c r="H159" s="1124"/>
      <c r="I159" s="1124"/>
      <c r="J159" s="1124"/>
      <c r="K159" s="1124"/>
      <c r="L159" s="1121"/>
      <c r="M159" s="1124"/>
      <c r="N159" s="1436">
        <v>47121</v>
      </c>
    </row>
    <row r="160" spans="1:14" ht="21" customHeight="1" x14ac:dyDescent="0.25">
      <c r="A160" s="1435"/>
      <c r="B160" s="1123" t="s">
        <v>791</v>
      </c>
      <c r="C160" s="1121">
        <f>'6.mell. '!E21</f>
        <v>0</v>
      </c>
      <c r="D160" s="1121">
        <f t="shared" si="0"/>
        <v>0</v>
      </c>
      <c r="E160" s="1124"/>
      <c r="F160" s="1121"/>
      <c r="G160" s="1121"/>
      <c r="H160" s="1124"/>
      <c r="I160" s="1124"/>
      <c r="J160" s="1124"/>
      <c r="K160" s="1124"/>
      <c r="L160" s="1121"/>
      <c r="M160" s="1124"/>
      <c r="N160" s="1436"/>
    </row>
    <row r="161" spans="1:14" ht="21" customHeight="1" x14ac:dyDescent="0.25">
      <c r="A161" s="1435"/>
      <c r="B161" s="1123" t="s">
        <v>792</v>
      </c>
      <c r="C161" s="1121">
        <f>'6.mell. '!E12</f>
        <v>431868</v>
      </c>
      <c r="D161" s="1121">
        <f t="shared" si="0"/>
        <v>431868</v>
      </c>
      <c r="E161" s="1121">
        <v>160449</v>
      </c>
      <c r="F161" s="1121"/>
      <c r="G161" s="1121"/>
      <c r="H161" s="1121"/>
      <c r="I161" s="1124"/>
      <c r="J161" s="1121"/>
      <c r="K161" s="1124"/>
      <c r="L161" s="1121">
        <v>271419</v>
      </c>
      <c r="M161" s="1124"/>
      <c r="N161" s="1436"/>
    </row>
    <row r="162" spans="1:14" ht="21" customHeight="1" x14ac:dyDescent="0.25">
      <c r="A162" s="1435"/>
      <c r="B162" s="1123" t="s">
        <v>1040</v>
      </c>
      <c r="C162" s="1121">
        <f>'6.mell. '!E23</f>
        <v>409413</v>
      </c>
      <c r="D162" s="1121">
        <f t="shared" si="0"/>
        <v>409413</v>
      </c>
      <c r="E162" s="1124"/>
      <c r="F162" s="1121"/>
      <c r="G162" s="1121"/>
      <c r="H162" s="1121"/>
      <c r="I162" s="1124"/>
      <c r="J162" s="1121"/>
      <c r="K162" s="1124"/>
      <c r="L162" s="1121"/>
      <c r="M162" s="1121">
        <v>409413</v>
      </c>
      <c r="N162" s="1436"/>
    </row>
    <row r="163" spans="1:14" ht="21" customHeight="1" x14ac:dyDescent="0.25">
      <c r="A163" s="1435"/>
      <c r="B163" s="1123" t="s">
        <v>793</v>
      </c>
      <c r="C163" s="1121">
        <f>'1. mell 3. pont '!E62</f>
        <v>99640</v>
      </c>
      <c r="D163" s="1121">
        <f t="shared" si="0"/>
        <v>99640</v>
      </c>
      <c r="E163" s="1124"/>
      <c r="F163" s="1121"/>
      <c r="G163" s="1121">
        <v>95000</v>
      </c>
      <c r="H163" s="1124"/>
      <c r="I163" s="1124"/>
      <c r="J163" s="1124"/>
      <c r="K163" s="1124"/>
      <c r="L163" s="1121">
        <v>4640</v>
      </c>
      <c r="M163" s="1124"/>
      <c r="N163" s="1436"/>
    </row>
    <row r="164" spans="1:14" ht="21" customHeight="1" x14ac:dyDescent="0.25">
      <c r="A164" s="1435"/>
      <c r="B164" s="1123" t="s">
        <v>794</v>
      </c>
      <c r="C164" s="1121">
        <f>'1. mell 3. pont '!E64</f>
        <v>18321</v>
      </c>
      <c r="D164" s="1121">
        <f t="shared" si="0"/>
        <v>18321</v>
      </c>
      <c r="E164" s="1124"/>
      <c r="F164" s="1121">
        <v>18321</v>
      </c>
      <c r="G164" s="1121"/>
      <c r="H164" s="1124"/>
      <c r="I164" s="1124"/>
      <c r="J164" s="1124"/>
      <c r="K164" s="1124"/>
      <c r="L164" s="1121"/>
      <c r="M164" s="1124"/>
      <c r="N164" s="1436"/>
    </row>
    <row r="165" spans="1:14" ht="21" customHeight="1" x14ac:dyDescent="0.25">
      <c r="A165" s="1435"/>
      <c r="B165" s="1123" t="s">
        <v>795</v>
      </c>
      <c r="C165" s="1121">
        <f>'1. mell 3. pont '!E66</f>
        <v>3011230</v>
      </c>
      <c r="D165" s="1121">
        <f t="shared" si="0"/>
        <v>3011230</v>
      </c>
      <c r="E165" s="1121"/>
      <c r="F165" s="1121">
        <v>3011230</v>
      </c>
      <c r="G165" s="1121"/>
      <c r="H165" s="1124"/>
      <c r="I165" s="1124"/>
      <c r="J165" s="1124"/>
      <c r="K165" s="1124"/>
      <c r="L165" s="1121"/>
      <c r="M165" s="1124"/>
      <c r="N165" s="1436"/>
    </row>
    <row r="166" spans="1:14" ht="13.8" x14ac:dyDescent="0.25">
      <c r="A166" s="1435"/>
      <c r="B166" s="1123" t="s">
        <v>796</v>
      </c>
      <c r="C166" s="1121">
        <f>'1. mell 3. pont '!E68</f>
        <v>268296</v>
      </c>
      <c r="D166" s="1121">
        <f t="shared" si="0"/>
        <v>268296</v>
      </c>
      <c r="E166" s="1124"/>
      <c r="F166" s="1121"/>
      <c r="G166" s="1121">
        <v>268296</v>
      </c>
      <c r="H166" s="1124"/>
      <c r="I166" s="1124"/>
      <c r="J166" s="1124"/>
      <c r="K166" s="1124"/>
      <c r="L166" s="1121"/>
      <c r="M166" s="1121"/>
      <c r="N166" s="1436"/>
    </row>
    <row r="167" spans="1:14" ht="13.8" x14ac:dyDescent="0.25">
      <c r="A167" s="1435"/>
      <c r="B167" s="1123" t="s">
        <v>797</v>
      </c>
      <c r="C167" s="1121">
        <f>'1. mell 3. pont '!E70</f>
        <v>0</v>
      </c>
      <c r="D167" s="1121">
        <f t="shared" si="0"/>
        <v>0</v>
      </c>
      <c r="E167" s="1121"/>
      <c r="F167" s="1121"/>
      <c r="G167" s="1121"/>
      <c r="H167" s="1124"/>
      <c r="I167" s="1124"/>
      <c r="J167" s="1124"/>
      <c r="K167" s="1124"/>
      <c r="L167" s="1121"/>
      <c r="M167" s="1121"/>
      <c r="N167" s="1436"/>
    </row>
    <row r="168" spans="1:14" ht="13.8" x14ac:dyDescent="0.25">
      <c r="A168" s="1435"/>
      <c r="B168" s="1123" t="s">
        <v>798</v>
      </c>
      <c r="C168" s="1121">
        <f>SUM('1. mell 3. pont '!E72)</f>
        <v>750000</v>
      </c>
      <c r="D168" s="1121">
        <f t="shared" si="0"/>
        <v>750000</v>
      </c>
      <c r="E168" s="1121"/>
      <c r="F168" s="1121"/>
      <c r="G168" s="1121"/>
      <c r="H168" s="1124"/>
      <c r="I168" s="1121">
        <v>750000</v>
      </c>
      <c r="J168" s="1124"/>
      <c r="K168" s="1124"/>
      <c r="L168" s="1121"/>
      <c r="M168" s="1121"/>
      <c r="N168" s="1436"/>
    </row>
    <row r="169" spans="1:14" ht="13.8" x14ac:dyDescent="0.25">
      <c r="A169" s="1435"/>
      <c r="B169" s="1123" t="s">
        <v>799</v>
      </c>
      <c r="C169" s="1121">
        <f>SUM('1. mell 3. pont '!E75)</f>
        <v>0</v>
      </c>
      <c r="D169" s="1121">
        <f t="shared" si="0"/>
        <v>0</v>
      </c>
      <c r="E169" s="1124"/>
      <c r="F169" s="1121"/>
      <c r="G169" s="1121"/>
      <c r="H169" s="1124"/>
      <c r="I169" s="1124"/>
      <c r="J169" s="1124"/>
      <c r="K169" s="1124"/>
      <c r="L169" s="1121"/>
      <c r="M169" s="1121"/>
      <c r="N169" s="1436"/>
    </row>
    <row r="170" spans="1:14" ht="13.8" x14ac:dyDescent="0.25">
      <c r="A170" s="1435"/>
      <c r="B170" s="1123" t="s">
        <v>1463</v>
      </c>
      <c r="C170" s="1121">
        <f>SUM('1. mell 3. pont '!E78)</f>
        <v>36451</v>
      </c>
      <c r="D170" s="1121">
        <f t="shared" si="0"/>
        <v>36451</v>
      </c>
      <c r="E170" s="1121">
        <v>36451</v>
      </c>
      <c r="F170" s="1121"/>
      <c r="G170" s="1121"/>
      <c r="H170" s="1124"/>
      <c r="I170" s="1124"/>
      <c r="J170" s="1124"/>
      <c r="K170" s="1124"/>
      <c r="L170" s="1121"/>
      <c r="M170" s="1121"/>
      <c r="N170" s="1436"/>
    </row>
    <row r="171" spans="1:14" ht="13.8" x14ac:dyDescent="0.25">
      <c r="A171" s="1435"/>
      <c r="B171" s="1123" t="s">
        <v>800</v>
      </c>
      <c r="C171" s="1121">
        <f>'1. mell 3. pont '!E103</f>
        <v>0</v>
      </c>
      <c r="D171" s="1121">
        <f t="shared" si="0"/>
        <v>0</v>
      </c>
      <c r="E171" s="1124"/>
      <c r="F171" s="1121"/>
      <c r="G171" s="1121"/>
      <c r="H171" s="1124"/>
      <c r="I171" s="1124"/>
      <c r="J171" s="1124"/>
      <c r="K171" s="1124"/>
      <c r="L171" s="1121"/>
      <c r="M171" s="1121"/>
      <c r="N171" s="1436"/>
    </row>
    <row r="172" spans="1:14" ht="13.8" x14ac:dyDescent="0.25">
      <c r="A172" s="1435"/>
      <c r="B172" s="1123" t="s">
        <v>801</v>
      </c>
      <c r="C172" s="1121">
        <f>'1. mell 3. pont '!E104</f>
        <v>171460</v>
      </c>
      <c r="D172" s="1121">
        <f t="shared" si="0"/>
        <v>171460</v>
      </c>
      <c r="E172" s="1124"/>
      <c r="F172" s="1121"/>
      <c r="G172" s="1121"/>
      <c r="H172" s="1124"/>
      <c r="I172" s="1124"/>
      <c r="J172" s="1124"/>
      <c r="K172" s="1124"/>
      <c r="L172" s="1121"/>
      <c r="M172" s="1124"/>
      <c r="N172" s="1436">
        <v>171460</v>
      </c>
    </row>
    <row r="173" spans="1:14" ht="13.8" x14ac:dyDescent="0.25">
      <c r="A173" s="1435"/>
      <c r="B173" s="1123" t="s">
        <v>802</v>
      </c>
      <c r="C173" s="1121">
        <f>'1. mell 3. pont '!E112</f>
        <v>0</v>
      </c>
      <c r="D173" s="1121">
        <f t="shared" si="0"/>
        <v>0</v>
      </c>
      <c r="E173" s="1124"/>
      <c r="F173" s="1121"/>
      <c r="G173" s="1121"/>
      <c r="H173" s="1124"/>
      <c r="I173" s="1121"/>
      <c r="J173" s="1124"/>
      <c r="K173" s="1124"/>
      <c r="L173" s="1121"/>
      <c r="M173" s="1124"/>
      <c r="N173" s="1436"/>
    </row>
    <row r="174" spans="1:14" ht="21" customHeight="1" x14ac:dyDescent="0.25">
      <c r="A174" s="1435"/>
      <c r="B174" s="1123" t="s">
        <v>803</v>
      </c>
      <c r="C174" s="1121">
        <f>'2.mell'!E430-'12.mell'!C8</f>
        <v>4718836.9193700003</v>
      </c>
      <c r="D174" s="1121">
        <f t="shared" si="0"/>
        <v>4718837</v>
      </c>
      <c r="E174" s="1121"/>
      <c r="F174" s="1121">
        <v>3521219</v>
      </c>
      <c r="G174" s="1121">
        <v>422402</v>
      </c>
      <c r="H174" s="1121">
        <v>24291</v>
      </c>
      <c r="I174" s="1124"/>
      <c r="J174" s="1124"/>
      <c r="K174" s="1124"/>
      <c r="L174" s="1121">
        <v>750925</v>
      </c>
      <c r="M174" s="1124"/>
      <c r="N174" s="1431"/>
    </row>
    <row r="175" spans="1:14" ht="21" customHeight="1" x14ac:dyDescent="0.25">
      <c r="A175" s="1430"/>
      <c r="B175" s="1123" t="s">
        <v>804</v>
      </c>
      <c r="C175" s="1121">
        <f>'2.mell'!E506-'12.mell'!C9</f>
        <v>1372119</v>
      </c>
      <c r="D175" s="1121">
        <f t="shared" si="0"/>
        <v>1372119</v>
      </c>
      <c r="E175" s="1121">
        <f>226532+7171</f>
        <v>233703</v>
      </c>
      <c r="F175" s="1121">
        <v>1052119</v>
      </c>
      <c r="G175" s="1121">
        <v>37820</v>
      </c>
      <c r="H175" s="1121">
        <v>22725</v>
      </c>
      <c r="I175" s="1121"/>
      <c r="J175" s="1124"/>
      <c r="K175" s="1124"/>
      <c r="L175" s="1121">
        <f>23890+1862</f>
        <v>25752</v>
      </c>
      <c r="M175" s="1124"/>
      <c r="N175" s="1431"/>
    </row>
    <row r="176" spans="1:14" ht="21" customHeight="1" x14ac:dyDescent="0.25">
      <c r="A176" s="1430"/>
      <c r="B176" s="1123" t="s">
        <v>805</v>
      </c>
      <c r="C176" s="1121">
        <f>'2.mell'!E542</f>
        <v>1653413</v>
      </c>
      <c r="D176" s="1121">
        <f t="shared" si="0"/>
        <v>1653413</v>
      </c>
      <c r="E176" s="1121">
        <f>1418941+76997</f>
        <v>1495938</v>
      </c>
      <c r="F176" s="1121">
        <v>16295</v>
      </c>
      <c r="G176" s="1121">
        <v>87305</v>
      </c>
      <c r="H176" s="1121">
        <v>18917</v>
      </c>
      <c r="I176" s="1121"/>
      <c r="J176" s="1121"/>
      <c r="K176" s="1121"/>
      <c r="L176" s="1121">
        <v>34958</v>
      </c>
      <c r="M176" s="1124"/>
      <c r="N176" s="1431"/>
    </row>
    <row r="177" spans="1:14" ht="21" customHeight="1" x14ac:dyDescent="0.25">
      <c r="A177" s="1430"/>
      <c r="B177" s="1123" t="s">
        <v>806</v>
      </c>
      <c r="C177" s="1121">
        <f>'2.mell'!E619</f>
        <v>700658</v>
      </c>
      <c r="D177" s="1121">
        <f t="shared" si="0"/>
        <v>700658</v>
      </c>
      <c r="E177" s="1121">
        <v>29733</v>
      </c>
      <c r="F177" s="1121">
        <v>573476</v>
      </c>
      <c r="G177" s="1121">
        <v>24988</v>
      </c>
      <c r="H177" s="1121">
        <v>6400</v>
      </c>
      <c r="I177" s="1124">
        <v>300</v>
      </c>
      <c r="J177" s="1121"/>
      <c r="K177" s="1124"/>
      <c r="L177" s="1121">
        <v>65761</v>
      </c>
      <c r="M177" s="1121"/>
      <c r="N177" s="1431"/>
    </row>
    <row r="178" spans="1:14" ht="21" customHeight="1" x14ac:dyDescent="0.25">
      <c r="A178" s="1430"/>
      <c r="B178" s="1123" t="s">
        <v>807</v>
      </c>
      <c r="C178" s="1121">
        <f>'2.mell'!E731-'12.mell'!C10</f>
        <v>618972</v>
      </c>
      <c r="D178" s="1121">
        <f t="shared" si="0"/>
        <v>618972</v>
      </c>
      <c r="E178" s="1121"/>
      <c r="F178" s="1121">
        <v>740</v>
      </c>
      <c r="G178" s="1121">
        <v>2465</v>
      </c>
      <c r="H178" s="1121">
        <v>613603</v>
      </c>
      <c r="I178" s="1124"/>
      <c r="J178" s="1121"/>
      <c r="K178" s="1124"/>
      <c r="L178" s="1121">
        <v>2164</v>
      </c>
      <c r="M178" s="1121"/>
      <c r="N178" s="1431"/>
    </row>
    <row r="179" spans="1:14" ht="21" customHeight="1" thickBot="1" x14ac:dyDescent="0.3">
      <c r="A179" s="1437"/>
      <c r="B179" s="1438"/>
      <c r="C179" s="1439"/>
      <c r="D179" s="1439"/>
      <c r="E179" s="1439"/>
      <c r="F179" s="1439"/>
      <c r="G179" s="1439"/>
      <c r="H179" s="1439"/>
      <c r="I179" s="1439"/>
      <c r="J179" s="1439"/>
      <c r="K179" s="1439"/>
      <c r="L179" s="1439"/>
      <c r="M179" s="1439"/>
      <c r="N179" s="1440"/>
    </row>
    <row r="180" spans="1:14" ht="21" customHeight="1" thickBot="1" x14ac:dyDescent="0.3">
      <c r="A180" s="1445"/>
      <c r="B180" s="1446" t="s">
        <v>808</v>
      </c>
      <c r="C180" s="1447">
        <f t="shared" ref="C180:N180" si="1">SUM(C10+C41+C45+C47+C59+C62+C72+C86+C88+C96+C128+C134+C135+C149+C150+C151+C152+C153+C154+C155+C156+C157+C158+C159+C160+C161+C162+C163+C164+C165+C166+C167+C168+C169+C170+C171+C172+C173+C174+C175+C176+C177+C178)</f>
        <v>43388730.919370003</v>
      </c>
      <c r="D180" s="1447">
        <f t="shared" si="1"/>
        <v>43388731</v>
      </c>
      <c r="E180" s="1447">
        <f t="shared" si="1"/>
        <v>5115167</v>
      </c>
      <c r="F180" s="1447">
        <f t="shared" si="1"/>
        <v>17317062</v>
      </c>
      <c r="G180" s="1447">
        <f t="shared" si="1"/>
        <v>3236971</v>
      </c>
      <c r="H180" s="1447">
        <f t="shared" si="1"/>
        <v>830665</v>
      </c>
      <c r="I180" s="1447">
        <f t="shared" si="1"/>
        <v>1713458</v>
      </c>
      <c r="J180" s="1447">
        <f t="shared" si="1"/>
        <v>0</v>
      </c>
      <c r="K180" s="1447">
        <f t="shared" si="1"/>
        <v>17000</v>
      </c>
      <c r="L180" s="1447">
        <f t="shared" si="1"/>
        <v>2708408</v>
      </c>
      <c r="M180" s="1447">
        <f t="shared" si="1"/>
        <v>950000</v>
      </c>
      <c r="N180" s="1448">
        <f t="shared" si="1"/>
        <v>11500000</v>
      </c>
    </row>
    <row r="181" spans="1:14" ht="21" customHeight="1" thickBot="1" x14ac:dyDescent="0.3">
      <c r="A181" s="1441"/>
      <c r="B181" s="1442"/>
      <c r="C181" s="1443"/>
      <c r="D181" s="1443"/>
      <c r="E181" s="1443"/>
      <c r="F181" s="1443"/>
      <c r="G181" s="1443"/>
      <c r="H181" s="1443"/>
      <c r="I181" s="1443"/>
      <c r="J181" s="1443"/>
      <c r="K181" s="1443"/>
      <c r="L181" s="1443"/>
      <c r="M181" s="1443"/>
      <c r="N181" s="1444"/>
    </row>
  </sheetData>
  <mergeCells count="13">
    <mergeCell ref="L8:L9"/>
    <mergeCell ref="M8:M9"/>
    <mergeCell ref="N8:N9"/>
    <mergeCell ref="A3:N3"/>
    <mergeCell ref="B4:M4"/>
    <mergeCell ref="B8:B9"/>
    <mergeCell ref="D8:D9"/>
    <mergeCell ref="E8:E9"/>
    <mergeCell ref="F8:F9"/>
    <mergeCell ref="H8:I8"/>
    <mergeCell ref="J8:K8"/>
    <mergeCell ref="A5:N5"/>
    <mergeCell ref="C8:C9"/>
  </mergeCells>
  <pageMargins left="0.39370078740157483" right="0.39370078740157483" top="0.39370078740157483" bottom="0.39370078740157483" header="0.51181102362204722" footer="0"/>
  <pageSetup paperSize="9" scale="57" firstPageNumber="65" orientation="landscape" useFirstPageNumber="1" r:id="rId1"/>
  <headerFooter alignWithMargins="0">
    <oddFooter>&amp;C&amp;P. oldal</oddFooter>
  </headerFooter>
  <rowBreaks count="4" manualBreakCount="4">
    <brk id="46" max="13" man="1"/>
    <brk id="87" max="13" man="1"/>
    <brk id="125" max="13" man="1"/>
    <brk id="148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zoomScale="98" zoomScaleNormal="98" zoomScaleSheetLayoutView="90" workbookViewId="0">
      <pane ySplit="6" topLeftCell="A70" activePane="bottomLeft" state="frozen"/>
      <selection pane="bottomLeft" activeCell="C9" sqref="C9"/>
    </sheetView>
  </sheetViews>
  <sheetFormatPr defaultColWidth="9.109375" defaultRowHeight="13.2" x14ac:dyDescent="0.25"/>
  <cols>
    <col min="1" max="1" width="7.5546875" style="572" customWidth="1"/>
    <col min="2" max="2" width="49.5546875" style="572" customWidth="1"/>
    <col min="3" max="3" width="13.88671875" style="572" customWidth="1"/>
    <col min="4" max="4" width="13" style="572" customWidth="1"/>
    <col min="5" max="5" width="11.109375" style="572" customWidth="1"/>
    <col min="6" max="6" width="11.88671875" style="572" customWidth="1"/>
    <col min="7" max="7" width="12.109375" style="572" customWidth="1"/>
    <col min="8" max="8" width="12.33203125" style="572" customWidth="1"/>
    <col min="9" max="9" width="10.5546875" style="572" bestFit="1" customWidth="1"/>
    <col min="10" max="10" width="12.33203125" style="572" customWidth="1"/>
    <col min="11" max="11" width="11.5546875" style="572" customWidth="1"/>
    <col min="12" max="12" width="12.44140625" style="572" customWidth="1"/>
    <col min="13" max="13" width="14.33203125" style="572" customWidth="1"/>
    <col min="14" max="16384" width="9.109375" style="572"/>
  </cols>
  <sheetData>
    <row r="1" spans="1:13" x14ac:dyDescent="0.25">
      <c r="A1" s="1702" t="s">
        <v>1413</v>
      </c>
      <c r="B1" s="1702"/>
      <c r="C1" s="1702"/>
      <c r="D1" s="1702"/>
      <c r="E1" s="1702"/>
      <c r="F1" s="1702"/>
      <c r="G1" s="1702"/>
      <c r="H1" s="1702"/>
      <c r="I1" s="1702"/>
      <c r="J1" s="1702"/>
      <c r="K1" s="1702"/>
      <c r="L1" s="1702"/>
      <c r="M1" s="1702"/>
    </row>
    <row r="2" spans="1:13" ht="17.399999999999999" x14ac:dyDescent="0.25">
      <c r="B2" s="1703" t="s">
        <v>809</v>
      </c>
      <c r="C2" s="1703"/>
      <c r="D2" s="1703"/>
      <c r="E2" s="1703"/>
      <c r="F2" s="1703"/>
      <c r="G2" s="1703"/>
      <c r="H2" s="1703"/>
      <c r="I2" s="1703"/>
      <c r="J2" s="1703"/>
      <c r="K2" s="1703"/>
      <c r="L2" s="1703"/>
    </row>
    <row r="3" spans="1:13" ht="17.399999999999999" x14ac:dyDescent="0.3">
      <c r="B3" s="1704" t="s">
        <v>987</v>
      </c>
      <c r="C3" s="1704"/>
      <c r="D3" s="1704"/>
      <c r="E3" s="1704"/>
      <c r="F3" s="1704"/>
      <c r="G3" s="1704"/>
      <c r="H3" s="1704"/>
      <c r="I3" s="1704"/>
      <c r="J3" s="1704"/>
      <c r="K3" s="1704"/>
      <c r="L3" s="1704"/>
    </row>
    <row r="4" spans="1:13" ht="21" customHeight="1" thickBot="1" x14ac:dyDescent="0.3">
      <c r="F4" s="692"/>
      <c r="G4" s="692"/>
      <c r="H4" s="692"/>
      <c r="I4" s="692"/>
      <c r="J4" s="692"/>
      <c r="K4" s="692"/>
      <c r="L4" s="692"/>
      <c r="M4" s="65" t="s">
        <v>87</v>
      </c>
    </row>
    <row r="5" spans="1:13" ht="27" customHeight="1" x14ac:dyDescent="0.25">
      <c r="A5" s="1051"/>
      <c r="B5" s="1697" t="s">
        <v>810</v>
      </c>
      <c r="C5" s="1690" t="s">
        <v>1460</v>
      </c>
      <c r="D5" s="1697" t="s">
        <v>811</v>
      </c>
      <c r="E5" s="1683" t="s">
        <v>688</v>
      </c>
      <c r="F5" s="1683" t="s">
        <v>695</v>
      </c>
      <c r="G5" s="1697" t="s">
        <v>690</v>
      </c>
      <c r="H5" s="1697"/>
      <c r="I5" s="1697" t="s">
        <v>691</v>
      </c>
      <c r="J5" s="1697"/>
      <c r="K5" s="1697" t="s">
        <v>812</v>
      </c>
      <c r="L5" s="1683" t="s">
        <v>813</v>
      </c>
      <c r="M5" s="1700" t="s">
        <v>814</v>
      </c>
    </row>
    <row r="6" spans="1:13" ht="41.25" customHeight="1" thickBot="1" x14ac:dyDescent="0.3">
      <c r="A6" s="1052"/>
      <c r="B6" s="1698"/>
      <c r="C6" s="1691"/>
      <c r="D6" s="1698"/>
      <c r="E6" s="1689"/>
      <c r="F6" s="1684"/>
      <c r="G6" s="1136" t="s">
        <v>815</v>
      </c>
      <c r="H6" s="1136" t="s">
        <v>816</v>
      </c>
      <c r="I6" s="1136" t="s">
        <v>817</v>
      </c>
      <c r="J6" s="1136" t="s">
        <v>816</v>
      </c>
      <c r="K6" s="1698"/>
      <c r="L6" s="1699"/>
      <c r="M6" s="1701"/>
    </row>
    <row r="7" spans="1:13" ht="22.2" customHeight="1" x14ac:dyDescent="0.25">
      <c r="A7" s="1053">
        <v>2986</v>
      </c>
      <c r="B7" s="1049" t="s">
        <v>344</v>
      </c>
      <c r="C7" s="1050">
        <f>'2.mell'!E656</f>
        <v>295715</v>
      </c>
      <c r="D7" s="1050">
        <f>SUM(E7:M7)</f>
        <v>295715</v>
      </c>
      <c r="E7" s="1050">
        <v>241279</v>
      </c>
      <c r="F7" s="1050">
        <v>40560</v>
      </c>
      <c r="G7" s="1050"/>
      <c r="H7" s="1050"/>
      <c r="I7" s="1050"/>
      <c r="J7" s="1050"/>
      <c r="K7" s="1050">
        <v>13876</v>
      </c>
      <c r="L7" s="1050"/>
      <c r="M7" s="1054"/>
    </row>
    <row r="8" spans="1:13" ht="22.2" customHeight="1" x14ac:dyDescent="0.25">
      <c r="A8" s="1055">
        <v>2975</v>
      </c>
      <c r="B8" s="693" t="s">
        <v>1313</v>
      </c>
      <c r="C8" s="694">
        <v>186092</v>
      </c>
      <c r="D8" s="694">
        <f t="shared" ref="D8:D60" si="0">SUM(E8:M8)</f>
        <v>186092</v>
      </c>
      <c r="E8" s="694">
        <v>144182</v>
      </c>
      <c r="F8" s="694">
        <v>41910</v>
      </c>
      <c r="G8" s="694"/>
      <c r="H8" s="694"/>
      <c r="I8" s="694"/>
      <c r="J8" s="694"/>
      <c r="K8" s="694"/>
      <c r="L8" s="694"/>
      <c r="M8" s="1056"/>
    </row>
    <row r="9" spans="1:13" ht="22.2" customHeight="1" x14ac:dyDescent="0.25">
      <c r="A9" s="1055">
        <v>2850</v>
      </c>
      <c r="B9" s="693" t="s">
        <v>352</v>
      </c>
      <c r="C9" s="694">
        <v>7970</v>
      </c>
      <c r="D9" s="694">
        <f t="shared" si="0"/>
        <v>7970</v>
      </c>
      <c r="E9" s="694"/>
      <c r="F9" s="694">
        <v>7970</v>
      </c>
      <c r="G9" s="694"/>
      <c r="H9" s="694"/>
      <c r="I9" s="694"/>
      <c r="J9" s="694"/>
      <c r="K9" s="694"/>
      <c r="L9" s="694"/>
      <c r="M9" s="1056"/>
    </row>
    <row r="10" spans="1:13" ht="22.2" customHeight="1" x14ac:dyDescent="0.25">
      <c r="A10" s="1055">
        <v>2987</v>
      </c>
      <c r="B10" s="693" t="s">
        <v>343</v>
      </c>
      <c r="C10" s="694">
        <v>2929020</v>
      </c>
      <c r="D10" s="694">
        <f t="shared" si="0"/>
        <v>2929020</v>
      </c>
      <c r="E10" s="694">
        <v>879800</v>
      </c>
      <c r="F10" s="694">
        <v>89992</v>
      </c>
      <c r="G10" s="694">
        <v>1959228</v>
      </c>
      <c r="H10" s="694"/>
      <c r="I10" s="694"/>
      <c r="J10" s="694"/>
      <c r="K10" s="694"/>
      <c r="L10" s="694"/>
      <c r="M10" s="1056"/>
    </row>
    <row r="11" spans="1:13" ht="22.2" customHeight="1" x14ac:dyDescent="0.25">
      <c r="A11" s="1055">
        <v>2988</v>
      </c>
      <c r="B11" s="693" t="s">
        <v>1433</v>
      </c>
      <c r="C11" s="694">
        <f>SUM('2.mell'!E693)</f>
        <v>169131</v>
      </c>
      <c r="D11" s="694">
        <f t="shared" si="0"/>
        <v>169131</v>
      </c>
      <c r="E11" s="694"/>
      <c r="F11" s="694">
        <v>169131</v>
      </c>
      <c r="G11" s="694"/>
      <c r="H11" s="694"/>
      <c r="I11" s="694"/>
      <c r="J11" s="694"/>
      <c r="K11" s="694"/>
      <c r="L11" s="694"/>
      <c r="M11" s="1056"/>
    </row>
    <row r="12" spans="1:13" ht="22.2" customHeight="1" x14ac:dyDescent="0.25">
      <c r="A12" s="1055">
        <v>3011</v>
      </c>
      <c r="B12" s="693" t="s">
        <v>44</v>
      </c>
      <c r="C12" s="694">
        <f>'3 mell 1. pont'!E18</f>
        <v>51390</v>
      </c>
      <c r="D12" s="694">
        <f t="shared" si="0"/>
        <v>51390</v>
      </c>
      <c r="E12" s="694"/>
      <c r="F12" s="694">
        <v>47250</v>
      </c>
      <c r="G12" s="694"/>
      <c r="H12" s="694"/>
      <c r="I12" s="694"/>
      <c r="J12" s="694"/>
      <c r="K12" s="694">
        <v>4140</v>
      </c>
      <c r="L12" s="694"/>
      <c r="M12" s="1056"/>
    </row>
    <row r="13" spans="1:13" ht="22.2" customHeight="1" x14ac:dyDescent="0.25">
      <c r="A13" s="1055">
        <v>3059</v>
      </c>
      <c r="B13" s="693" t="s">
        <v>818</v>
      </c>
      <c r="C13" s="694">
        <f>'3 mell. 2. pont'!E59</f>
        <v>61486</v>
      </c>
      <c r="D13" s="694">
        <f t="shared" si="0"/>
        <v>61486</v>
      </c>
      <c r="E13" s="694"/>
      <c r="F13" s="694">
        <v>50000</v>
      </c>
      <c r="G13" s="694"/>
      <c r="H13" s="694"/>
      <c r="I13" s="694"/>
      <c r="J13" s="694"/>
      <c r="K13" s="694">
        <v>11486</v>
      </c>
      <c r="L13" s="694"/>
      <c r="M13" s="1056"/>
    </row>
    <row r="14" spans="1:13" ht="22.2" customHeight="1" x14ac:dyDescent="0.25">
      <c r="A14" s="1057">
        <v>3141</v>
      </c>
      <c r="B14" s="696" t="s">
        <v>202</v>
      </c>
      <c r="C14" s="691">
        <f>'3 mell. 2. pont'!E205</f>
        <v>17000</v>
      </c>
      <c r="D14" s="694">
        <f t="shared" si="0"/>
        <v>17000</v>
      </c>
      <c r="E14" s="694"/>
      <c r="F14" s="694">
        <v>17000</v>
      </c>
      <c r="G14" s="694"/>
      <c r="H14" s="694"/>
      <c r="I14" s="694"/>
      <c r="J14" s="694"/>
      <c r="K14" s="694"/>
      <c r="L14" s="694"/>
      <c r="M14" s="1056"/>
    </row>
    <row r="15" spans="1:13" ht="22.2" customHeight="1" x14ac:dyDescent="0.25">
      <c r="A15" s="1057">
        <v>3148</v>
      </c>
      <c r="B15" s="696" t="s">
        <v>256</v>
      </c>
      <c r="C15" s="691">
        <f>'3 mell. 2. pont'!E265</f>
        <v>1984</v>
      </c>
      <c r="D15" s="694">
        <f t="shared" si="0"/>
        <v>1984</v>
      </c>
      <c r="E15" s="694"/>
      <c r="F15" s="694">
        <v>1000</v>
      </c>
      <c r="G15" s="694"/>
      <c r="H15" s="694"/>
      <c r="I15" s="694"/>
      <c r="J15" s="694"/>
      <c r="K15" s="694">
        <v>984</v>
      </c>
      <c r="L15" s="694"/>
      <c r="M15" s="1056"/>
    </row>
    <row r="16" spans="1:13" ht="22.2" customHeight="1" x14ac:dyDescent="0.25">
      <c r="A16" s="1057">
        <v>3204</v>
      </c>
      <c r="B16" s="696" t="s">
        <v>1041</v>
      </c>
      <c r="C16" s="691">
        <f>'3 mell. 2. pont'!E309</f>
        <v>45321</v>
      </c>
      <c r="D16" s="694">
        <f t="shared" si="0"/>
        <v>45321</v>
      </c>
      <c r="E16" s="694"/>
      <c r="F16" s="694">
        <v>35000</v>
      </c>
      <c r="G16" s="694"/>
      <c r="H16" s="694"/>
      <c r="I16" s="694"/>
      <c r="J16" s="694"/>
      <c r="K16" s="694">
        <v>10321</v>
      </c>
      <c r="L16" s="694"/>
      <c r="M16" s="1056"/>
    </row>
    <row r="17" spans="1:13" ht="22.2" customHeight="1" x14ac:dyDescent="0.25">
      <c r="A17" s="1057">
        <v>3206</v>
      </c>
      <c r="B17" s="696" t="s">
        <v>220</v>
      </c>
      <c r="C17" s="691">
        <f>'3 mell. 2. pont'!E329</f>
        <v>22482</v>
      </c>
      <c r="D17" s="694">
        <f t="shared" si="0"/>
        <v>22482</v>
      </c>
      <c r="E17" s="694"/>
      <c r="F17" s="694">
        <v>20000</v>
      </c>
      <c r="G17" s="694"/>
      <c r="H17" s="694"/>
      <c r="I17" s="694"/>
      <c r="J17" s="694"/>
      <c r="K17" s="694">
        <v>2482</v>
      </c>
      <c r="L17" s="694"/>
      <c r="M17" s="1056"/>
    </row>
    <row r="18" spans="1:13" ht="22.2" customHeight="1" x14ac:dyDescent="0.25">
      <c r="A18" s="1057">
        <v>3207</v>
      </c>
      <c r="B18" s="696" t="s">
        <v>119</v>
      </c>
      <c r="C18" s="691">
        <f>'3 mell. 2. pont'!E339</f>
        <v>43698</v>
      </c>
      <c r="D18" s="694">
        <f t="shared" si="0"/>
        <v>43698</v>
      </c>
      <c r="E18" s="694"/>
      <c r="F18" s="694">
        <v>43575</v>
      </c>
      <c r="G18" s="694"/>
      <c r="H18" s="694"/>
      <c r="I18" s="694"/>
      <c r="J18" s="694"/>
      <c r="K18" s="694">
        <v>123</v>
      </c>
      <c r="L18" s="694"/>
      <c r="M18" s="1056"/>
    </row>
    <row r="19" spans="1:13" ht="22.2" customHeight="1" x14ac:dyDescent="0.25">
      <c r="A19" s="1057">
        <v>3209</v>
      </c>
      <c r="B19" s="696" t="s">
        <v>819</v>
      </c>
      <c r="C19" s="691">
        <f>'3 mell. 2. pont'!E359</f>
        <v>5000</v>
      </c>
      <c r="D19" s="694">
        <f t="shared" si="0"/>
        <v>5000</v>
      </c>
      <c r="E19" s="694"/>
      <c r="F19" s="694">
        <v>5000</v>
      </c>
      <c r="G19" s="694"/>
      <c r="H19" s="694"/>
      <c r="I19" s="694"/>
      <c r="J19" s="694"/>
      <c r="K19" s="694"/>
      <c r="L19" s="694"/>
      <c r="M19" s="1056"/>
    </row>
    <row r="20" spans="1:13" ht="22.2" customHeight="1" x14ac:dyDescent="0.25">
      <c r="A20" s="1057">
        <v>3217</v>
      </c>
      <c r="B20" s="696" t="s">
        <v>820</v>
      </c>
      <c r="C20" s="691">
        <f>'3 mell. 2. pont'!E416</f>
        <v>104427</v>
      </c>
      <c r="D20" s="694">
        <f t="shared" si="0"/>
        <v>104427</v>
      </c>
      <c r="E20" s="694"/>
      <c r="F20" s="694">
        <v>88900</v>
      </c>
      <c r="G20" s="694"/>
      <c r="H20" s="694"/>
      <c r="I20" s="694"/>
      <c r="J20" s="694"/>
      <c r="K20" s="694">
        <v>15527</v>
      </c>
      <c r="L20" s="694"/>
      <c r="M20" s="1056"/>
    </row>
    <row r="21" spans="1:13" ht="22.2" customHeight="1" x14ac:dyDescent="0.25">
      <c r="A21" s="1057">
        <v>3221</v>
      </c>
      <c r="B21" s="696" t="s">
        <v>282</v>
      </c>
      <c r="C21" s="691">
        <f>'3 mell. 2. pont'!E434</f>
        <v>2924</v>
      </c>
      <c r="D21" s="694">
        <f t="shared" si="0"/>
        <v>2924</v>
      </c>
      <c r="E21" s="574"/>
      <c r="F21" s="698">
        <v>2924</v>
      </c>
      <c r="G21" s="694"/>
      <c r="H21" s="694"/>
      <c r="I21" s="694"/>
      <c r="J21" s="694"/>
      <c r="K21" s="694"/>
      <c r="L21" s="694"/>
      <c r="M21" s="1056"/>
    </row>
    <row r="22" spans="1:13" ht="22.2" customHeight="1" x14ac:dyDescent="0.25">
      <c r="A22" s="1057">
        <v>3227</v>
      </c>
      <c r="B22" s="696" t="s">
        <v>264</v>
      </c>
      <c r="C22" s="691">
        <f>'3 mell. 2. pont'!E454</f>
        <v>21029</v>
      </c>
      <c r="D22" s="694">
        <f t="shared" si="0"/>
        <v>21029</v>
      </c>
      <c r="E22" s="574"/>
      <c r="F22" s="698">
        <v>2425</v>
      </c>
      <c r="G22" s="694"/>
      <c r="H22" s="694"/>
      <c r="I22" s="694">
        <v>13775</v>
      </c>
      <c r="J22" s="694"/>
      <c r="K22" s="694">
        <v>4829</v>
      </c>
      <c r="L22" s="694"/>
      <c r="M22" s="1056"/>
    </row>
    <row r="23" spans="1:13" ht="22.2" customHeight="1" x14ac:dyDescent="0.25">
      <c r="A23" s="1057">
        <v>3228</v>
      </c>
      <c r="B23" s="696" t="s">
        <v>274</v>
      </c>
      <c r="C23" s="691">
        <f>'3 mell. 2. pont'!E464</f>
        <v>1016</v>
      </c>
      <c r="D23" s="694">
        <f t="shared" si="0"/>
        <v>1016</v>
      </c>
      <c r="E23" s="574"/>
      <c r="F23" s="698">
        <v>1016</v>
      </c>
      <c r="G23" s="694"/>
      <c r="H23" s="694"/>
      <c r="I23" s="694"/>
      <c r="J23" s="694"/>
      <c r="K23" s="694"/>
      <c r="L23" s="694"/>
      <c r="M23" s="1056"/>
    </row>
    <row r="24" spans="1:13" ht="22.2" customHeight="1" x14ac:dyDescent="0.25">
      <c r="A24" s="1057">
        <v>3230</v>
      </c>
      <c r="B24" s="696" t="s">
        <v>1439</v>
      </c>
      <c r="C24" s="691">
        <f>SUM('3 mell. 2. pont'!E484)</f>
        <v>2583</v>
      </c>
      <c r="D24" s="694">
        <f t="shared" si="0"/>
        <v>2583</v>
      </c>
      <c r="E24" s="574"/>
      <c r="F24" s="698"/>
      <c r="G24" s="694"/>
      <c r="H24" s="694"/>
      <c r="I24" s="694"/>
      <c r="J24" s="694"/>
      <c r="K24" s="694">
        <v>2583</v>
      </c>
      <c r="L24" s="694"/>
      <c r="M24" s="1056"/>
    </row>
    <row r="25" spans="1:13" ht="22.2" customHeight="1" x14ac:dyDescent="0.25">
      <c r="A25" s="1057">
        <v>3231</v>
      </c>
      <c r="B25" s="696" t="s">
        <v>1440</v>
      </c>
      <c r="C25" s="691">
        <f>SUM('3 mell. 2. pont'!E494)</f>
        <v>1400</v>
      </c>
      <c r="D25" s="694">
        <f t="shared" si="0"/>
        <v>1400</v>
      </c>
      <c r="E25" s="574"/>
      <c r="F25" s="698"/>
      <c r="G25" s="694"/>
      <c r="H25" s="694"/>
      <c r="I25" s="694"/>
      <c r="J25" s="694"/>
      <c r="K25" s="694">
        <v>1400</v>
      </c>
      <c r="L25" s="694"/>
      <c r="M25" s="1056"/>
    </row>
    <row r="26" spans="1:13" ht="22.2" customHeight="1" x14ac:dyDescent="0.25">
      <c r="A26" s="1057">
        <v>3304</v>
      </c>
      <c r="B26" s="696" t="s">
        <v>265</v>
      </c>
      <c r="C26" s="691">
        <f>'3 mell. 2. pont'!E515</f>
        <v>0</v>
      </c>
      <c r="D26" s="694">
        <f t="shared" si="0"/>
        <v>0</v>
      </c>
      <c r="E26" s="694"/>
      <c r="F26" s="698">
        <v>0</v>
      </c>
      <c r="G26" s="694"/>
      <c r="H26" s="694"/>
      <c r="I26" s="694"/>
      <c r="J26" s="694"/>
      <c r="K26" s="694"/>
      <c r="L26" s="694"/>
      <c r="M26" s="1056"/>
    </row>
    <row r="27" spans="1:13" ht="22.2" customHeight="1" x14ac:dyDescent="0.25">
      <c r="A27" s="1057">
        <v>3306</v>
      </c>
      <c r="B27" s="696" t="s">
        <v>203</v>
      </c>
      <c r="C27" s="691">
        <f>'3 mell. 2. pont'!E525</f>
        <v>40005</v>
      </c>
      <c r="D27" s="694">
        <f t="shared" si="0"/>
        <v>40005</v>
      </c>
      <c r="E27" s="694"/>
      <c r="F27" s="694">
        <v>40000</v>
      </c>
      <c r="G27" s="694"/>
      <c r="H27" s="694"/>
      <c r="I27" s="694"/>
      <c r="J27" s="694"/>
      <c r="K27" s="694">
        <v>5</v>
      </c>
      <c r="L27" s="694"/>
      <c r="M27" s="1056"/>
    </row>
    <row r="28" spans="1:13" ht="22.2" customHeight="1" x14ac:dyDescent="0.25">
      <c r="A28" s="1057">
        <v>3307</v>
      </c>
      <c r="B28" s="696" t="s">
        <v>91</v>
      </c>
      <c r="C28" s="691">
        <f>'3 mell. 2. pont'!E535</f>
        <v>2500</v>
      </c>
      <c r="D28" s="694">
        <f t="shared" si="0"/>
        <v>2500</v>
      </c>
      <c r="E28" s="694"/>
      <c r="F28" s="694">
        <v>2500</v>
      </c>
      <c r="G28" s="694"/>
      <c r="H28" s="694"/>
      <c r="I28" s="694"/>
      <c r="J28" s="694"/>
      <c r="K28" s="694"/>
      <c r="L28" s="694"/>
      <c r="M28" s="1056"/>
    </row>
    <row r="29" spans="1:13" ht="22.2" customHeight="1" x14ac:dyDescent="0.25">
      <c r="A29" s="1057">
        <v>3308</v>
      </c>
      <c r="B29" s="696" t="s">
        <v>255</v>
      </c>
      <c r="C29" s="691">
        <f>'3 mell. 2. pont'!E545</f>
        <v>16791</v>
      </c>
      <c r="D29" s="694">
        <f t="shared" si="0"/>
        <v>16791</v>
      </c>
      <c r="E29" s="694"/>
      <c r="F29" s="694">
        <v>10000</v>
      </c>
      <c r="G29" s="694"/>
      <c r="H29" s="694"/>
      <c r="I29" s="694"/>
      <c r="J29" s="694"/>
      <c r="K29" s="694">
        <v>6791</v>
      </c>
      <c r="L29" s="694"/>
      <c r="M29" s="1056"/>
    </row>
    <row r="30" spans="1:13" ht="22.2" customHeight="1" x14ac:dyDescent="0.25">
      <c r="A30" s="1057">
        <v>3309</v>
      </c>
      <c r="B30" s="696" t="s">
        <v>1010</v>
      </c>
      <c r="C30" s="691">
        <v>0</v>
      </c>
      <c r="D30" s="694">
        <f t="shared" si="0"/>
        <v>0</v>
      </c>
      <c r="E30" s="695"/>
      <c r="F30" s="695">
        <v>0</v>
      </c>
      <c r="G30" s="694"/>
      <c r="H30" s="694"/>
      <c r="I30" s="694"/>
      <c r="J30" s="694"/>
      <c r="K30" s="694"/>
      <c r="L30" s="694"/>
      <c r="M30" s="1056"/>
    </row>
    <row r="31" spans="1:13" ht="22.2" customHeight="1" x14ac:dyDescent="0.25">
      <c r="A31" s="1057">
        <v>3313</v>
      </c>
      <c r="B31" s="699" t="s">
        <v>821</v>
      </c>
      <c r="C31" s="691">
        <f>'3 mell. 2. pont'!E585</f>
        <v>13075</v>
      </c>
      <c r="D31" s="694">
        <f t="shared" si="0"/>
        <v>13075</v>
      </c>
      <c r="E31" s="694"/>
      <c r="F31" s="694">
        <v>13000</v>
      </c>
      <c r="G31" s="694"/>
      <c r="H31" s="694"/>
      <c r="I31" s="694"/>
      <c r="J31" s="694"/>
      <c r="K31" s="694">
        <v>75</v>
      </c>
      <c r="L31" s="694"/>
      <c r="M31" s="1056"/>
    </row>
    <row r="32" spans="1:13" ht="22.2" customHeight="1" x14ac:dyDescent="0.25">
      <c r="A32" s="1057">
        <v>3323</v>
      </c>
      <c r="B32" s="575" t="s">
        <v>135</v>
      </c>
      <c r="C32" s="691">
        <f>SUM('3 mell. 2. pont'!E615)</f>
        <v>12000</v>
      </c>
      <c r="D32" s="694">
        <f t="shared" si="0"/>
        <v>12000</v>
      </c>
      <c r="E32" s="694"/>
      <c r="F32" s="694">
        <v>12000</v>
      </c>
      <c r="G32" s="694"/>
      <c r="H32" s="694"/>
      <c r="I32" s="694"/>
      <c r="J32" s="694"/>
      <c r="K32" s="694"/>
      <c r="L32" s="694"/>
      <c r="M32" s="1056"/>
    </row>
    <row r="33" spans="1:13" ht="22.2" customHeight="1" x14ac:dyDescent="0.25">
      <c r="A33" s="1057">
        <v>3325</v>
      </c>
      <c r="B33" s="696" t="s">
        <v>822</v>
      </c>
      <c r="C33" s="691">
        <f>'3 mell. 2. pont'!E625</f>
        <v>10000</v>
      </c>
      <c r="D33" s="694">
        <f t="shared" si="0"/>
        <v>10000</v>
      </c>
      <c r="E33" s="695"/>
      <c r="F33" s="695">
        <v>10000</v>
      </c>
      <c r="G33" s="694"/>
      <c r="H33" s="694"/>
      <c r="I33" s="694"/>
      <c r="J33" s="694"/>
      <c r="K33" s="694"/>
      <c r="L33" s="694"/>
      <c r="M33" s="1056"/>
    </row>
    <row r="34" spans="1:13" ht="22.2" customHeight="1" x14ac:dyDescent="0.25">
      <c r="A34" s="1057">
        <v>3340</v>
      </c>
      <c r="B34" s="696" t="s">
        <v>162</v>
      </c>
      <c r="C34" s="691">
        <f>'3 mell. 2. pont'!E635</f>
        <v>11983</v>
      </c>
      <c r="D34" s="694">
        <f t="shared" si="0"/>
        <v>11983</v>
      </c>
      <c r="E34" s="695"/>
      <c r="F34" s="695">
        <v>9000</v>
      </c>
      <c r="G34" s="694"/>
      <c r="H34" s="694"/>
      <c r="I34" s="694"/>
      <c r="J34" s="694"/>
      <c r="K34" s="694">
        <v>2983</v>
      </c>
      <c r="L34" s="694"/>
      <c r="M34" s="1056"/>
    </row>
    <row r="35" spans="1:13" ht="22.2" customHeight="1" x14ac:dyDescent="0.25">
      <c r="A35" s="1057">
        <v>3352</v>
      </c>
      <c r="B35" s="696" t="s">
        <v>823</v>
      </c>
      <c r="C35" s="691">
        <f>'3 mell. 2. pont'!E745</f>
        <v>38469</v>
      </c>
      <c r="D35" s="694">
        <f t="shared" si="0"/>
        <v>38469</v>
      </c>
      <c r="E35" s="694"/>
      <c r="F35" s="694">
        <v>25000</v>
      </c>
      <c r="G35" s="694"/>
      <c r="H35" s="694"/>
      <c r="I35" s="694"/>
      <c r="J35" s="694"/>
      <c r="K35" s="694">
        <v>13469</v>
      </c>
      <c r="L35" s="694"/>
      <c r="M35" s="1056"/>
    </row>
    <row r="36" spans="1:13" ht="22.2" customHeight="1" x14ac:dyDescent="0.25">
      <c r="A36" s="1057">
        <v>3343</v>
      </c>
      <c r="B36" s="696" t="s">
        <v>224</v>
      </c>
      <c r="C36" s="691">
        <f>'3 mell. 2. pont'!E665</f>
        <v>13500</v>
      </c>
      <c r="D36" s="694">
        <f t="shared" si="0"/>
        <v>13500</v>
      </c>
      <c r="E36" s="694"/>
      <c r="F36" s="694">
        <v>13500</v>
      </c>
      <c r="G36" s="694"/>
      <c r="H36" s="694"/>
      <c r="I36" s="694"/>
      <c r="J36" s="694"/>
      <c r="K36" s="694"/>
      <c r="L36" s="694"/>
      <c r="M36" s="1056"/>
    </row>
    <row r="37" spans="1:13" ht="22.2" customHeight="1" x14ac:dyDescent="0.25">
      <c r="A37" s="1057">
        <v>3353</v>
      </c>
      <c r="B37" s="696" t="s">
        <v>210</v>
      </c>
      <c r="C37" s="691">
        <f>'3 mell. 2. pont'!E755</f>
        <v>2912</v>
      </c>
      <c r="D37" s="694">
        <f t="shared" si="0"/>
        <v>2912</v>
      </c>
      <c r="E37" s="694"/>
      <c r="F37" s="694">
        <v>1500</v>
      </c>
      <c r="G37" s="694"/>
      <c r="H37" s="694"/>
      <c r="I37" s="694"/>
      <c r="J37" s="694"/>
      <c r="K37" s="694">
        <v>1412</v>
      </c>
      <c r="L37" s="694"/>
      <c r="M37" s="1056"/>
    </row>
    <row r="38" spans="1:13" ht="22.2" customHeight="1" x14ac:dyDescent="0.25">
      <c r="A38" s="1057">
        <v>3355</v>
      </c>
      <c r="B38" s="696" t="s">
        <v>824</v>
      </c>
      <c r="C38" s="691">
        <f>'3 mell. 2. pont'!E765</f>
        <v>34730</v>
      </c>
      <c r="D38" s="694">
        <f t="shared" si="0"/>
        <v>34730</v>
      </c>
      <c r="E38" s="694"/>
      <c r="F38" s="694">
        <v>25000</v>
      </c>
      <c r="G38" s="694"/>
      <c r="H38" s="694"/>
      <c r="I38" s="694"/>
      <c r="J38" s="694"/>
      <c r="K38" s="694">
        <v>9730</v>
      </c>
      <c r="L38" s="694"/>
      <c r="M38" s="1056"/>
    </row>
    <row r="39" spans="1:13" ht="36" customHeight="1" x14ac:dyDescent="0.25">
      <c r="A39" s="1057">
        <v>3356</v>
      </c>
      <c r="B39" s="700" t="s">
        <v>825</v>
      </c>
      <c r="C39" s="691">
        <v>0</v>
      </c>
      <c r="D39" s="694">
        <f t="shared" si="0"/>
        <v>0</v>
      </c>
      <c r="E39" s="694"/>
      <c r="F39" s="694"/>
      <c r="G39" s="694"/>
      <c r="H39" s="694"/>
      <c r="I39" s="694"/>
      <c r="J39" s="694"/>
      <c r="K39" s="694"/>
      <c r="L39" s="694"/>
      <c r="M39" s="1056"/>
    </row>
    <row r="40" spans="1:13" ht="22.2" customHeight="1" x14ac:dyDescent="0.25">
      <c r="A40" s="1057">
        <v>3411</v>
      </c>
      <c r="B40" s="696" t="s">
        <v>576</v>
      </c>
      <c r="C40" s="691">
        <f>'3 mell. 2. pont'!E787</f>
        <v>25000</v>
      </c>
      <c r="D40" s="694">
        <f t="shared" si="0"/>
        <v>25000</v>
      </c>
      <c r="E40" s="694"/>
      <c r="F40" s="694">
        <v>25000</v>
      </c>
      <c r="G40" s="694"/>
      <c r="H40" s="694"/>
      <c r="I40" s="694"/>
      <c r="J40" s="694"/>
      <c r="K40" s="694"/>
      <c r="L40" s="694"/>
      <c r="M40" s="1056"/>
    </row>
    <row r="41" spans="1:13" ht="22.2" customHeight="1" x14ac:dyDescent="0.25">
      <c r="A41" s="1057">
        <v>3412</v>
      </c>
      <c r="B41" s="700" t="s">
        <v>147</v>
      </c>
      <c r="C41" s="691">
        <f>'3 mell. 2. pont'!E797</f>
        <v>47507</v>
      </c>
      <c r="D41" s="694">
        <f t="shared" si="0"/>
        <v>47507</v>
      </c>
      <c r="E41" s="694"/>
      <c r="F41" s="694">
        <v>37000</v>
      </c>
      <c r="G41" s="694"/>
      <c r="H41" s="694"/>
      <c r="I41" s="694"/>
      <c r="J41" s="694"/>
      <c r="K41" s="694">
        <v>10507</v>
      </c>
      <c r="L41" s="694"/>
      <c r="M41" s="1056"/>
    </row>
    <row r="42" spans="1:13" ht="22.2" customHeight="1" x14ac:dyDescent="0.25">
      <c r="A42" s="1057">
        <v>3415</v>
      </c>
      <c r="B42" s="700" t="s">
        <v>244</v>
      </c>
      <c r="C42" s="691">
        <f>'3 mell. 2. pont'!E817</f>
        <v>10900</v>
      </c>
      <c r="D42" s="694">
        <f t="shared" si="0"/>
        <v>10900</v>
      </c>
      <c r="E42" s="694"/>
      <c r="F42" s="694">
        <v>9400</v>
      </c>
      <c r="G42" s="694"/>
      <c r="H42" s="694"/>
      <c r="I42" s="694"/>
      <c r="J42" s="694"/>
      <c r="K42" s="694">
        <v>1500</v>
      </c>
      <c r="L42" s="694"/>
      <c r="M42" s="1056"/>
    </row>
    <row r="43" spans="1:13" ht="22.2" customHeight="1" x14ac:dyDescent="0.25">
      <c r="A43" s="1057">
        <v>3416</v>
      </c>
      <c r="B43" s="696" t="s">
        <v>82</v>
      </c>
      <c r="C43" s="691">
        <f>'3 mell. 2. pont'!E827</f>
        <v>20000</v>
      </c>
      <c r="D43" s="694">
        <f t="shared" si="0"/>
        <v>20000</v>
      </c>
      <c r="E43" s="694"/>
      <c r="F43" s="694">
        <v>20000</v>
      </c>
      <c r="G43" s="694"/>
      <c r="H43" s="694"/>
      <c r="I43" s="694"/>
      <c r="J43" s="694"/>
      <c r="K43" s="694"/>
      <c r="L43" s="694"/>
      <c r="M43" s="1056"/>
    </row>
    <row r="44" spans="1:13" ht="22.2" customHeight="1" x14ac:dyDescent="0.25">
      <c r="A44" s="1057">
        <v>3421</v>
      </c>
      <c r="B44" s="696" t="s">
        <v>153</v>
      </c>
      <c r="C44" s="691">
        <f>'3 mell. 2. pont'!E838</f>
        <v>56279</v>
      </c>
      <c r="D44" s="694">
        <f t="shared" si="0"/>
        <v>56279</v>
      </c>
      <c r="E44" s="694"/>
      <c r="F44" s="694">
        <v>38815</v>
      </c>
      <c r="G44" s="694"/>
      <c r="H44" s="694"/>
      <c r="I44" s="694"/>
      <c r="J44" s="694"/>
      <c r="K44" s="694">
        <v>17464</v>
      </c>
      <c r="L44" s="694"/>
      <c r="M44" s="1056"/>
    </row>
    <row r="45" spans="1:13" ht="22.2" customHeight="1" x14ac:dyDescent="0.25">
      <c r="A45" s="1057">
        <v>3422</v>
      </c>
      <c r="B45" s="696" t="s">
        <v>826</v>
      </c>
      <c r="C45" s="691">
        <f>'3 mell. 2. pont'!E848</f>
        <v>21623</v>
      </c>
      <c r="D45" s="694">
        <f t="shared" si="0"/>
        <v>21623</v>
      </c>
      <c r="E45" s="694"/>
      <c r="F45" s="694">
        <v>16000</v>
      </c>
      <c r="G45" s="694"/>
      <c r="H45" s="694"/>
      <c r="I45" s="694"/>
      <c r="J45" s="694"/>
      <c r="K45" s="694">
        <v>5623</v>
      </c>
      <c r="L45" s="694"/>
      <c r="M45" s="1056"/>
    </row>
    <row r="46" spans="1:13" ht="22.2" customHeight="1" x14ac:dyDescent="0.25">
      <c r="A46" s="1057">
        <v>3423</v>
      </c>
      <c r="B46" s="696" t="s">
        <v>62</v>
      </c>
      <c r="C46" s="691">
        <f>'3 mell. 2. pont'!E858</f>
        <v>25841</v>
      </c>
      <c r="D46" s="694">
        <f t="shared" si="0"/>
        <v>25841</v>
      </c>
      <c r="E46" s="694"/>
      <c r="F46" s="694">
        <v>20000</v>
      </c>
      <c r="G46" s="694"/>
      <c r="H46" s="694"/>
      <c r="I46" s="694"/>
      <c r="J46" s="694"/>
      <c r="K46" s="694">
        <v>5841</v>
      </c>
      <c r="L46" s="694"/>
      <c r="M46" s="1056"/>
    </row>
    <row r="47" spans="1:13" ht="22.2" customHeight="1" x14ac:dyDescent="0.25">
      <c r="A47" s="1057">
        <v>3424</v>
      </c>
      <c r="B47" s="696" t="s">
        <v>827</v>
      </c>
      <c r="C47" s="691">
        <f>'3 mell. 2. pont'!E868</f>
        <v>47538</v>
      </c>
      <c r="D47" s="694">
        <f t="shared" si="0"/>
        <v>47538</v>
      </c>
      <c r="E47" s="697"/>
      <c r="F47" s="697">
        <v>43728</v>
      </c>
      <c r="G47" s="694"/>
      <c r="H47" s="694"/>
      <c r="I47" s="694"/>
      <c r="J47" s="694"/>
      <c r="K47" s="694">
        <v>3810</v>
      </c>
      <c r="L47" s="694"/>
      <c r="M47" s="1056"/>
    </row>
    <row r="48" spans="1:13" ht="22.2" customHeight="1" x14ac:dyDescent="0.25">
      <c r="A48" s="1057">
        <v>3433</v>
      </c>
      <c r="B48" s="696" t="s">
        <v>242</v>
      </c>
      <c r="C48" s="691">
        <f>'3 mell. 2. pont'!E918</f>
        <v>59539</v>
      </c>
      <c r="D48" s="694">
        <f t="shared" si="0"/>
        <v>59539</v>
      </c>
      <c r="E48" s="694"/>
      <c r="F48" s="694">
        <v>40000</v>
      </c>
      <c r="G48" s="694"/>
      <c r="H48" s="694"/>
      <c r="I48" s="694"/>
      <c r="J48" s="694"/>
      <c r="K48" s="694">
        <v>19539</v>
      </c>
      <c r="L48" s="694"/>
      <c r="M48" s="1056"/>
    </row>
    <row r="49" spans="1:13" ht="22.2" customHeight="1" x14ac:dyDescent="0.25">
      <c r="A49" s="1057">
        <v>3434</v>
      </c>
      <c r="B49" s="696" t="s">
        <v>1314</v>
      </c>
      <c r="C49" s="691">
        <f>SUM('3 mell. 2. pont'!E928)</f>
        <v>3000</v>
      </c>
      <c r="D49" s="694">
        <f t="shared" si="0"/>
        <v>3000</v>
      </c>
      <c r="E49" s="694"/>
      <c r="F49" s="694">
        <v>3000</v>
      </c>
      <c r="G49" s="694"/>
      <c r="H49" s="694"/>
      <c r="I49" s="694"/>
      <c r="J49" s="694"/>
      <c r="K49" s="694"/>
      <c r="L49" s="694"/>
      <c r="M49" s="1056"/>
    </row>
    <row r="50" spans="1:13" ht="22.2" customHeight="1" x14ac:dyDescent="0.25">
      <c r="A50" s="1057">
        <v>3923</v>
      </c>
      <c r="B50" s="696" t="s">
        <v>257</v>
      </c>
      <c r="C50" s="691">
        <f>'3 mell 3. pont'!E13</f>
        <v>5000</v>
      </c>
      <c r="D50" s="694">
        <f t="shared" si="0"/>
        <v>5000</v>
      </c>
      <c r="E50" s="694"/>
      <c r="F50" s="694">
        <v>5000</v>
      </c>
      <c r="G50" s="694"/>
      <c r="H50" s="694"/>
      <c r="I50" s="694"/>
      <c r="J50" s="694"/>
      <c r="K50" s="694"/>
      <c r="L50" s="694"/>
      <c r="M50" s="1056"/>
    </row>
    <row r="51" spans="1:13" ht="22.2" customHeight="1" x14ac:dyDescent="0.25">
      <c r="A51" s="1057">
        <v>3924</v>
      </c>
      <c r="B51" s="696" t="s">
        <v>828</v>
      </c>
      <c r="C51" s="691">
        <f>'3 mell 3. pont'!E14</f>
        <v>30750</v>
      </c>
      <c r="D51" s="694">
        <f t="shared" si="0"/>
        <v>30750</v>
      </c>
      <c r="E51" s="694"/>
      <c r="F51" s="694">
        <v>30000</v>
      </c>
      <c r="G51" s="694"/>
      <c r="H51" s="694"/>
      <c r="I51" s="694"/>
      <c r="J51" s="694"/>
      <c r="K51" s="694">
        <v>750</v>
      </c>
      <c r="L51" s="694"/>
      <c r="M51" s="1056"/>
    </row>
    <row r="52" spans="1:13" ht="22.2" customHeight="1" x14ac:dyDescent="0.25">
      <c r="A52" s="1057">
        <v>3926</v>
      </c>
      <c r="B52" s="696" t="s">
        <v>829</v>
      </c>
      <c r="C52" s="691">
        <f>'3 mell 3. pont'!E16</f>
        <v>5000</v>
      </c>
      <c r="D52" s="694">
        <f t="shared" si="0"/>
        <v>5000</v>
      </c>
      <c r="E52" s="694"/>
      <c r="F52" s="694">
        <v>3000</v>
      </c>
      <c r="G52" s="694"/>
      <c r="H52" s="694"/>
      <c r="I52" s="694"/>
      <c r="J52" s="694"/>
      <c r="K52" s="694">
        <v>2000</v>
      </c>
      <c r="L52" s="694"/>
      <c r="M52" s="1056"/>
    </row>
    <row r="53" spans="1:13" ht="22.2" customHeight="1" x14ac:dyDescent="0.25">
      <c r="A53" s="1057">
        <v>3931</v>
      </c>
      <c r="B53" s="696" t="s">
        <v>74</v>
      </c>
      <c r="C53" s="691">
        <f>'3 mell 3. pont'!E26</f>
        <v>2125</v>
      </c>
      <c r="D53" s="694">
        <f t="shared" si="0"/>
        <v>2125</v>
      </c>
      <c r="E53" s="694"/>
      <c r="F53" s="694">
        <v>2000</v>
      </c>
      <c r="G53" s="694"/>
      <c r="H53" s="694"/>
      <c r="I53" s="694"/>
      <c r="J53" s="694"/>
      <c r="K53" s="694">
        <v>125</v>
      </c>
      <c r="L53" s="694"/>
      <c r="M53" s="1056"/>
    </row>
    <row r="54" spans="1:13" ht="22.2" customHeight="1" x14ac:dyDescent="0.25">
      <c r="A54" s="1057">
        <v>3932</v>
      </c>
      <c r="B54" s="696" t="s">
        <v>830</v>
      </c>
      <c r="C54" s="691">
        <f>'3 mell 3. pont'!E27</f>
        <v>15000</v>
      </c>
      <c r="D54" s="694">
        <f t="shared" si="0"/>
        <v>15000</v>
      </c>
      <c r="E54" s="694"/>
      <c r="F54" s="694">
        <v>15000</v>
      </c>
      <c r="G54" s="694"/>
      <c r="H54" s="694"/>
      <c r="I54" s="694"/>
      <c r="J54" s="694"/>
      <c r="K54" s="694"/>
      <c r="L54" s="694"/>
      <c r="M54" s="1056"/>
    </row>
    <row r="55" spans="1:13" ht="22.2" customHeight="1" x14ac:dyDescent="0.25">
      <c r="A55" s="1058">
        <v>3943</v>
      </c>
      <c r="B55" s="691" t="s">
        <v>0</v>
      </c>
      <c r="C55" s="691">
        <f>'3 mell 3. pont'!E33</f>
        <v>1000</v>
      </c>
      <c r="D55" s="694">
        <f t="shared" si="0"/>
        <v>1000</v>
      </c>
      <c r="E55" s="694"/>
      <c r="F55" s="694">
        <v>1000</v>
      </c>
      <c r="G55" s="694"/>
      <c r="H55" s="694"/>
      <c r="I55" s="694"/>
      <c r="J55" s="694"/>
      <c r="K55" s="694"/>
      <c r="L55" s="694"/>
      <c r="M55" s="1056"/>
    </row>
    <row r="56" spans="1:13" ht="22.2" customHeight="1" x14ac:dyDescent="0.25">
      <c r="A56" s="1058">
        <v>3972</v>
      </c>
      <c r="B56" s="691" t="s">
        <v>831</v>
      </c>
      <c r="C56" s="691">
        <f>'3 mell 3. pont'!E40</f>
        <v>53259</v>
      </c>
      <c r="D56" s="694">
        <f t="shared" si="0"/>
        <v>53259</v>
      </c>
      <c r="E56" s="694"/>
      <c r="F56" s="694">
        <v>50000</v>
      </c>
      <c r="G56" s="694"/>
      <c r="H56" s="694"/>
      <c r="I56" s="694"/>
      <c r="J56" s="694"/>
      <c r="K56" s="694">
        <v>3259</v>
      </c>
      <c r="L56" s="694"/>
      <c r="M56" s="1056"/>
    </row>
    <row r="57" spans="1:13" ht="22.2" customHeight="1" x14ac:dyDescent="0.25">
      <c r="A57" s="1058">
        <v>3973</v>
      </c>
      <c r="B57" s="691" t="s">
        <v>832</v>
      </c>
      <c r="C57" s="691">
        <f>'3 mell 3. pont'!E44</f>
        <v>13908</v>
      </c>
      <c r="D57" s="694">
        <f t="shared" si="0"/>
        <v>13908</v>
      </c>
      <c r="E57" s="694"/>
      <c r="F57" s="694">
        <v>12391</v>
      </c>
      <c r="G57" s="694"/>
      <c r="H57" s="694"/>
      <c r="I57" s="694"/>
      <c r="J57" s="694"/>
      <c r="K57" s="694">
        <v>1517</v>
      </c>
      <c r="L57" s="694"/>
      <c r="M57" s="1056"/>
    </row>
    <row r="58" spans="1:13" ht="22.2" customHeight="1" x14ac:dyDescent="0.25">
      <c r="A58" s="1058">
        <v>3975</v>
      </c>
      <c r="B58" s="691" t="s">
        <v>833</v>
      </c>
      <c r="C58" s="691">
        <f>'3 mell 3. pont'!E49</f>
        <v>15000</v>
      </c>
      <c r="D58" s="694">
        <f t="shared" si="0"/>
        <v>15000</v>
      </c>
      <c r="E58" s="694"/>
      <c r="F58" s="694">
        <v>15000</v>
      </c>
      <c r="G58" s="694"/>
      <c r="H58" s="694"/>
      <c r="I58" s="694"/>
      <c r="J58" s="694"/>
      <c r="K58" s="694"/>
      <c r="L58" s="694"/>
      <c r="M58" s="1056"/>
    </row>
    <row r="59" spans="1:13" ht="22.2" customHeight="1" x14ac:dyDescent="0.25">
      <c r="A59" s="1058">
        <v>5010</v>
      </c>
      <c r="B59" s="602" t="s">
        <v>575</v>
      </c>
      <c r="C59" s="691">
        <f>'5.mell. '!E15</f>
        <v>20000</v>
      </c>
      <c r="D59" s="694">
        <f t="shared" si="0"/>
        <v>20000</v>
      </c>
      <c r="E59" s="694"/>
      <c r="F59" s="694">
        <v>20000</v>
      </c>
      <c r="G59" s="694"/>
      <c r="H59" s="694"/>
      <c r="I59" s="694"/>
      <c r="J59" s="694"/>
      <c r="K59" s="694"/>
      <c r="L59" s="694"/>
      <c r="M59" s="1056"/>
    </row>
    <row r="60" spans="1:13" ht="22.2" customHeight="1" x14ac:dyDescent="0.25">
      <c r="A60" s="1058">
        <v>5033</v>
      </c>
      <c r="B60" s="691" t="s">
        <v>898</v>
      </c>
      <c r="C60" s="691">
        <f>'5.mell. '!E35</f>
        <v>73302</v>
      </c>
      <c r="D60" s="694">
        <f t="shared" si="0"/>
        <v>73302</v>
      </c>
      <c r="E60" s="694"/>
      <c r="F60" s="694">
        <v>73302</v>
      </c>
      <c r="G60" s="694"/>
      <c r="H60" s="694"/>
      <c r="I60" s="694"/>
      <c r="J60" s="694"/>
      <c r="K60" s="694"/>
      <c r="L60" s="694"/>
      <c r="M60" s="1056"/>
    </row>
    <row r="61" spans="1:13" ht="22.2" customHeight="1" thickBot="1" x14ac:dyDescent="0.3">
      <c r="A61" s="1059"/>
      <c r="B61" s="1060"/>
      <c r="C61" s="1060"/>
      <c r="D61" s="1061"/>
      <c r="E61" s="1061"/>
      <c r="F61" s="1062"/>
      <c r="G61" s="1061"/>
      <c r="H61" s="1061"/>
      <c r="I61" s="1061"/>
      <c r="J61" s="1061"/>
      <c r="K61" s="1061"/>
      <c r="L61" s="1061"/>
      <c r="M61" s="1063"/>
    </row>
    <row r="62" spans="1:13" ht="21" customHeight="1" thickBot="1" x14ac:dyDescent="0.3">
      <c r="A62" s="1102"/>
      <c r="B62" s="1103" t="s">
        <v>69</v>
      </c>
      <c r="C62" s="1104">
        <f t="shared" ref="C62" si="1">SUM(C7:C61)</f>
        <v>4717204</v>
      </c>
      <c r="D62" s="1104">
        <f t="shared" ref="D62:M62" si="2">SUM(D7:D61)</f>
        <v>4717204</v>
      </c>
      <c r="E62" s="1104">
        <f t="shared" si="2"/>
        <v>1265261</v>
      </c>
      <c r="F62" s="1104">
        <f t="shared" si="2"/>
        <v>1304789</v>
      </c>
      <c r="G62" s="1104">
        <f t="shared" si="2"/>
        <v>1959228</v>
      </c>
      <c r="H62" s="1104">
        <f t="shared" si="2"/>
        <v>0</v>
      </c>
      <c r="I62" s="1104">
        <f t="shared" si="2"/>
        <v>13775</v>
      </c>
      <c r="J62" s="1104">
        <f t="shared" si="2"/>
        <v>0</v>
      </c>
      <c r="K62" s="1104">
        <f t="shared" si="2"/>
        <v>174151</v>
      </c>
      <c r="L62" s="1104">
        <f t="shared" si="2"/>
        <v>0</v>
      </c>
      <c r="M62" s="1105">
        <f t="shared" si="2"/>
        <v>0</v>
      </c>
    </row>
    <row r="64" spans="1:13" x14ac:dyDescent="0.25">
      <c r="C64" s="576"/>
      <c r="D64" s="576"/>
      <c r="E64" s="576"/>
    </row>
    <row r="65" spans="3:5" x14ac:dyDescent="0.25">
      <c r="E65" s="576"/>
    </row>
    <row r="66" spans="3:5" x14ac:dyDescent="0.25">
      <c r="C66" s="576"/>
      <c r="E66" s="576"/>
    </row>
  </sheetData>
  <mergeCells count="13">
    <mergeCell ref="K5:K6"/>
    <mergeCell ref="L5:L6"/>
    <mergeCell ref="M5:M6"/>
    <mergeCell ref="A1:M1"/>
    <mergeCell ref="B2:L2"/>
    <mergeCell ref="B3:L3"/>
    <mergeCell ref="B5:B6"/>
    <mergeCell ref="D5:D6"/>
    <mergeCell ref="E5:E6"/>
    <mergeCell ref="F5:F6"/>
    <mergeCell ref="G5:H5"/>
    <mergeCell ref="I5:J5"/>
    <mergeCell ref="C5:C6"/>
  </mergeCells>
  <pageMargins left="1.1811023622047245" right="0.78740157480314965" top="0.39370078740157483" bottom="0.19685039370078741" header="0.31496062992125984" footer="0"/>
  <pageSetup paperSize="9" scale="60" firstPageNumber="70" orientation="landscape" useFirstPageNumber="1" r:id="rId1"/>
  <headerFooter alignWithMargins="0">
    <oddFooter>&amp;C&amp;P. oldal</oddFooter>
  </headerFooter>
  <rowBreaks count="1" manualBreakCount="1">
    <brk id="4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4"/>
  <sheetViews>
    <sheetView zoomScaleNormal="100" zoomScaleSheetLayoutView="100" workbookViewId="0">
      <selection activeCell="G21" sqref="G21"/>
    </sheetView>
  </sheetViews>
  <sheetFormatPr defaultRowHeight="13.2" x14ac:dyDescent="0.25"/>
  <cols>
    <col min="1" max="1" width="6.21875" customWidth="1"/>
    <col min="2" max="2" width="45" customWidth="1"/>
    <col min="3" max="3" width="13.88671875" customWidth="1"/>
    <col min="4" max="4" width="14.88671875" customWidth="1"/>
    <col min="5" max="5" width="18.5546875" customWidth="1"/>
    <col min="6" max="6" width="17.6640625" customWidth="1"/>
    <col min="7" max="7" width="12" customWidth="1"/>
  </cols>
  <sheetData>
    <row r="3" spans="2:7" x14ac:dyDescent="0.25">
      <c r="B3" s="1705" t="s">
        <v>1414</v>
      </c>
      <c r="C3" s="1705"/>
      <c r="D3" s="1705"/>
      <c r="E3" s="1705"/>
      <c r="F3" s="1705"/>
      <c r="G3" s="1705"/>
    </row>
    <row r="4" spans="2:7" ht="18.75" customHeight="1" x14ac:dyDescent="0.3">
      <c r="B4" s="1706" t="s">
        <v>834</v>
      </c>
      <c r="C4" s="1706"/>
      <c r="D4" s="1706"/>
      <c r="E4" s="1706"/>
      <c r="F4" s="1706"/>
      <c r="G4" s="1706"/>
    </row>
    <row r="5" spans="2:7" ht="17.399999999999999" x14ac:dyDescent="0.3">
      <c r="B5" s="1707" t="s">
        <v>987</v>
      </c>
      <c r="C5" s="1707"/>
      <c r="D5" s="1707"/>
      <c r="E5" s="1707"/>
      <c r="F5" s="1707"/>
      <c r="G5" s="1707"/>
    </row>
    <row r="6" spans="2:7" ht="17.399999999999999" x14ac:dyDescent="0.3">
      <c r="B6" s="577"/>
      <c r="C6" s="577"/>
      <c r="D6" s="577"/>
      <c r="E6" s="577"/>
      <c r="F6" s="577"/>
    </row>
    <row r="7" spans="2:7" ht="13.8" thickBot="1" x14ac:dyDescent="0.3">
      <c r="G7" s="65" t="s">
        <v>87</v>
      </c>
    </row>
    <row r="8" spans="2:7" ht="132.75" customHeight="1" x14ac:dyDescent="0.25">
      <c r="B8" s="1064" t="s">
        <v>835</v>
      </c>
      <c r="C8" s="1065" t="s">
        <v>1067</v>
      </c>
      <c r="D8" s="1065" t="s">
        <v>811</v>
      </c>
      <c r="E8" s="1066" t="s">
        <v>836</v>
      </c>
      <c r="F8" s="1066" t="s">
        <v>837</v>
      </c>
      <c r="G8" s="1067" t="s">
        <v>838</v>
      </c>
    </row>
    <row r="9" spans="2:7" ht="13.8" x14ac:dyDescent="0.25">
      <c r="B9" s="1068" t="s">
        <v>115</v>
      </c>
      <c r="C9" s="573"/>
      <c r="D9" s="579"/>
      <c r="E9" s="578"/>
      <c r="F9" s="578"/>
      <c r="G9" s="1069"/>
    </row>
    <row r="10" spans="2:7" ht="23.25" customHeight="1" x14ac:dyDescent="0.25">
      <c r="B10" s="1070" t="s">
        <v>839</v>
      </c>
      <c r="C10" s="580">
        <v>789860</v>
      </c>
      <c r="D10" s="580">
        <v>789860</v>
      </c>
      <c r="E10" s="581"/>
      <c r="F10" s="581"/>
      <c r="G10" s="1071">
        <v>789860</v>
      </c>
    </row>
    <row r="11" spans="2:7" ht="18" customHeight="1" thickBot="1" x14ac:dyDescent="0.3">
      <c r="B11" s="1072"/>
      <c r="C11" s="1073"/>
      <c r="D11" s="1073"/>
      <c r="E11" s="1073"/>
      <c r="F11" s="1073"/>
      <c r="G11" s="1074"/>
    </row>
    <row r="12" spans="2:7" ht="23.25" customHeight="1" thickBot="1" x14ac:dyDescent="0.3">
      <c r="B12" s="1075" t="s">
        <v>69</v>
      </c>
      <c r="C12" s="1076">
        <f>SUM(C10:C11)</f>
        <v>789860</v>
      </c>
      <c r="D12" s="1076">
        <f>SUM(D10:D11)</f>
        <v>789860</v>
      </c>
      <c r="E12" s="1076">
        <f>SUM(E10:E11)</f>
        <v>0</v>
      </c>
      <c r="F12" s="1077"/>
      <c r="G12" s="1078">
        <f>SUM(G10:G11)</f>
        <v>789860</v>
      </c>
    </row>
    <row r="14" spans="2:7" x14ac:dyDescent="0.25">
      <c r="D14" s="27"/>
    </row>
  </sheetData>
  <mergeCells count="3">
    <mergeCell ref="B3:G3"/>
    <mergeCell ref="B4:G4"/>
    <mergeCell ref="B5:G5"/>
  </mergeCells>
  <pageMargins left="0.39370078740157483" right="0.39370078740157483" top="0.98425196850393704" bottom="0.98425196850393704" header="0.51181102362204722" footer="0.51181102362204722"/>
  <pageSetup paperSize="9" firstPageNumber="72" orientation="landscape" useFirstPageNumber="1" r:id="rId1"/>
  <headerFooter alignWithMargins="0">
    <oddFooter>&amp;C&amp;P.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Normal="100" zoomScaleSheetLayoutView="100" workbookViewId="0">
      <selection activeCell="G38" sqref="G38:G39"/>
    </sheetView>
  </sheetViews>
  <sheetFormatPr defaultColWidth="9.109375" defaultRowHeight="13.2" x14ac:dyDescent="0.25"/>
  <cols>
    <col min="1" max="1" width="9.109375" style="582"/>
    <col min="2" max="2" width="22.109375" style="582" customWidth="1"/>
    <col min="3" max="3" width="9.88671875" style="582" customWidth="1"/>
    <col min="4" max="4" width="10" style="582" customWidth="1"/>
    <col min="5" max="5" width="9.33203125" style="582" customWidth="1"/>
    <col min="6" max="6" width="8.88671875" style="582" customWidth="1"/>
    <col min="7" max="7" width="10.88671875" style="582" customWidth="1"/>
    <col min="8" max="8" width="9.5546875" style="582" customWidth="1"/>
    <col min="9" max="9" width="9.88671875" style="582" customWidth="1"/>
    <col min="10" max="11" width="10" style="582" customWidth="1"/>
    <col min="12" max="12" width="10.109375" style="582" customWidth="1"/>
    <col min="13" max="13" width="10.88671875" style="582" customWidth="1"/>
    <col min="14" max="14" width="9.88671875" style="582" customWidth="1"/>
    <col min="15" max="15" width="10.109375" style="582" customWidth="1"/>
    <col min="16" max="17" width="10.109375" style="582" bestFit="1" customWidth="1"/>
    <col min="18" max="16384" width="9.109375" style="582"/>
  </cols>
  <sheetData>
    <row r="1" spans="1:17" x14ac:dyDescent="0.25">
      <c r="A1" s="1708" t="s">
        <v>1415</v>
      </c>
      <c r="B1" s="1708"/>
      <c r="C1" s="1708"/>
      <c r="D1" s="1708"/>
      <c r="E1" s="1708"/>
      <c r="F1" s="1708"/>
      <c r="G1" s="1708"/>
      <c r="H1" s="1708"/>
      <c r="I1" s="1708"/>
      <c r="J1" s="1708"/>
      <c r="K1" s="1708"/>
      <c r="L1" s="1708"/>
      <c r="M1" s="1708"/>
      <c r="N1" s="1708"/>
      <c r="O1" s="1708"/>
    </row>
    <row r="2" spans="1:17" x14ac:dyDescent="0.25">
      <c r="A2" s="1708" t="s">
        <v>1053</v>
      </c>
      <c r="B2" s="1708"/>
      <c r="C2" s="1708"/>
      <c r="D2" s="1708"/>
      <c r="E2" s="1708"/>
      <c r="F2" s="1708"/>
      <c r="G2" s="1708"/>
      <c r="H2" s="1708"/>
      <c r="I2" s="1708"/>
      <c r="J2" s="1708"/>
      <c r="K2" s="1708"/>
      <c r="L2" s="1708"/>
      <c r="M2" s="1708"/>
      <c r="N2" s="1708"/>
      <c r="O2" s="1708"/>
    </row>
    <row r="3" spans="1:17" ht="13.8" thickBot="1" x14ac:dyDescent="0.3">
      <c r="A3" s="583"/>
      <c r="B3" s="583"/>
      <c r="C3" s="583"/>
      <c r="D3" s="583"/>
      <c r="E3" s="583"/>
      <c r="F3" s="583"/>
      <c r="G3" s="583"/>
      <c r="H3" s="583"/>
      <c r="I3" s="583"/>
      <c r="J3" s="583"/>
      <c r="K3" s="583"/>
      <c r="L3" s="583"/>
      <c r="M3" s="583"/>
      <c r="N3" s="583"/>
      <c r="O3" s="584" t="s">
        <v>87</v>
      </c>
    </row>
    <row r="4" spans="1:17" ht="15" customHeight="1" thickBot="1" x14ac:dyDescent="0.3">
      <c r="A4" s="1709" t="s">
        <v>76</v>
      </c>
      <c r="B4" s="1710"/>
      <c r="C4" s="1404" t="s">
        <v>840</v>
      </c>
      <c r="D4" s="1404" t="s">
        <v>841</v>
      </c>
      <c r="E4" s="1404" t="s">
        <v>842</v>
      </c>
      <c r="F4" s="1404" t="s">
        <v>843</v>
      </c>
      <c r="G4" s="1404" t="s">
        <v>844</v>
      </c>
      <c r="H4" s="1404" t="s">
        <v>845</v>
      </c>
      <c r="I4" s="1404" t="s">
        <v>846</v>
      </c>
      <c r="J4" s="1404" t="s">
        <v>847</v>
      </c>
      <c r="K4" s="1404" t="s">
        <v>848</v>
      </c>
      <c r="L4" s="1404" t="s">
        <v>849</v>
      </c>
      <c r="M4" s="1404" t="s">
        <v>850</v>
      </c>
      <c r="N4" s="1404" t="s">
        <v>851</v>
      </c>
      <c r="O4" s="1405" t="s">
        <v>85</v>
      </c>
    </row>
    <row r="5" spans="1:17" ht="15" customHeight="1" thickBot="1" x14ac:dyDescent="0.3">
      <c r="A5" s="1406" t="s">
        <v>852</v>
      </c>
      <c r="B5" s="585"/>
      <c r="C5" s="586"/>
      <c r="D5" s="586"/>
      <c r="E5" s="585"/>
      <c r="F5" s="585"/>
      <c r="G5" s="585"/>
      <c r="H5" s="585"/>
      <c r="I5" s="585"/>
      <c r="J5" s="585"/>
      <c r="K5" s="585"/>
      <c r="L5" s="585"/>
      <c r="M5" s="585"/>
      <c r="N5" s="585"/>
      <c r="O5" s="1407"/>
    </row>
    <row r="6" spans="1:17" ht="15" customHeight="1" x14ac:dyDescent="0.25">
      <c r="A6" s="1711" t="s">
        <v>853</v>
      </c>
      <c r="B6" s="1712"/>
      <c r="C6" s="1715">
        <f>$O$6/12</f>
        <v>658755</v>
      </c>
      <c r="D6" s="1715">
        <f t="shared" ref="D6:N6" si="0">$O$6/12</f>
        <v>658755</v>
      </c>
      <c r="E6" s="1715">
        <f t="shared" si="0"/>
        <v>658755</v>
      </c>
      <c r="F6" s="1715">
        <f t="shared" si="0"/>
        <v>658755</v>
      </c>
      <c r="G6" s="1715">
        <f t="shared" si="0"/>
        <v>658755</v>
      </c>
      <c r="H6" s="1715">
        <f t="shared" si="0"/>
        <v>658755</v>
      </c>
      <c r="I6" s="1715">
        <f t="shared" si="0"/>
        <v>658755</v>
      </c>
      <c r="J6" s="1715">
        <f t="shared" si="0"/>
        <v>658755</v>
      </c>
      <c r="K6" s="1715">
        <f t="shared" si="0"/>
        <v>658755</v>
      </c>
      <c r="L6" s="1715">
        <f t="shared" si="0"/>
        <v>658755</v>
      </c>
      <c r="M6" s="1715">
        <f t="shared" si="0"/>
        <v>658755</v>
      </c>
      <c r="N6" s="1715">
        <f t="shared" si="0"/>
        <v>658755</v>
      </c>
      <c r="O6" s="1717">
        <f>'1. mell 1. pont'!D15</f>
        <v>7905060</v>
      </c>
      <c r="P6" s="592"/>
      <c r="Q6" s="592"/>
    </row>
    <row r="7" spans="1:17" ht="13.5" customHeight="1" x14ac:dyDescent="0.25">
      <c r="A7" s="1713"/>
      <c r="B7" s="1714"/>
      <c r="C7" s="1716"/>
      <c r="D7" s="1716"/>
      <c r="E7" s="1716"/>
      <c r="F7" s="1716"/>
      <c r="G7" s="1716"/>
      <c r="H7" s="1716"/>
      <c r="I7" s="1716"/>
      <c r="J7" s="1716"/>
      <c r="K7" s="1716"/>
      <c r="L7" s="1716"/>
      <c r="M7" s="1716"/>
      <c r="N7" s="1716"/>
      <c r="O7" s="1718"/>
      <c r="P7" s="592"/>
    </row>
    <row r="8" spans="1:17" ht="12" customHeight="1" x14ac:dyDescent="0.25">
      <c r="A8" s="1720" t="s">
        <v>854</v>
      </c>
      <c r="B8" s="1725"/>
      <c r="C8" s="1715">
        <f>$O$8/12</f>
        <v>1614348.5833333333</v>
      </c>
      <c r="D8" s="1715">
        <f t="shared" ref="D8:N8" si="1">$O$8/12</f>
        <v>1614348.5833333333</v>
      </c>
      <c r="E8" s="1715">
        <f t="shared" si="1"/>
        <v>1614348.5833333333</v>
      </c>
      <c r="F8" s="1715">
        <f t="shared" si="1"/>
        <v>1614348.5833333333</v>
      </c>
      <c r="G8" s="1715">
        <f t="shared" si="1"/>
        <v>1614348.5833333333</v>
      </c>
      <c r="H8" s="1715">
        <f t="shared" si="1"/>
        <v>1614348.5833333333</v>
      </c>
      <c r="I8" s="1715">
        <f t="shared" si="1"/>
        <v>1614348.5833333333</v>
      </c>
      <c r="J8" s="1715">
        <f t="shared" si="1"/>
        <v>1614348.5833333333</v>
      </c>
      <c r="K8" s="1715">
        <f t="shared" si="1"/>
        <v>1614348.5833333333</v>
      </c>
      <c r="L8" s="1715">
        <f t="shared" si="1"/>
        <v>1614348.5833333333</v>
      </c>
      <c r="M8" s="1715">
        <f t="shared" si="1"/>
        <v>1614348.5833333333</v>
      </c>
      <c r="N8" s="1715">
        <f t="shared" si="1"/>
        <v>1614348.5833333333</v>
      </c>
      <c r="O8" s="1719">
        <f>'1. mell 1. pont'!D19</f>
        <v>19372183</v>
      </c>
      <c r="P8" s="592"/>
    </row>
    <row r="9" spans="1:17" ht="15.75" customHeight="1" x14ac:dyDescent="0.25">
      <c r="A9" s="1713"/>
      <c r="B9" s="1714"/>
      <c r="C9" s="1716"/>
      <c r="D9" s="1716"/>
      <c r="E9" s="1716"/>
      <c r="F9" s="1716"/>
      <c r="G9" s="1716"/>
      <c r="H9" s="1716"/>
      <c r="I9" s="1716"/>
      <c r="J9" s="1716"/>
      <c r="K9" s="1716"/>
      <c r="L9" s="1716"/>
      <c r="M9" s="1716"/>
      <c r="N9" s="1716"/>
      <c r="O9" s="1718"/>
      <c r="P9" s="592"/>
    </row>
    <row r="10" spans="1:17" ht="17.25" customHeight="1" x14ac:dyDescent="0.25">
      <c r="A10" s="1720" t="s">
        <v>855</v>
      </c>
      <c r="B10" s="1721"/>
      <c r="C10" s="1724">
        <f>$O$10/12</f>
        <v>379627.91666666669</v>
      </c>
      <c r="D10" s="1724">
        <f t="shared" ref="D10:N10" si="2">$O$10/12</f>
        <v>379627.91666666669</v>
      </c>
      <c r="E10" s="1724">
        <f t="shared" si="2"/>
        <v>379627.91666666669</v>
      </c>
      <c r="F10" s="1724">
        <f t="shared" si="2"/>
        <v>379627.91666666669</v>
      </c>
      <c r="G10" s="1724">
        <f t="shared" si="2"/>
        <v>379627.91666666669</v>
      </c>
      <c r="H10" s="1724">
        <f t="shared" si="2"/>
        <v>379627.91666666669</v>
      </c>
      <c r="I10" s="1724">
        <f t="shared" si="2"/>
        <v>379627.91666666669</v>
      </c>
      <c r="J10" s="1724">
        <f t="shared" si="2"/>
        <v>379627.91666666669</v>
      </c>
      <c r="K10" s="1724">
        <f t="shared" si="2"/>
        <v>379627.91666666669</v>
      </c>
      <c r="L10" s="1724">
        <f t="shared" si="2"/>
        <v>379627.91666666669</v>
      </c>
      <c r="M10" s="1724">
        <f t="shared" si="2"/>
        <v>379627.91666666669</v>
      </c>
      <c r="N10" s="1724">
        <f t="shared" si="2"/>
        <v>379627.91666666669</v>
      </c>
      <c r="O10" s="1719">
        <f>'1. mell 1. pont'!D31+'1. mell 1. pont'!D33</f>
        <v>4555535</v>
      </c>
      <c r="P10" s="592"/>
    </row>
    <row r="11" spans="1:17" ht="22.5" customHeight="1" x14ac:dyDescent="0.25">
      <c r="A11" s="1722"/>
      <c r="B11" s="1723"/>
      <c r="C11" s="1716"/>
      <c r="D11" s="1716"/>
      <c r="E11" s="1716"/>
      <c r="F11" s="1716"/>
      <c r="G11" s="1716"/>
      <c r="H11" s="1716"/>
      <c r="I11" s="1716"/>
      <c r="J11" s="1716"/>
      <c r="K11" s="1716"/>
      <c r="L11" s="1716"/>
      <c r="M11" s="1716"/>
      <c r="N11" s="1716"/>
      <c r="O11" s="1718"/>
      <c r="P11" s="592"/>
    </row>
    <row r="12" spans="1:17" ht="20.25" customHeight="1" x14ac:dyDescent="0.25">
      <c r="A12" s="1720" t="s">
        <v>856</v>
      </c>
      <c r="B12" s="1721"/>
      <c r="C12" s="1724">
        <f>$O$12/12</f>
        <v>142788.16666666666</v>
      </c>
      <c r="D12" s="1724">
        <f t="shared" ref="D12:N12" si="3">$O$12/12</f>
        <v>142788.16666666666</v>
      </c>
      <c r="E12" s="1724">
        <f t="shared" si="3"/>
        <v>142788.16666666666</v>
      </c>
      <c r="F12" s="1724">
        <f t="shared" si="3"/>
        <v>142788.16666666666</v>
      </c>
      <c r="G12" s="1724">
        <f t="shared" si="3"/>
        <v>142788.16666666666</v>
      </c>
      <c r="H12" s="1724">
        <f t="shared" si="3"/>
        <v>142788.16666666666</v>
      </c>
      <c r="I12" s="1724">
        <f t="shared" si="3"/>
        <v>142788.16666666666</v>
      </c>
      <c r="J12" s="1724">
        <f t="shared" si="3"/>
        <v>142788.16666666666</v>
      </c>
      <c r="K12" s="1724">
        <f t="shared" si="3"/>
        <v>142788.16666666666</v>
      </c>
      <c r="L12" s="1724">
        <f t="shared" si="3"/>
        <v>142788.16666666666</v>
      </c>
      <c r="M12" s="1724">
        <f t="shared" si="3"/>
        <v>142788.16666666666</v>
      </c>
      <c r="N12" s="1724">
        <f t="shared" si="3"/>
        <v>142788.16666666666</v>
      </c>
      <c r="O12" s="1719">
        <f>'1. mell 1. pont'!D40</f>
        <v>1713458</v>
      </c>
      <c r="P12" s="592"/>
    </row>
    <row r="13" spans="1:17" ht="15" customHeight="1" x14ac:dyDescent="0.25">
      <c r="A13" s="1722"/>
      <c r="B13" s="1723"/>
      <c r="C13" s="1716"/>
      <c r="D13" s="1716"/>
      <c r="E13" s="1716"/>
      <c r="F13" s="1716"/>
      <c r="G13" s="1716"/>
      <c r="H13" s="1716"/>
      <c r="I13" s="1716"/>
      <c r="J13" s="1716"/>
      <c r="K13" s="1716"/>
      <c r="L13" s="1716"/>
      <c r="M13" s="1716"/>
      <c r="N13" s="1716"/>
      <c r="O13" s="1718"/>
      <c r="P13" s="592"/>
    </row>
    <row r="14" spans="1:17" ht="14.25" customHeight="1" x14ac:dyDescent="0.25">
      <c r="A14" s="1726" t="s">
        <v>857</v>
      </c>
      <c r="B14" s="1721"/>
      <c r="C14" s="1724">
        <f>$O$14/12</f>
        <v>79166.666666666672</v>
      </c>
      <c r="D14" s="1724">
        <f t="shared" ref="D14:N14" si="4">$O$14/12</f>
        <v>79166.666666666672</v>
      </c>
      <c r="E14" s="1724">
        <f t="shared" si="4"/>
        <v>79166.666666666672</v>
      </c>
      <c r="F14" s="1724">
        <f t="shared" si="4"/>
        <v>79166.666666666672</v>
      </c>
      <c r="G14" s="1724">
        <f t="shared" si="4"/>
        <v>79166.666666666672</v>
      </c>
      <c r="H14" s="1724">
        <f t="shared" si="4"/>
        <v>79166.666666666672</v>
      </c>
      <c r="I14" s="1724">
        <f t="shared" si="4"/>
        <v>79166.666666666672</v>
      </c>
      <c r="J14" s="1724">
        <f t="shared" si="4"/>
        <v>79166.666666666672</v>
      </c>
      <c r="K14" s="1724">
        <f t="shared" si="4"/>
        <v>79166.666666666672</v>
      </c>
      <c r="L14" s="1724">
        <f t="shared" si="4"/>
        <v>79166.666666666672</v>
      </c>
      <c r="M14" s="1724">
        <f t="shared" si="4"/>
        <v>79166.666666666672</v>
      </c>
      <c r="N14" s="1724">
        <f t="shared" si="4"/>
        <v>79166.666666666672</v>
      </c>
      <c r="O14" s="1719">
        <f>'1. mell 1. pont'!D44</f>
        <v>950000</v>
      </c>
      <c r="P14" s="592"/>
    </row>
    <row r="15" spans="1:17" ht="14.25" customHeight="1" x14ac:dyDescent="0.25">
      <c r="A15" s="1722"/>
      <c r="B15" s="1723"/>
      <c r="C15" s="1716"/>
      <c r="D15" s="1716"/>
      <c r="E15" s="1716"/>
      <c r="F15" s="1716"/>
      <c r="G15" s="1716"/>
      <c r="H15" s="1716"/>
      <c r="I15" s="1716"/>
      <c r="J15" s="1716"/>
      <c r="K15" s="1716"/>
      <c r="L15" s="1716"/>
      <c r="M15" s="1716"/>
      <c r="N15" s="1716"/>
      <c r="O15" s="1718"/>
      <c r="P15" s="592"/>
    </row>
    <row r="16" spans="1:17" ht="12" customHeight="1" x14ac:dyDescent="0.25">
      <c r="A16" s="1726" t="s">
        <v>858</v>
      </c>
      <c r="B16" s="1721"/>
      <c r="C16" s="1724">
        <f>$O$16/12</f>
        <v>1416.6666666666667</v>
      </c>
      <c r="D16" s="1724">
        <f t="shared" ref="D16:N16" si="5">$O$16/12</f>
        <v>1416.6666666666667</v>
      </c>
      <c r="E16" s="1724">
        <f t="shared" si="5"/>
        <v>1416.6666666666667</v>
      </c>
      <c r="F16" s="1724">
        <f t="shared" si="5"/>
        <v>1416.6666666666667</v>
      </c>
      <c r="G16" s="1724">
        <f t="shared" si="5"/>
        <v>1416.6666666666667</v>
      </c>
      <c r="H16" s="1724">
        <f t="shared" si="5"/>
        <v>1416.6666666666667</v>
      </c>
      <c r="I16" s="1724">
        <f t="shared" si="5"/>
        <v>1416.6666666666667</v>
      </c>
      <c r="J16" s="1724">
        <f t="shared" si="5"/>
        <v>1416.6666666666667</v>
      </c>
      <c r="K16" s="1724">
        <f t="shared" si="5"/>
        <v>1416.6666666666667</v>
      </c>
      <c r="L16" s="1724">
        <f t="shared" si="5"/>
        <v>1416.6666666666667</v>
      </c>
      <c r="M16" s="1724">
        <f t="shared" si="5"/>
        <v>1416.6666666666667</v>
      </c>
      <c r="N16" s="1724">
        <f t="shared" si="5"/>
        <v>1416.6666666666667</v>
      </c>
      <c r="O16" s="1719">
        <f>'1. mell 1. pont'!D47</f>
        <v>17000</v>
      </c>
      <c r="P16" s="592"/>
    </row>
    <row r="17" spans="1:17" ht="17.25" customHeight="1" x14ac:dyDescent="0.25">
      <c r="A17" s="1722"/>
      <c r="B17" s="1723"/>
      <c r="C17" s="1716"/>
      <c r="D17" s="1716"/>
      <c r="E17" s="1716"/>
      <c r="F17" s="1716"/>
      <c r="G17" s="1716"/>
      <c r="H17" s="1716"/>
      <c r="I17" s="1716"/>
      <c r="J17" s="1716"/>
      <c r="K17" s="1716"/>
      <c r="L17" s="1716"/>
      <c r="M17" s="1716"/>
      <c r="N17" s="1716"/>
      <c r="O17" s="1718"/>
      <c r="P17" s="592"/>
    </row>
    <row r="18" spans="1:17" ht="14.25" customHeight="1" x14ac:dyDescent="0.25">
      <c r="A18" s="1726" t="s">
        <v>859</v>
      </c>
      <c r="B18" s="1721"/>
      <c r="C18" s="1724">
        <f>$O$18/12</f>
        <v>1198546.5833333333</v>
      </c>
      <c r="D18" s="1724">
        <f t="shared" ref="D18:N18" si="6">$O$18/12</f>
        <v>1198546.5833333333</v>
      </c>
      <c r="E18" s="1724">
        <f t="shared" si="6"/>
        <v>1198546.5833333333</v>
      </c>
      <c r="F18" s="1724">
        <f t="shared" si="6"/>
        <v>1198546.5833333333</v>
      </c>
      <c r="G18" s="1724">
        <f t="shared" si="6"/>
        <v>1198546.5833333333</v>
      </c>
      <c r="H18" s="1724">
        <f t="shared" si="6"/>
        <v>1198546.5833333333</v>
      </c>
      <c r="I18" s="1724">
        <f t="shared" si="6"/>
        <v>1198546.5833333333</v>
      </c>
      <c r="J18" s="1724">
        <f t="shared" si="6"/>
        <v>1198546.5833333333</v>
      </c>
      <c r="K18" s="1724">
        <f t="shared" si="6"/>
        <v>1198546.5833333333</v>
      </c>
      <c r="L18" s="1724">
        <f t="shared" si="6"/>
        <v>1198546.5833333333</v>
      </c>
      <c r="M18" s="1724">
        <f t="shared" si="6"/>
        <v>1198546.5833333333</v>
      </c>
      <c r="N18" s="1724">
        <f t="shared" si="6"/>
        <v>1198546.5833333333</v>
      </c>
      <c r="O18" s="1719">
        <f>'1. mell 1. pont'!D55+'1. mell 1. pont'!D57-'1. mell 1. pont'!D51</f>
        <v>14382559</v>
      </c>
      <c r="P18" s="592"/>
    </row>
    <row r="19" spans="1:17" ht="14.25" customHeight="1" thickBot="1" x14ac:dyDescent="0.3">
      <c r="A19" s="1727"/>
      <c r="B19" s="1728"/>
      <c r="C19" s="1729"/>
      <c r="D19" s="1730"/>
      <c r="E19" s="1730"/>
      <c r="F19" s="1730"/>
      <c r="G19" s="1730"/>
      <c r="H19" s="1730"/>
      <c r="I19" s="1730"/>
      <c r="J19" s="1730"/>
      <c r="K19" s="1730"/>
      <c r="L19" s="1730"/>
      <c r="M19" s="1730"/>
      <c r="N19" s="1730"/>
      <c r="O19" s="1731"/>
      <c r="P19" s="592"/>
    </row>
    <row r="20" spans="1:17" ht="18" customHeight="1" thickBot="1" x14ac:dyDescent="0.3">
      <c r="A20" s="1408" t="s">
        <v>860</v>
      </c>
      <c r="B20" s="587"/>
      <c r="C20" s="588">
        <f t="shared" ref="C20:N20" si="7">SUM(C6:C19)</f>
        <v>4074649.5833333321</v>
      </c>
      <c r="D20" s="588">
        <f t="shared" si="7"/>
        <v>4074649.5833333321</v>
      </c>
      <c r="E20" s="588">
        <f t="shared" si="7"/>
        <v>4074649.5833333321</v>
      </c>
      <c r="F20" s="588">
        <f t="shared" si="7"/>
        <v>4074649.5833333321</v>
      </c>
      <c r="G20" s="588">
        <f t="shared" si="7"/>
        <v>4074649.5833333321</v>
      </c>
      <c r="H20" s="588">
        <f t="shared" si="7"/>
        <v>4074649.5833333321</v>
      </c>
      <c r="I20" s="588">
        <f t="shared" si="7"/>
        <v>4074649.5833333321</v>
      </c>
      <c r="J20" s="588">
        <f t="shared" si="7"/>
        <v>4074649.5833333321</v>
      </c>
      <c r="K20" s="588">
        <f t="shared" si="7"/>
        <v>4074649.5833333321</v>
      </c>
      <c r="L20" s="588">
        <f t="shared" si="7"/>
        <v>4074649.5833333321</v>
      </c>
      <c r="M20" s="588">
        <f t="shared" si="7"/>
        <v>4074649.5833333321</v>
      </c>
      <c r="N20" s="588">
        <f t="shared" si="7"/>
        <v>4074649.5833333321</v>
      </c>
      <c r="O20" s="1409">
        <f>SUM(O6:O19)</f>
        <v>48895795</v>
      </c>
      <c r="P20" s="592"/>
      <c r="Q20" s="592"/>
    </row>
    <row r="21" spans="1:17" ht="15" customHeight="1" thickBot="1" x14ac:dyDescent="0.3">
      <c r="A21" s="589" t="s">
        <v>483</v>
      </c>
      <c r="B21" s="586"/>
      <c r="C21" s="590"/>
      <c r="D21" s="590"/>
      <c r="E21" s="590"/>
      <c r="F21" s="590"/>
      <c r="G21" s="590"/>
      <c r="H21" s="590"/>
      <c r="I21" s="590"/>
      <c r="J21" s="590"/>
      <c r="K21" s="590"/>
      <c r="L21" s="590"/>
      <c r="M21" s="590"/>
      <c r="N21" s="590"/>
      <c r="O21" s="591"/>
    </row>
    <row r="22" spans="1:17" ht="12" customHeight="1" x14ac:dyDescent="0.25">
      <c r="A22" s="1732" t="s">
        <v>861</v>
      </c>
      <c r="B22" s="1733"/>
      <c r="C22" s="1734">
        <f>$O$22/12</f>
        <v>1047592.3333333334</v>
      </c>
      <c r="D22" s="1734">
        <f t="shared" ref="D22:N22" si="8">$O$22/12</f>
        <v>1047592.3333333334</v>
      </c>
      <c r="E22" s="1734">
        <f t="shared" si="8"/>
        <v>1047592.3333333334</v>
      </c>
      <c r="F22" s="1734">
        <f t="shared" si="8"/>
        <v>1047592.3333333334</v>
      </c>
      <c r="G22" s="1734">
        <f t="shared" si="8"/>
        <v>1047592.3333333334</v>
      </c>
      <c r="H22" s="1734">
        <f t="shared" si="8"/>
        <v>1047592.3333333334</v>
      </c>
      <c r="I22" s="1734">
        <f t="shared" si="8"/>
        <v>1047592.3333333334</v>
      </c>
      <c r="J22" s="1734">
        <f t="shared" si="8"/>
        <v>1047592.3333333334</v>
      </c>
      <c r="K22" s="1734">
        <f t="shared" si="8"/>
        <v>1047592.3333333334</v>
      </c>
      <c r="L22" s="1734">
        <f t="shared" si="8"/>
        <v>1047592.3333333334</v>
      </c>
      <c r="M22" s="1734">
        <f t="shared" si="8"/>
        <v>1047592.3333333334</v>
      </c>
      <c r="N22" s="1734">
        <f t="shared" si="8"/>
        <v>1047592.3333333334</v>
      </c>
      <c r="O22" s="1736">
        <f>'1. mell 1. pont'!H7</f>
        <v>12571108</v>
      </c>
      <c r="P22" s="964"/>
    </row>
    <row r="23" spans="1:17" ht="12.75" customHeight="1" x14ac:dyDescent="0.25">
      <c r="A23" s="1722"/>
      <c r="B23" s="1723"/>
      <c r="C23" s="1735"/>
      <c r="D23" s="1735"/>
      <c r="E23" s="1735"/>
      <c r="F23" s="1735"/>
      <c r="G23" s="1735"/>
      <c r="H23" s="1735"/>
      <c r="I23" s="1735"/>
      <c r="J23" s="1735"/>
      <c r="K23" s="1735"/>
      <c r="L23" s="1735"/>
      <c r="M23" s="1735"/>
      <c r="N23" s="1735"/>
      <c r="O23" s="1718"/>
      <c r="P23" s="964"/>
    </row>
    <row r="24" spans="1:17" ht="15" customHeight="1" x14ac:dyDescent="0.25">
      <c r="A24" s="1726" t="s">
        <v>862</v>
      </c>
      <c r="B24" s="1721"/>
      <c r="C24" s="1724">
        <f>$O$24/12</f>
        <v>147446.91666666666</v>
      </c>
      <c r="D24" s="1724">
        <f t="shared" ref="D24:N24" si="9">$O$24/12</f>
        <v>147446.91666666666</v>
      </c>
      <c r="E24" s="1724">
        <f t="shared" si="9"/>
        <v>147446.91666666666</v>
      </c>
      <c r="F24" s="1724">
        <f t="shared" si="9"/>
        <v>147446.91666666666</v>
      </c>
      <c r="G24" s="1724">
        <f t="shared" si="9"/>
        <v>147446.91666666666</v>
      </c>
      <c r="H24" s="1724">
        <f t="shared" si="9"/>
        <v>147446.91666666666</v>
      </c>
      <c r="I24" s="1724">
        <f t="shared" si="9"/>
        <v>147446.91666666666</v>
      </c>
      <c r="J24" s="1724">
        <f t="shared" si="9"/>
        <v>147446.91666666666</v>
      </c>
      <c r="K24" s="1724">
        <f t="shared" si="9"/>
        <v>147446.91666666666</v>
      </c>
      <c r="L24" s="1724">
        <f t="shared" si="9"/>
        <v>147446.91666666666</v>
      </c>
      <c r="M24" s="1724">
        <f t="shared" si="9"/>
        <v>147446.91666666666</v>
      </c>
      <c r="N24" s="1724">
        <f t="shared" si="9"/>
        <v>147446.91666666666</v>
      </c>
      <c r="O24" s="1719">
        <f>'1. mell 1. pont'!H8</f>
        <v>1769363</v>
      </c>
      <c r="P24" s="964"/>
    </row>
    <row r="25" spans="1:17" ht="14.25" customHeight="1" x14ac:dyDescent="0.25">
      <c r="A25" s="1722"/>
      <c r="B25" s="1723"/>
      <c r="C25" s="1737"/>
      <c r="D25" s="1737"/>
      <c r="E25" s="1737"/>
      <c r="F25" s="1737"/>
      <c r="G25" s="1737"/>
      <c r="H25" s="1737"/>
      <c r="I25" s="1737"/>
      <c r="J25" s="1737"/>
      <c r="K25" s="1737"/>
      <c r="L25" s="1737"/>
      <c r="M25" s="1737"/>
      <c r="N25" s="1737"/>
      <c r="O25" s="1718"/>
      <c r="P25" s="964"/>
    </row>
    <row r="26" spans="1:17" ht="12" customHeight="1" x14ac:dyDescent="0.25">
      <c r="A26" s="1726" t="s">
        <v>863</v>
      </c>
      <c r="B26" s="1721"/>
      <c r="C26" s="1724">
        <f>$O$26/12</f>
        <v>924073.41666666663</v>
      </c>
      <c r="D26" s="1724">
        <f t="shared" ref="D26:N26" si="10">$O$26/12</f>
        <v>924073.41666666663</v>
      </c>
      <c r="E26" s="1724">
        <f t="shared" si="10"/>
        <v>924073.41666666663</v>
      </c>
      <c r="F26" s="1724">
        <f t="shared" si="10"/>
        <v>924073.41666666663</v>
      </c>
      <c r="G26" s="1724">
        <f t="shared" si="10"/>
        <v>924073.41666666663</v>
      </c>
      <c r="H26" s="1724">
        <f t="shared" si="10"/>
        <v>924073.41666666663</v>
      </c>
      <c r="I26" s="1724">
        <f t="shared" si="10"/>
        <v>924073.41666666663</v>
      </c>
      <c r="J26" s="1724">
        <f t="shared" si="10"/>
        <v>924073.41666666663</v>
      </c>
      <c r="K26" s="1724">
        <f t="shared" si="10"/>
        <v>924073.41666666663</v>
      </c>
      <c r="L26" s="1724">
        <f t="shared" si="10"/>
        <v>924073.41666666663</v>
      </c>
      <c r="M26" s="1724">
        <f t="shared" si="10"/>
        <v>924073.41666666663</v>
      </c>
      <c r="N26" s="1724">
        <f t="shared" si="10"/>
        <v>924073.41666666663</v>
      </c>
      <c r="O26" s="1719">
        <f>'1. mell 1. pont'!H9</f>
        <v>11088881</v>
      </c>
      <c r="P26" s="964"/>
    </row>
    <row r="27" spans="1:17" ht="15" customHeight="1" x14ac:dyDescent="0.25">
      <c r="A27" s="1722"/>
      <c r="B27" s="1723"/>
      <c r="C27" s="1737"/>
      <c r="D27" s="1737"/>
      <c r="E27" s="1737"/>
      <c r="F27" s="1737"/>
      <c r="G27" s="1737"/>
      <c r="H27" s="1737"/>
      <c r="I27" s="1737"/>
      <c r="J27" s="1737"/>
      <c r="K27" s="1737"/>
      <c r="L27" s="1737"/>
      <c r="M27" s="1737"/>
      <c r="N27" s="1737"/>
      <c r="O27" s="1718"/>
      <c r="P27" s="964"/>
    </row>
    <row r="28" spans="1:17" ht="12" customHeight="1" x14ac:dyDescent="0.25">
      <c r="A28" s="1726" t="s">
        <v>864</v>
      </c>
      <c r="B28" s="1721"/>
      <c r="C28" s="1724">
        <f>$O$28/12</f>
        <v>20997</v>
      </c>
      <c r="D28" s="1724">
        <f t="shared" ref="D28:N28" si="11">$O$28/12</f>
        <v>20997</v>
      </c>
      <c r="E28" s="1724">
        <f t="shared" si="11"/>
        <v>20997</v>
      </c>
      <c r="F28" s="1724">
        <f t="shared" si="11"/>
        <v>20997</v>
      </c>
      <c r="G28" s="1724">
        <f t="shared" si="11"/>
        <v>20997</v>
      </c>
      <c r="H28" s="1724">
        <f t="shared" si="11"/>
        <v>20997</v>
      </c>
      <c r="I28" s="1724">
        <f t="shared" si="11"/>
        <v>20997</v>
      </c>
      <c r="J28" s="1724">
        <f t="shared" si="11"/>
        <v>20997</v>
      </c>
      <c r="K28" s="1724">
        <f t="shared" si="11"/>
        <v>20997</v>
      </c>
      <c r="L28" s="1724">
        <f t="shared" si="11"/>
        <v>20997</v>
      </c>
      <c r="M28" s="1724">
        <f t="shared" si="11"/>
        <v>20997</v>
      </c>
      <c r="N28" s="1724">
        <f t="shared" si="11"/>
        <v>20997</v>
      </c>
      <c r="O28" s="1719">
        <f>'1. mell 1. pont'!H10</f>
        <v>251964</v>
      </c>
      <c r="P28" s="964"/>
    </row>
    <row r="29" spans="1:17" ht="15.75" customHeight="1" x14ac:dyDescent="0.25">
      <c r="A29" s="1722"/>
      <c r="B29" s="1723"/>
      <c r="C29" s="1737"/>
      <c r="D29" s="1737"/>
      <c r="E29" s="1737"/>
      <c r="F29" s="1737"/>
      <c r="G29" s="1737"/>
      <c r="H29" s="1737"/>
      <c r="I29" s="1737"/>
      <c r="J29" s="1737"/>
      <c r="K29" s="1737"/>
      <c r="L29" s="1737"/>
      <c r="M29" s="1737"/>
      <c r="N29" s="1737"/>
      <c r="O29" s="1718"/>
      <c r="P29" s="964"/>
    </row>
    <row r="30" spans="1:17" ht="12" customHeight="1" x14ac:dyDescent="0.25">
      <c r="A30" s="1726" t="s">
        <v>865</v>
      </c>
      <c r="B30" s="1721"/>
      <c r="C30" s="1724">
        <f>$O$30/12</f>
        <v>512158.66666666669</v>
      </c>
      <c r="D30" s="1724">
        <f t="shared" ref="D30:N30" si="12">$O$30/12</f>
        <v>512158.66666666669</v>
      </c>
      <c r="E30" s="1724">
        <f t="shared" si="12"/>
        <v>512158.66666666669</v>
      </c>
      <c r="F30" s="1724">
        <f t="shared" si="12"/>
        <v>512158.66666666669</v>
      </c>
      <c r="G30" s="1724">
        <f t="shared" si="12"/>
        <v>512158.66666666669</v>
      </c>
      <c r="H30" s="1724">
        <f t="shared" si="12"/>
        <v>512158.66666666669</v>
      </c>
      <c r="I30" s="1724">
        <f t="shared" si="12"/>
        <v>512158.66666666669</v>
      </c>
      <c r="J30" s="1724">
        <f t="shared" si="12"/>
        <v>512158.66666666669</v>
      </c>
      <c r="K30" s="1724">
        <f t="shared" si="12"/>
        <v>512158.66666666669</v>
      </c>
      <c r="L30" s="1724">
        <f t="shared" si="12"/>
        <v>512158.66666666669</v>
      </c>
      <c r="M30" s="1724">
        <f t="shared" si="12"/>
        <v>512158.66666666669</v>
      </c>
      <c r="N30" s="1724">
        <f t="shared" si="12"/>
        <v>512158.66666666669</v>
      </c>
      <c r="O30" s="1719">
        <f>SUM('1. mell 1. pont'!H12+'1. mell 1. pont'!H40)</f>
        <v>6145904</v>
      </c>
      <c r="P30" s="964"/>
    </row>
    <row r="31" spans="1:17" ht="12" customHeight="1" x14ac:dyDescent="0.25">
      <c r="A31" s="1722"/>
      <c r="B31" s="1723"/>
      <c r="C31" s="1716"/>
      <c r="D31" s="1716"/>
      <c r="E31" s="1716"/>
      <c r="F31" s="1716"/>
      <c r="G31" s="1716"/>
      <c r="H31" s="1716"/>
      <c r="I31" s="1716"/>
      <c r="J31" s="1716"/>
      <c r="K31" s="1716"/>
      <c r="L31" s="1716"/>
      <c r="M31" s="1716"/>
      <c r="N31" s="1716"/>
      <c r="O31" s="1718"/>
      <c r="P31" s="964"/>
    </row>
    <row r="32" spans="1:17" ht="12" customHeight="1" x14ac:dyDescent="0.25">
      <c r="A32" s="1726" t="s">
        <v>866</v>
      </c>
      <c r="B32" s="1721"/>
      <c r="C32" s="1724">
        <f>$O$32/12</f>
        <v>374004.57199999999</v>
      </c>
      <c r="D32" s="1724">
        <f t="shared" ref="D32:N32" si="13">$O$32/12</f>
        <v>374004.57199999999</v>
      </c>
      <c r="E32" s="1724">
        <f t="shared" si="13"/>
        <v>374004.57199999999</v>
      </c>
      <c r="F32" s="1724">
        <f t="shared" si="13"/>
        <v>374004.57199999999</v>
      </c>
      <c r="G32" s="1724">
        <f t="shared" si="13"/>
        <v>374004.57199999999</v>
      </c>
      <c r="H32" s="1724">
        <f t="shared" si="13"/>
        <v>374004.57199999999</v>
      </c>
      <c r="I32" s="1724">
        <f t="shared" si="13"/>
        <v>374004.57199999999</v>
      </c>
      <c r="J32" s="1724">
        <f t="shared" si="13"/>
        <v>374004.57199999999</v>
      </c>
      <c r="K32" s="1724">
        <f t="shared" si="13"/>
        <v>374004.57199999999</v>
      </c>
      <c r="L32" s="1724">
        <f t="shared" si="13"/>
        <v>374004.57199999999</v>
      </c>
      <c r="M32" s="1724">
        <f t="shared" si="13"/>
        <v>374004.57199999999</v>
      </c>
      <c r="N32" s="1724">
        <f t="shared" si="13"/>
        <v>374004.57199999999</v>
      </c>
      <c r="O32" s="1719">
        <f>'1. mell 1. pont'!H37</f>
        <v>4488054.8640000001</v>
      </c>
      <c r="P32" s="964"/>
    </row>
    <row r="33" spans="1:17" ht="14.25" customHeight="1" x14ac:dyDescent="0.25">
      <c r="A33" s="1722"/>
      <c r="B33" s="1723"/>
      <c r="C33" s="1737"/>
      <c r="D33" s="1737"/>
      <c r="E33" s="1737"/>
      <c r="F33" s="1737"/>
      <c r="G33" s="1737"/>
      <c r="H33" s="1737"/>
      <c r="I33" s="1737"/>
      <c r="J33" s="1737"/>
      <c r="K33" s="1737"/>
      <c r="L33" s="1737"/>
      <c r="M33" s="1737"/>
      <c r="N33" s="1737"/>
      <c r="O33" s="1718"/>
      <c r="P33" s="964"/>
    </row>
    <row r="34" spans="1:17" ht="15" customHeight="1" x14ac:dyDescent="0.25">
      <c r="A34" s="1726" t="s">
        <v>867</v>
      </c>
      <c r="B34" s="1721"/>
      <c r="C34" s="1724">
        <f>$O$34/12</f>
        <v>825886.50461416657</v>
      </c>
      <c r="D34" s="1724">
        <f t="shared" ref="D34:N34" si="14">$O$34/12</f>
        <v>825886.50461416657</v>
      </c>
      <c r="E34" s="1724">
        <f t="shared" si="14"/>
        <v>825886.50461416657</v>
      </c>
      <c r="F34" s="1724">
        <f t="shared" si="14"/>
        <v>825886.50461416657</v>
      </c>
      <c r="G34" s="1724">
        <f t="shared" si="14"/>
        <v>825886.50461416657</v>
      </c>
      <c r="H34" s="1724">
        <f t="shared" si="14"/>
        <v>825886.50461416657</v>
      </c>
      <c r="I34" s="1724">
        <f t="shared" si="14"/>
        <v>825886.50461416657</v>
      </c>
      <c r="J34" s="1724">
        <f t="shared" si="14"/>
        <v>825886.50461416657</v>
      </c>
      <c r="K34" s="1724">
        <f t="shared" si="14"/>
        <v>825886.50461416657</v>
      </c>
      <c r="L34" s="1724">
        <f t="shared" si="14"/>
        <v>825886.50461416657</v>
      </c>
      <c r="M34" s="1724">
        <f t="shared" si="14"/>
        <v>825886.50461416657</v>
      </c>
      <c r="N34" s="1724">
        <f t="shared" si="14"/>
        <v>825886.50461416657</v>
      </c>
      <c r="O34" s="1719">
        <f>'1. mell 1. pont'!H38</f>
        <v>9910638.0553699993</v>
      </c>
      <c r="P34" s="964"/>
    </row>
    <row r="35" spans="1:17" ht="15" customHeight="1" x14ac:dyDescent="0.25">
      <c r="A35" s="1722"/>
      <c r="B35" s="1723"/>
      <c r="C35" s="1737"/>
      <c r="D35" s="1737"/>
      <c r="E35" s="1737"/>
      <c r="F35" s="1737"/>
      <c r="G35" s="1737"/>
      <c r="H35" s="1737"/>
      <c r="I35" s="1737"/>
      <c r="J35" s="1737"/>
      <c r="K35" s="1737"/>
      <c r="L35" s="1737"/>
      <c r="M35" s="1737"/>
      <c r="N35" s="1737"/>
      <c r="O35" s="1718"/>
      <c r="P35" s="964"/>
    </row>
    <row r="36" spans="1:17" ht="15" customHeight="1" x14ac:dyDescent="0.25">
      <c r="A36" s="1726" t="s">
        <v>868</v>
      </c>
      <c r="B36" s="1721"/>
      <c r="C36" s="1724">
        <f>$O$36/12</f>
        <v>208201.83333333334</v>
      </c>
      <c r="D36" s="1724">
        <f t="shared" ref="D36:N36" si="15">$O$36/12</f>
        <v>208201.83333333334</v>
      </c>
      <c r="E36" s="1724">
        <f t="shared" si="15"/>
        <v>208201.83333333334</v>
      </c>
      <c r="F36" s="1724">
        <f t="shared" si="15"/>
        <v>208201.83333333334</v>
      </c>
      <c r="G36" s="1724">
        <f t="shared" si="15"/>
        <v>208201.83333333334</v>
      </c>
      <c r="H36" s="1724">
        <f t="shared" si="15"/>
        <v>208201.83333333334</v>
      </c>
      <c r="I36" s="1724">
        <f t="shared" si="15"/>
        <v>208201.83333333334</v>
      </c>
      <c r="J36" s="1724">
        <f t="shared" si="15"/>
        <v>208201.83333333334</v>
      </c>
      <c r="K36" s="1724">
        <f t="shared" si="15"/>
        <v>208201.83333333334</v>
      </c>
      <c r="L36" s="1724">
        <f t="shared" si="15"/>
        <v>208201.83333333334</v>
      </c>
      <c r="M36" s="1724">
        <f t="shared" si="15"/>
        <v>208201.83333333334</v>
      </c>
      <c r="N36" s="1724">
        <f t="shared" si="15"/>
        <v>208201.83333333334</v>
      </c>
      <c r="O36" s="1719">
        <f>'1. mell 1. pont'!H39</f>
        <v>2498422</v>
      </c>
      <c r="P36" s="964"/>
    </row>
    <row r="37" spans="1:17" ht="15" customHeight="1" x14ac:dyDescent="0.25">
      <c r="A37" s="1722"/>
      <c r="B37" s="1723"/>
      <c r="C37" s="1737"/>
      <c r="D37" s="1737"/>
      <c r="E37" s="1737"/>
      <c r="F37" s="1737"/>
      <c r="G37" s="1737"/>
      <c r="H37" s="1737"/>
      <c r="I37" s="1737"/>
      <c r="J37" s="1737"/>
      <c r="K37" s="1737"/>
      <c r="L37" s="1737"/>
      <c r="M37" s="1737"/>
      <c r="N37" s="1737"/>
      <c r="O37" s="1718"/>
      <c r="P37" s="964"/>
      <c r="Q37" s="592"/>
    </row>
    <row r="38" spans="1:17" ht="14.25" customHeight="1" x14ac:dyDescent="0.25">
      <c r="A38" s="1726" t="s">
        <v>869</v>
      </c>
      <c r="B38" s="1721"/>
      <c r="C38" s="1724">
        <f>$O$38/12</f>
        <v>14288.333333333334</v>
      </c>
      <c r="D38" s="1724">
        <f t="shared" ref="D38:N38" si="16">$O$38/12</f>
        <v>14288.333333333334</v>
      </c>
      <c r="E38" s="1724">
        <f t="shared" si="16"/>
        <v>14288.333333333334</v>
      </c>
      <c r="F38" s="1724">
        <f t="shared" si="16"/>
        <v>14288.333333333334</v>
      </c>
      <c r="G38" s="1724">
        <f t="shared" si="16"/>
        <v>14288.333333333334</v>
      </c>
      <c r="H38" s="1724">
        <f t="shared" si="16"/>
        <v>14288.333333333334</v>
      </c>
      <c r="I38" s="1724">
        <f t="shared" si="16"/>
        <v>14288.333333333334</v>
      </c>
      <c r="J38" s="1724">
        <f t="shared" si="16"/>
        <v>14288.333333333334</v>
      </c>
      <c r="K38" s="1724">
        <f t="shared" si="16"/>
        <v>14288.333333333334</v>
      </c>
      <c r="L38" s="1724">
        <f t="shared" si="16"/>
        <v>14288.333333333334</v>
      </c>
      <c r="M38" s="1724">
        <f t="shared" si="16"/>
        <v>14288.333333333334</v>
      </c>
      <c r="N38" s="1724">
        <f t="shared" si="16"/>
        <v>14288.333333333334</v>
      </c>
      <c r="O38" s="1719">
        <f>'1. mell 1. pont'!H50</f>
        <v>171460</v>
      </c>
      <c r="P38" s="964"/>
    </row>
    <row r="39" spans="1:17" ht="27.75" customHeight="1" thickBot="1" x14ac:dyDescent="0.3">
      <c r="A39" s="1727"/>
      <c r="B39" s="1728"/>
      <c r="C39" s="1729"/>
      <c r="D39" s="1729"/>
      <c r="E39" s="1729"/>
      <c r="F39" s="1729"/>
      <c r="G39" s="1729"/>
      <c r="H39" s="1729"/>
      <c r="I39" s="1729"/>
      <c r="J39" s="1729"/>
      <c r="K39" s="1729"/>
      <c r="L39" s="1729"/>
      <c r="M39" s="1729"/>
      <c r="N39" s="1729"/>
      <c r="O39" s="1731"/>
      <c r="P39" s="964"/>
    </row>
    <row r="40" spans="1:17" ht="18" customHeight="1" thickBot="1" x14ac:dyDescent="0.3">
      <c r="A40" s="1410" t="s">
        <v>870</v>
      </c>
      <c r="B40" s="593"/>
      <c r="C40" s="588">
        <f t="shared" ref="C40:N40" si="17">SUM(C22:C39)</f>
        <v>4074649.5766141666</v>
      </c>
      <c r="D40" s="588">
        <f t="shared" si="17"/>
        <v>4074649.5766141666</v>
      </c>
      <c r="E40" s="588">
        <f t="shared" si="17"/>
        <v>4074649.5766141666</v>
      </c>
      <c r="F40" s="588">
        <f t="shared" si="17"/>
        <v>4074649.5766141666</v>
      </c>
      <c r="G40" s="588">
        <f t="shared" si="17"/>
        <v>4074649.5766141666</v>
      </c>
      <c r="H40" s="588">
        <f t="shared" si="17"/>
        <v>4074649.5766141666</v>
      </c>
      <c r="I40" s="588">
        <f t="shared" si="17"/>
        <v>4074649.5766141666</v>
      </c>
      <c r="J40" s="588">
        <f t="shared" si="17"/>
        <v>4074649.5766141666</v>
      </c>
      <c r="K40" s="588">
        <f t="shared" si="17"/>
        <v>4074649.5766141666</v>
      </c>
      <c r="L40" s="588">
        <f t="shared" si="17"/>
        <v>4074649.5766141666</v>
      </c>
      <c r="M40" s="588">
        <f t="shared" si="17"/>
        <v>4074649.5766141666</v>
      </c>
      <c r="N40" s="588">
        <f t="shared" si="17"/>
        <v>4074649.5766141666</v>
      </c>
      <c r="O40" s="1409">
        <f>SUM(O22:O39)</f>
        <v>48895794.919369996</v>
      </c>
      <c r="P40" s="964"/>
      <c r="Q40" s="592"/>
    </row>
  </sheetData>
  <mergeCells count="227">
    <mergeCell ref="G38:G39"/>
    <mergeCell ref="H38:H39"/>
    <mergeCell ref="G36:G37"/>
    <mergeCell ref="H36:H37"/>
    <mergeCell ref="O38:O39"/>
    <mergeCell ref="I38:I39"/>
    <mergeCell ref="J38:J39"/>
    <mergeCell ref="K38:K39"/>
    <mergeCell ref="L38:L39"/>
    <mergeCell ref="M38:M39"/>
    <mergeCell ref="N38:N39"/>
    <mergeCell ref="M36:M37"/>
    <mergeCell ref="N36:N37"/>
    <mergeCell ref="O36:O37"/>
    <mergeCell ref="I36:I37"/>
    <mergeCell ref="J36:J37"/>
    <mergeCell ref="K36:K37"/>
    <mergeCell ref="L36:L37"/>
    <mergeCell ref="A36:B37"/>
    <mergeCell ref="C36:C37"/>
    <mergeCell ref="D36:D37"/>
    <mergeCell ref="E36:E37"/>
    <mergeCell ref="F36:F37"/>
    <mergeCell ref="A38:B39"/>
    <mergeCell ref="C38:C39"/>
    <mergeCell ref="D38:D39"/>
    <mergeCell ref="E38:E39"/>
    <mergeCell ref="F38:F39"/>
    <mergeCell ref="K32:K33"/>
    <mergeCell ref="L32:L33"/>
    <mergeCell ref="M32:M33"/>
    <mergeCell ref="N32:N33"/>
    <mergeCell ref="K34:K35"/>
    <mergeCell ref="L34:L35"/>
    <mergeCell ref="M34:M35"/>
    <mergeCell ref="N34:N35"/>
    <mergeCell ref="O34:O35"/>
    <mergeCell ref="A34:B35"/>
    <mergeCell ref="C34:C35"/>
    <mergeCell ref="D34:D35"/>
    <mergeCell ref="E34:E35"/>
    <mergeCell ref="F34:F35"/>
    <mergeCell ref="G34:G35"/>
    <mergeCell ref="H34:H35"/>
    <mergeCell ref="I34:I35"/>
    <mergeCell ref="J34:J35"/>
    <mergeCell ref="A30:B31"/>
    <mergeCell ref="C30:C31"/>
    <mergeCell ref="D30:D31"/>
    <mergeCell ref="E30:E31"/>
    <mergeCell ref="F30:F31"/>
    <mergeCell ref="M30:M31"/>
    <mergeCell ref="N30:N31"/>
    <mergeCell ref="O30:O31"/>
    <mergeCell ref="A32:B33"/>
    <mergeCell ref="C32:C33"/>
    <mergeCell ref="D32:D33"/>
    <mergeCell ref="E32:E33"/>
    <mergeCell ref="F32:F33"/>
    <mergeCell ref="G32:G33"/>
    <mergeCell ref="H32:H33"/>
    <mergeCell ref="G30:G31"/>
    <mergeCell ref="H30:H31"/>
    <mergeCell ref="I30:I31"/>
    <mergeCell ref="J30:J31"/>
    <mergeCell ref="K30:K31"/>
    <mergeCell ref="L30:L31"/>
    <mergeCell ref="O32:O33"/>
    <mergeCell ref="I32:I33"/>
    <mergeCell ref="J32:J33"/>
    <mergeCell ref="K26:K27"/>
    <mergeCell ref="L26:L27"/>
    <mergeCell ref="M26:M27"/>
    <mergeCell ref="N26:N27"/>
    <mergeCell ref="K28:K29"/>
    <mergeCell ref="L28:L29"/>
    <mergeCell ref="M28:M29"/>
    <mergeCell ref="N28:N29"/>
    <mergeCell ref="O28:O29"/>
    <mergeCell ref="A28:B29"/>
    <mergeCell ref="C28:C29"/>
    <mergeCell ref="D28:D29"/>
    <mergeCell ref="E28:E29"/>
    <mergeCell ref="F28:F29"/>
    <mergeCell ref="G28:G29"/>
    <mergeCell ref="H28:H29"/>
    <mergeCell ref="I28:I29"/>
    <mergeCell ref="J28:J29"/>
    <mergeCell ref="A24:B25"/>
    <mergeCell ref="C24:C25"/>
    <mergeCell ref="D24:D25"/>
    <mergeCell ref="E24:E25"/>
    <mergeCell ref="F24:F25"/>
    <mergeCell ref="M24:M25"/>
    <mergeCell ref="N24:N25"/>
    <mergeCell ref="O24:O25"/>
    <mergeCell ref="A26:B27"/>
    <mergeCell ref="C26:C27"/>
    <mergeCell ref="D26:D27"/>
    <mergeCell ref="E26:E27"/>
    <mergeCell ref="F26:F27"/>
    <mergeCell ref="G26:G27"/>
    <mergeCell ref="H26:H27"/>
    <mergeCell ref="G24:G25"/>
    <mergeCell ref="H24:H25"/>
    <mergeCell ref="I24:I25"/>
    <mergeCell ref="J24:J25"/>
    <mergeCell ref="K24:K25"/>
    <mergeCell ref="L24:L25"/>
    <mergeCell ref="O26:O27"/>
    <mergeCell ref="I26:I27"/>
    <mergeCell ref="J26:J27"/>
    <mergeCell ref="K18:K19"/>
    <mergeCell ref="L18:L19"/>
    <mergeCell ref="M18:M19"/>
    <mergeCell ref="N18:N19"/>
    <mergeCell ref="K22:K23"/>
    <mergeCell ref="L22:L23"/>
    <mergeCell ref="M22:M23"/>
    <mergeCell ref="N22:N23"/>
    <mergeCell ref="O22:O23"/>
    <mergeCell ref="A22:B23"/>
    <mergeCell ref="C22:C23"/>
    <mergeCell ref="D22:D23"/>
    <mergeCell ref="E22:E23"/>
    <mergeCell ref="F22:F23"/>
    <mergeCell ref="G22:G23"/>
    <mergeCell ref="H22:H23"/>
    <mergeCell ref="I22:I23"/>
    <mergeCell ref="J22:J23"/>
    <mergeCell ref="A16:B17"/>
    <mergeCell ref="C16:C17"/>
    <mergeCell ref="D16:D17"/>
    <mergeCell ref="E16:E17"/>
    <mergeCell ref="F16:F17"/>
    <mergeCell ref="M16:M17"/>
    <mergeCell ref="N16:N17"/>
    <mergeCell ref="O16:O17"/>
    <mergeCell ref="A18:B19"/>
    <mergeCell ref="C18:C19"/>
    <mergeCell ref="D18:D19"/>
    <mergeCell ref="E18:E19"/>
    <mergeCell ref="F18:F19"/>
    <mergeCell ref="G18:G19"/>
    <mergeCell ref="H18:H19"/>
    <mergeCell ref="G16:G17"/>
    <mergeCell ref="H16:H17"/>
    <mergeCell ref="I16:I17"/>
    <mergeCell ref="J16:J17"/>
    <mergeCell ref="K16:K17"/>
    <mergeCell ref="L16:L17"/>
    <mergeCell ref="O18:O19"/>
    <mergeCell ref="I18:I19"/>
    <mergeCell ref="J18:J19"/>
    <mergeCell ref="O12:O13"/>
    <mergeCell ref="A14:B15"/>
    <mergeCell ref="C14:C15"/>
    <mergeCell ref="D14:D15"/>
    <mergeCell ref="E14:E15"/>
    <mergeCell ref="F14:F15"/>
    <mergeCell ref="G14:G15"/>
    <mergeCell ref="H14:H15"/>
    <mergeCell ref="I14:I15"/>
    <mergeCell ref="J14:J15"/>
    <mergeCell ref="I12:I13"/>
    <mergeCell ref="J12:J13"/>
    <mergeCell ref="K12:K13"/>
    <mergeCell ref="L12:L13"/>
    <mergeCell ref="M12:M13"/>
    <mergeCell ref="N12:N13"/>
    <mergeCell ref="K14:K15"/>
    <mergeCell ref="L14:L15"/>
    <mergeCell ref="M14:M15"/>
    <mergeCell ref="N14:N15"/>
    <mergeCell ref="O14:O15"/>
    <mergeCell ref="A12:B13"/>
    <mergeCell ref="C12:C13"/>
    <mergeCell ref="D12:D13"/>
    <mergeCell ref="E12:E13"/>
    <mergeCell ref="F12:F13"/>
    <mergeCell ref="G12:G13"/>
    <mergeCell ref="H12:H13"/>
    <mergeCell ref="G10:G11"/>
    <mergeCell ref="H10:H11"/>
    <mergeCell ref="K8:K9"/>
    <mergeCell ref="L8:L9"/>
    <mergeCell ref="M8:M9"/>
    <mergeCell ref="N8:N9"/>
    <mergeCell ref="O8:O9"/>
    <mergeCell ref="A10:B11"/>
    <mergeCell ref="C10:C11"/>
    <mergeCell ref="D10:D11"/>
    <mergeCell ref="E10:E11"/>
    <mergeCell ref="F10:F11"/>
    <mergeCell ref="M10:M11"/>
    <mergeCell ref="N10:N11"/>
    <mergeCell ref="O10:O11"/>
    <mergeCell ref="I10:I11"/>
    <mergeCell ref="J10:J11"/>
    <mergeCell ref="K10:K11"/>
    <mergeCell ref="L10:L11"/>
    <mergeCell ref="A8:B9"/>
    <mergeCell ref="C8:C9"/>
    <mergeCell ref="D8:D9"/>
    <mergeCell ref="E8:E9"/>
    <mergeCell ref="F8:F9"/>
    <mergeCell ref="G8:G9"/>
    <mergeCell ref="H8:H9"/>
    <mergeCell ref="I8:I9"/>
    <mergeCell ref="J8:J9"/>
    <mergeCell ref="A1:O1"/>
    <mergeCell ref="A2:O2"/>
    <mergeCell ref="A4:B4"/>
    <mergeCell ref="A6:B7"/>
    <mergeCell ref="C6:C7"/>
    <mergeCell ref="D6:D7"/>
    <mergeCell ref="E6:E7"/>
    <mergeCell ref="F6:F7"/>
    <mergeCell ref="G6:G7"/>
    <mergeCell ref="H6:H7"/>
    <mergeCell ref="O6:O7"/>
    <mergeCell ref="I6:I7"/>
    <mergeCell ref="J6:J7"/>
    <mergeCell ref="K6:K7"/>
    <mergeCell ref="L6:L7"/>
    <mergeCell ref="M6:M7"/>
    <mergeCell ref="N6:N7"/>
  </mergeCells>
  <printOptions horizontalCentered="1" verticalCentered="1"/>
  <pageMargins left="0" right="0" top="0" bottom="0.39370078740157483" header="0" footer="0.19685039370078741"/>
  <pageSetup paperSize="9" scale="75" firstPageNumber="73" orientation="landscape" useFirstPageNumber="1" r:id="rId1"/>
  <headerFooter alignWithMargins="0">
    <oddFooter>&amp;C&amp;P. oldal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2"/>
  <sheetViews>
    <sheetView topLeftCell="A16" zoomScaleNormal="100" zoomScaleSheetLayoutView="100" workbookViewId="0">
      <selection activeCell="E15" sqref="E15:E17"/>
    </sheetView>
  </sheetViews>
  <sheetFormatPr defaultColWidth="9.109375" defaultRowHeight="13.2" x14ac:dyDescent="0.25"/>
  <cols>
    <col min="1" max="1" width="6.6640625" style="594" customWidth="1"/>
    <col min="2" max="2" width="31.88671875" style="594" customWidth="1"/>
    <col min="3" max="3" width="14.6640625" style="594" customWidth="1"/>
    <col min="4" max="4" width="15.109375" style="594" customWidth="1"/>
    <col min="5" max="5" width="14.109375" style="594" customWidth="1"/>
    <col min="6" max="6" width="13.88671875" style="594" customWidth="1"/>
    <col min="7" max="16384" width="9.109375" style="594"/>
  </cols>
  <sheetData>
    <row r="2" spans="2:7" x14ac:dyDescent="0.25">
      <c r="B2" s="1738" t="s">
        <v>1416</v>
      </c>
      <c r="C2" s="1738"/>
      <c r="D2" s="1739"/>
      <c r="E2" s="1739"/>
      <c r="F2" s="1739"/>
    </row>
    <row r="3" spans="2:7" x14ac:dyDescent="0.25">
      <c r="B3" s="1740" t="s">
        <v>871</v>
      </c>
      <c r="C3" s="1740"/>
      <c r="D3" s="1741"/>
      <c r="E3" s="1741"/>
      <c r="F3" s="1741"/>
    </row>
    <row r="4" spans="2:7" x14ac:dyDescent="0.25">
      <c r="B4" s="1741"/>
      <c r="C4" s="1741"/>
      <c r="D4" s="1741"/>
      <c r="E4" s="1741"/>
      <c r="F4" s="1741"/>
    </row>
    <row r="5" spans="2:7" x14ac:dyDescent="0.25">
      <c r="B5" s="595"/>
      <c r="C5" s="595"/>
      <c r="D5" s="595"/>
      <c r="E5" s="595"/>
      <c r="F5" s="595"/>
    </row>
    <row r="6" spans="2:7" ht="13.8" thickBot="1" x14ac:dyDescent="0.3">
      <c r="F6" s="1411" t="s">
        <v>87</v>
      </c>
    </row>
    <row r="7" spans="2:7" ht="12.75" customHeight="1" x14ac:dyDescent="0.25">
      <c r="B7" s="1742" t="s">
        <v>872</v>
      </c>
      <c r="C7" s="1744" t="s">
        <v>1068</v>
      </c>
      <c r="D7" s="1746" t="s">
        <v>873</v>
      </c>
      <c r="E7" s="1746" t="s">
        <v>874</v>
      </c>
      <c r="F7" s="1748" t="s">
        <v>1069</v>
      </c>
    </row>
    <row r="8" spans="2:7" ht="30.75" customHeight="1" thickBot="1" x14ac:dyDescent="0.3">
      <c r="B8" s="1743"/>
      <c r="C8" s="1745"/>
      <c r="D8" s="1747"/>
      <c r="E8" s="1747"/>
      <c r="F8" s="1749"/>
    </row>
    <row r="9" spans="2:7" ht="12.75" customHeight="1" x14ac:dyDescent="0.25">
      <c r="B9" s="1754" t="s">
        <v>875</v>
      </c>
      <c r="C9" s="1755">
        <f>SUM('1. mell 2 pont '!C24+'1. mell 2 pont '!C27)</f>
        <v>18193750</v>
      </c>
      <c r="D9" s="1756">
        <v>18550000</v>
      </c>
      <c r="E9" s="1756">
        <v>18550000</v>
      </c>
      <c r="F9" s="1757">
        <v>18550000</v>
      </c>
    </row>
    <row r="10" spans="2:7" ht="12.75" customHeight="1" x14ac:dyDescent="0.25">
      <c r="B10" s="1750"/>
      <c r="C10" s="1751"/>
      <c r="D10" s="1752"/>
      <c r="E10" s="1752"/>
      <c r="F10" s="1753"/>
    </row>
    <row r="11" spans="2:7" ht="36" customHeight="1" x14ac:dyDescent="0.25">
      <c r="B11" s="1750"/>
      <c r="C11" s="1751"/>
      <c r="D11" s="1752"/>
      <c r="E11" s="1752"/>
      <c r="F11" s="1753"/>
      <c r="G11" s="596"/>
    </row>
    <row r="12" spans="2:7" ht="13.2" customHeight="1" x14ac:dyDescent="0.25">
      <c r="B12" s="1750" t="s">
        <v>876</v>
      </c>
      <c r="C12" s="1751">
        <f>SUM('1. mell 2 pont '!C50+'1. mell 2 pont '!C51+'1. mell 2 pont '!C52)</f>
        <v>870000</v>
      </c>
      <c r="D12" s="1752">
        <v>870000</v>
      </c>
      <c r="E12" s="1752">
        <v>870000</v>
      </c>
      <c r="F12" s="1753">
        <v>870000</v>
      </c>
    </row>
    <row r="13" spans="2:7" ht="13.2" customHeight="1" x14ac:dyDescent="0.25">
      <c r="B13" s="1750"/>
      <c r="C13" s="1751"/>
      <c r="D13" s="1752"/>
      <c r="E13" s="1752"/>
      <c r="F13" s="1753"/>
    </row>
    <row r="14" spans="2:7" ht="60" customHeight="1" x14ac:dyDescent="0.25">
      <c r="B14" s="1750"/>
      <c r="C14" s="1751"/>
      <c r="D14" s="1752"/>
      <c r="E14" s="1752"/>
      <c r="F14" s="1753"/>
      <c r="G14" s="596"/>
    </row>
    <row r="15" spans="2:7" ht="12.75" customHeight="1" x14ac:dyDescent="0.25">
      <c r="B15" s="1750" t="s">
        <v>877</v>
      </c>
      <c r="C15" s="1758" t="s">
        <v>878</v>
      </c>
      <c r="D15" s="1761" t="s">
        <v>879</v>
      </c>
      <c r="E15" s="1761" t="s">
        <v>879</v>
      </c>
      <c r="F15" s="1764" t="s">
        <v>879</v>
      </c>
    </row>
    <row r="16" spans="2:7" ht="12.75" customHeight="1" x14ac:dyDescent="0.25">
      <c r="B16" s="1750"/>
      <c r="C16" s="1759"/>
      <c r="D16" s="1762"/>
      <c r="E16" s="1762"/>
      <c r="F16" s="1765"/>
    </row>
    <row r="17" spans="2:7" ht="27" customHeight="1" x14ac:dyDescent="0.25">
      <c r="B17" s="1750"/>
      <c r="C17" s="1760"/>
      <c r="D17" s="1763"/>
      <c r="E17" s="1763"/>
      <c r="F17" s="1766"/>
    </row>
    <row r="18" spans="2:7" ht="12.75" customHeight="1" x14ac:dyDescent="0.25">
      <c r="B18" s="1750" t="s">
        <v>880</v>
      </c>
      <c r="C18" s="1751">
        <f>SUM('1. mell 2 pont '!C104)</f>
        <v>950000</v>
      </c>
      <c r="D18" s="1752">
        <v>600000</v>
      </c>
      <c r="E18" s="1752">
        <v>600000</v>
      </c>
      <c r="F18" s="1753">
        <v>600000</v>
      </c>
    </row>
    <row r="19" spans="2:7" ht="15.75" customHeight="1" x14ac:dyDescent="0.25">
      <c r="B19" s="1750"/>
      <c r="C19" s="1751"/>
      <c r="D19" s="1752"/>
      <c r="E19" s="1752"/>
      <c r="F19" s="1753"/>
    </row>
    <row r="20" spans="2:7" ht="43.5" customHeight="1" x14ac:dyDescent="0.25">
      <c r="B20" s="1750"/>
      <c r="C20" s="1751"/>
      <c r="D20" s="1752"/>
      <c r="E20" s="1752"/>
      <c r="F20" s="1753"/>
    </row>
    <row r="21" spans="2:7" ht="12.75" customHeight="1" x14ac:dyDescent="0.25">
      <c r="B21" s="1750" t="s">
        <v>881</v>
      </c>
      <c r="C21" s="1751">
        <f>SUM('1. mell 2 pont '!C256)</f>
        <v>1178433</v>
      </c>
      <c r="D21" s="1752">
        <v>1100000</v>
      </c>
      <c r="E21" s="1752">
        <v>1100000</v>
      </c>
      <c r="F21" s="1753">
        <v>1100000</v>
      </c>
    </row>
    <row r="22" spans="2:7" ht="12.75" customHeight="1" x14ac:dyDescent="0.25">
      <c r="B22" s="1750"/>
      <c r="C22" s="1751"/>
      <c r="D22" s="1752"/>
      <c r="E22" s="1752"/>
      <c r="F22" s="1753"/>
    </row>
    <row r="23" spans="2:7" ht="27" customHeight="1" x14ac:dyDescent="0.25">
      <c r="B23" s="1750"/>
      <c r="C23" s="1751"/>
      <c r="D23" s="1752"/>
      <c r="E23" s="1752"/>
      <c r="F23" s="1753"/>
      <c r="G23" s="596"/>
    </row>
    <row r="24" spans="2:7" ht="12.75" customHeight="1" x14ac:dyDescent="0.25">
      <c r="B24" s="1750" t="s">
        <v>882</v>
      </c>
      <c r="C24" s="1758" t="s">
        <v>878</v>
      </c>
      <c r="D24" s="1761" t="s">
        <v>879</v>
      </c>
      <c r="E24" s="1761" t="s">
        <v>879</v>
      </c>
      <c r="F24" s="1764" t="s">
        <v>879</v>
      </c>
    </row>
    <row r="25" spans="2:7" ht="12.75" customHeight="1" x14ac:dyDescent="0.25">
      <c r="B25" s="1750"/>
      <c r="C25" s="1759"/>
      <c r="D25" s="1762"/>
      <c r="E25" s="1762"/>
      <c r="F25" s="1765"/>
    </row>
    <row r="26" spans="2:7" ht="27" customHeight="1" x14ac:dyDescent="0.25">
      <c r="B26" s="1750"/>
      <c r="C26" s="1760"/>
      <c r="D26" s="1763"/>
      <c r="E26" s="1763"/>
      <c r="F26" s="1766"/>
    </row>
    <row r="27" spans="2:7" ht="12.75" customHeight="1" x14ac:dyDescent="0.25">
      <c r="B27" s="1768" t="s">
        <v>85</v>
      </c>
      <c r="C27" s="1771">
        <f t="shared" ref="C27" si="0">SUM(C9:C26)</f>
        <v>21192183</v>
      </c>
      <c r="D27" s="1774">
        <f t="shared" ref="D27:F27" si="1">SUM(D9:D26)</f>
        <v>21120000</v>
      </c>
      <c r="E27" s="1774">
        <f t="shared" si="1"/>
        <v>21120000</v>
      </c>
      <c r="F27" s="1777">
        <f t="shared" si="1"/>
        <v>21120000</v>
      </c>
    </row>
    <row r="28" spans="2:7" ht="12.75" customHeight="1" x14ac:dyDescent="0.25">
      <c r="B28" s="1768"/>
      <c r="C28" s="1771"/>
      <c r="D28" s="1774"/>
      <c r="E28" s="1774"/>
      <c r="F28" s="1777"/>
    </row>
    <row r="29" spans="2:7" ht="27.75" customHeight="1" thickBot="1" x14ac:dyDescent="0.3">
      <c r="B29" s="1779"/>
      <c r="C29" s="1780"/>
      <c r="D29" s="1781"/>
      <c r="E29" s="1781"/>
      <c r="F29" s="1782"/>
    </row>
    <row r="30" spans="2:7" ht="21" customHeight="1" thickTop="1" x14ac:dyDescent="0.25">
      <c r="B30" s="1767" t="s">
        <v>883</v>
      </c>
      <c r="C30" s="1770">
        <v>0</v>
      </c>
      <c r="D30" s="1773">
        <v>0</v>
      </c>
      <c r="E30" s="1773">
        <v>0</v>
      </c>
      <c r="F30" s="1776">
        <v>0</v>
      </c>
    </row>
    <row r="31" spans="2:7" ht="18.75" customHeight="1" x14ac:dyDescent="0.25">
      <c r="B31" s="1768"/>
      <c r="C31" s="1771"/>
      <c r="D31" s="1774"/>
      <c r="E31" s="1774"/>
      <c r="F31" s="1777"/>
    </row>
    <row r="32" spans="2:7" ht="18.75" customHeight="1" thickBot="1" x14ac:dyDescent="0.3">
      <c r="B32" s="1769"/>
      <c r="C32" s="1772"/>
      <c r="D32" s="1775"/>
      <c r="E32" s="1775"/>
      <c r="F32" s="1778"/>
    </row>
  </sheetData>
  <mergeCells count="47">
    <mergeCell ref="B27:B29"/>
    <mergeCell ref="C27:C29"/>
    <mergeCell ref="D27:D29"/>
    <mergeCell ref="E27:E29"/>
    <mergeCell ref="F27:F29"/>
    <mergeCell ref="B30:B32"/>
    <mergeCell ref="C30:C32"/>
    <mergeCell ref="D30:D32"/>
    <mergeCell ref="E30:E32"/>
    <mergeCell ref="F30:F32"/>
    <mergeCell ref="B21:B23"/>
    <mergeCell ref="C21:C23"/>
    <mergeCell ref="D21:D23"/>
    <mergeCell ref="E21:E23"/>
    <mergeCell ref="F21:F23"/>
    <mergeCell ref="B24:B26"/>
    <mergeCell ref="C24:C26"/>
    <mergeCell ref="D24:D26"/>
    <mergeCell ref="E24:E26"/>
    <mergeCell ref="F24:F26"/>
    <mergeCell ref="B15:B17"/>
    <mergeCell ref="C15:C17"/>
    <mergeCell ref="D15:D17"/>
    <mergeCell ref="E15:E17"/>
    <mergeCell ref="F15:F17"/>
    <mergeCell ref="B18:B20"/>
    <mergeCell ref="C18:C20"/>
    <mergeCell ref="D18:D20"/>
    <mergeCell ref="E18:E20"/>
    <mergeCell ref="F18:F20"/>
    <mergeCell ref="B9:B11"/>
    <mergeCell ref="C9:C11"/>
    <mergeCell ref="D9:D11"/>
    <mergeCell ref="E9:E11"/>
    <mergeCell ref="F9:F11"/>
    <mergeCell ref="B12:B14"/>
    <mergeCell ref="C12:C14"/>
    <mergeCell ref="D12:D14"/>
    <mergeCell ref="E12:E14"/>
    <mergeCell ref="F12:F14"/>
    <mergeCell ref="B2:F2"/>
    <mergeCell ref="B3:F4"/>
    <mergeCell ref="B7:B8"/>
    <mergeCell ref="C7:C8"/>
    <mergeCell ref="D7:D8"/>
    <mergeCell ref="E7:E8"/>
    <mergeCell ref="F7:F8"/>
  </mergeCells>
  <printOptions verticalCentered="1"/>
  <pageMargins left="0.59055118110236227" right="0.78740157480314965" top="0.98425196850393704" bottom="0.98425196850393704" header="0.51181102362204722" footer="0.51181102362204722"/>
  <pageSetup paperSize="9" scale="80" firstPageNumber="74" orientation="portrait" useFirstPageNumber="1" r:id="rId1"/>
  <headerFooter alignWithMargins="0">
    <oddFooter>&amp;C&amp;P.oldal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7"/>
  <sheetViews>
    <sheetView zoomScaleNormal="100" zoomScaleSheetLayoutView="120" workbookViewId="0">
      <selection activeCell="C4" sqref="C4"/>
    </sheetView>
  </sheetViews>
  <sheetFormatPr defaultRowHeight="13.2" x14ac:dyDescent="0.25"/>
  <cols>
    <col min="1" max="1" width="15.5546875" style="130" customWidth="1"/>
    <col min="2" max="2" width="60.6640625" style="687" customWidth="1"/>
    <col min="3" max="3" width="11.5546875" style="671" customWidth="1"/>
  </cols>
  <sheetData>
    <row r="1" spans="1:3" x14ac:dyDescent="0.25">
      <c r="A1" s="1739" t="s">
        <v>1417</v>
      </c>
      <c r="B1" s="1739"/>
      <c r="C1" s="1739"/>
    </row>
    <row r="2" spans="1:3" x14ac:dyDescent="0.25">
      <c r="A2" s="1739" t="s">
        <v>884</v>
      </c>
      <c r="B2" s="1739"/>
      <c r="C2" s="1739"/>
    </row>
    <row r="3" spans="1:3" x14ac:dyDescent="0.25">
      <c r="A3" s="1739" t="s">
        <v>987</v>
      </c>
      <c r="B3" s="1739"/>
      <c r="C3" s="1739"/>
    </row>
    <row r="4" spans="1:3" ht="13.8" thickBot="1" x14ac:dyDescent="0.3">
      <c r="C4" s="1412" t="s">
        <v>87</v>
      </c>
    </row>
    <row r="5" spans="1:3" s="688" customFormat="1" ht="45" customHeight="1" x14ac:dyDescent="0.25">
      <c r="A5" s="1413" t="s">
        <v>885</v>
      </c>
      <c r="B5" s="1414" t="s">
        <v>886</v>
      </c>
      <c r="C5" s="1415">
        <f>SUM(C6:C20)</f>
        <v>5503343</v>
      </c>
    </row>
    <row r="6" spans="1:3" ht="13.8" x14ac:dyDescent="0.25">
      <c r="A6" s="1416">
        <v>1710</v>
      </c>
      <c r="B6" s="689" t="s">
        <v>1078</v>
      </c>
      <c r="C6" s="1417">
        <f>3703961-47250+137568+55828+71641+71519</f>
        <v>3993267</v>
      </c>
    </row>
    <row r="7" spans="1:3" ht="13.8" x14ac:dyDescent="0.25">
      <c r="A7" s="1416">
        <v>1801</v>
      </c>
      <c r="B7" s="689" t="s">
        <v>1276</v>
      </c>
      <c r="C7" s="1417">
        <f>SUM('1. mell 3. pont '!E62)</f>
        <v>99640</v>
      </c>
    </row>
    <row r="8" spans="1:3" ht="13.8" x14ac:dyDescent="0.25">
      <c r="A8" s="1416">
        <v>1802</v>
      </c>
      <c r="B8" s="689" t="s">
        <v>1275</v>
      </c>
      <c r="C8" s="1417">
        <f>SUM('1. mell 3. pont '!E64)</f>
        <v>18321</v>
      </c>
    </row>
    <row r="9" spans="1:3" ht="13.8" x14ac:dyDescent="0.25">
      <c r="A9" s="1416">
        <v>1804</v>
      </c>
      <c r="B9" s="689" t="s">
        <v>1274</v>
      </c>
      <c r="C9" s="1417">
        <f>SUM('1. mell 3. pont '!E68)</f>
        <v>268296</v>
      </c>
    </row>
    <row r="10" spans="1:3" ht="13.8" x14ac:dyDescent="0.25">
      <c r="A10" s="1416">
        <v>3200</v>
      </c>
      <c r="B10" s="689" t="s">
        <v>156</v>
      </c>
      <c r="C10" s="1417">
        <f>SUM('3 mell. 2. pont'!E276)</f>
        <v>365654</v>
      </c>
    </row>
    <row r="11" spans="1:3" ht="13.8" x14ac:dyDescent="0.25">
      <c r="A11" s="1416">
        <v>3201</v>
      </c>
      <c r="B11" s="689" t="s">
        <v>132</v>
      </c>
      <c r="C11" s="1417">
        <f>SUM('3 mell. 2. pont'!E289)</f>
        <v>160442</v>
      </c>
    </row>
    <row r="12" spans="1:3" ht="13.8" x14ac:dyDescent="0.25">
      <c r="A12" s="1416">
        <v>3206</v>
      </c>
      <c r="B12" s="689" t="s">
        <v>1273</v>
      </c>
      <c r="C12" s="1417">
        <f>SUM('3 mell. 2. pont'!E329)</f>
        <v>22482</v>
      </c>
    </row>
    <row r="13" spans="1:3" ht="13.8" x14ac:dyDescent="0.25">
      <c r="A13" s="1416">
        <v>3208</v>
      </c>
      <c r="B13" s="689" t="s">
        <v>90</v>
      </c>
      <c r="C13" s="1417">
        <f>SUM('3 mell. 2. pont'!E349)</f>
        <v>27178</v>
      </c>
    </row>
    <row r="14" spans="1:3" ht="13.8" x14ac:dyDescent="0.25">
      <c r="A14" s="1416">
        <v>3209</v>
      </c>
      <c r="B14" s="689" t="s">
        <v>23</v>
      </c>
      <c r="C14" s="1417">
        <f>SUM('3 mell. 2. pont'!E359)</f>
        <v>5000</v>
      </c>
    </row>
    <row r="15" spans="1:3" ht="13.8" x14ac:dyDescent="0.25">
      <c r="A15" s="1416">
        <v>3221</v>
      </c>
      <c r="B15" s="689" t="s">
        <v>282</v>
      </c>
      <c r="C15" s="1417">
        <f>SUM('3 mell. 2. pont'!E434)</f>
        <v>2924</v>
      </c>
    </row>
    <row r="16" spans="1:3" ht="13.8" x14ac:dyDescent="0.25">
      <c r="A16" s="1416">
        <v>3223</v>
      </c>
      <c r="B16" s="689" t="s">
        <v>1272</v>
      </c>
      <c r="C16" s="1417">
        <f>SUM('3 mell. 2. pont'!E444)</f>
        <v>21469</v>
      </c>
    </row>
    <row r="17" spans="1:3" ht="13.8" x14ac:dyDescent="0.25">
      <c r="A17" s="1416">
        <v>3451</v>
      </c>
      <c r="B17" s="689" t="s">
        <v>1271</v>
      </c>
      <c r="C17" s="1417">
        <f>SUM('3 mell. 2. pont'!E938)</f>
        <v>6802</v>
      </c>
    </row>
    <row r="18" spans="1:3" ht="13.8" x14ac:dyDescent="0.25">
      <c r="A18" s="1416">
        <v>4163</v>
      </c>
      <c r="B18" s="689" t="s">
        <v>1270</v>
      </c>
      <c r="C18" s="1417">
        <f>SUM('4.mell.'!E42)</f>
        <v>80000</v>
      </c>
    </row>
    <row r="19" spans="1:3" ht="13.8" x14ac:dyDescent="0.25">
      <c r="A19" s="1416">
        <v>6110</v>
      </c>
      <c r="B19" s="689" t="s">
        <v>969</v>
      </c>
      <c r="C19" s="1417">
        <f>SUM('6.mell. '!E12)</f>
        <v>431868</v>
      </c>
    </row>
    <row r="20" spans="1:3" ht="13.8" x14ac:dyDescent="0.25">
      <c r="A20" s="1416"/>
      <c r="B20" s="689"/>
      <c r="C20" s="1417"/>
    </row>
    <row r="21" spans="1:3" s="688" customFormat="1" ht="45" hidden="1" customHeight="1" x14ac:dyDescent="0.25">
      <c r="A21" s="1418" t="s">
        <v>1269</v>
      </c>
      <c r="B21" s="690" t="s">
        <v>1268</v>
      </c>
      <c r="C21" s="1419">
        <f>SUM(C22:C26)</f>
        <v>0</v>
      </c>
    </row>
    <row r="22" spans="1:3" ht="13.8" hidden="1" x14ac:dyDescent="0.25">
      <c r="A22" s="1416"/>
      <c r="B22" s="689"/>
      <c r="C22" s="1417"/>
    </row>
    <row r="23" spans="1:3" ht="13.8" hidden="1" x14ac:dyDescent="0.25">
      <c r="A23" s="1416"/>
      <c r="B23" s="689"/>
      <c r="C23" s="1417"/>
    </row>
    <row r="24" spans="1:3" ht="13.8" hidden="1" x14ac:dyDescent="0.25">
      <c r="A24" s="1416"/>
      <c r="B24" s="689"/>
      <c r="C24" s="1417"/>
    </row>
    <row r="25" spans="1:3" ht="13.8" hidden="1" x14ac:dyDescent="0.25">
      <c r="A25" s="1416"/>
      <c r="B25" s="689"/>
      <c r="C25" s="1417"/>
    </row>
    <row r="26" spans="1:3" ht="13.8" hidden="1" x14ac:dyDescent="0.25">
      <c r="A26" s="1416"/>
      <c r="B26" s="689"/>
      <c r="C26" s="1417"/>
    </row>
    <row r="27" spans="1:3" s="688" customFormat="1" ht="45" customHeight="1" x14ac:dyDescent="0.25">
      <c r="A27" s="1418" t="s">
        <v>1267</v>
      </c>
      <c r="B27" s="690" t="s">
        <v>1266</v>
      </c>
      <c r="C27" s="1419">
        <f>SUM(C28:C32)</f>
        <v>195958</v>
      </c>
    </row>
    <row r="28" spans="1:3" ht="13.8" x14ac:dyDescent="0.25">
      <c r="A28" s="1416">
        <v>1710</v>
      </c>
      <c r="B28" s="689" t="s">
        <v>1078</v>
      </c>
      <c r="C28" s="1417">
        <v>195958</v>
      </c>
    </row>
    <row r="29" spans="1:3" ht="13.8" hidden="1" x14ac:dyDescent="0.25">
      <c r="A29" s="1416"/>
      <c r="B29" s="689"/>
      <c r="C29" s="1417"/>
    </row>
    <row r="30" spans="1:3" ht="13.8" hidden="1" x14ac:dyDescent="0.25">
      <c r="A30" s="1416"/>
      <c r="B30" s="689"/>
      <c r="C30" s="1417"/>
    </row>
    <row r="31" spans="1:3" ht="13.8" hidden="1" x14ac:dyDescent="0.25">
      <c r="A31" s="1416"/>
      <c r="B31" s="689"/>
      <c r="C31" s="1417"/>
    </row>
    <row r="32" spans="1:3" ht="13.8" x14ac:dyDescent="0.25">
      <c r="A32" s="1416"/>
      <c r="B32" s="689"/>
      <c r="C32" s="1417"/>
    </row>
    <row r="33" spans="1:3" s="688" customFormat="1" ht="45" customHeight="1" x14ac:dyDescent="0.25">
      <c r="A33" s="1418" t="s">
        <v>887</v>
      </c>
      <c r="B33" s="690" t="s">
        <v>888</v>
      </c>
      <c r="C33" s="1419">
        <f>SUM(C34:C56)</f>
        <v>7164975</v>
      </c>
    </row>
    <row r="34" spans="1:3" ht="15" customHeight="1" x14ac:dyDescent="0.25">
      <c r="A34" s="1416">
        <v>3111</v>
      </c>
      <c r="B34" s="689" t="s">
        <v>75</v>
      </c>
      <c r="C34" s="1417">
        <f>SUM('3 mell. 2. pont'!E103)</f>
        <v>1200000</v>
      </c>
    </row>
    <row r="35" spans="1:3" ht="13.8" x14ac:dyDescent="0.25">
      <c r="A35" s="1416">
        <v>3114</v>
      </c>
      <c r="B35" s="689" t="s">
        <v>1265</v>
      </c>
      <c r="C35" s="1417">
        <f>SUM('3 mell. 2. pont'!E123)</f>
        <v>172443</v>
      </c>
    </row>
    <row r="36" spans="1:3" ht="13.8" x14ac:dyDescent="0.25">
      <c r="A36" s="1416">
        <v>3115</v>
      </c>
      <c r="B36" s="689" t="s">
        <v>1264</v>
      </c>
      <c r="C36" s="1417">
        <f>SUM('3 mell. 2. pont'!E133)</f>
        <v>57693</v>
      </c>
    </row>
    <row r="37" spans="1:3" ht="13.8" x14ac:dyDescent="0.25">
      <c r="A37" s="1416">
        <v>3116</v>
      </c>
      <c r="B37" s="689" t="s">
        <v>1263</v>
      </c>
      <c r="C37" s="1417">
        <f>SUM('3 mell. 2. pont'!E143)</f>
        <v>22596</v>
      </c>
    </row>
    <row r="38" spans="1:3" ht="13.8" x14ac:dyDescent="0.25">
      <c r="A38" s="1416">
        <v>3121</v>
      </c>
      <c r="B38" s="689" t="s">
        <v>1262</v>
      </c>
      <c r="C38" s="1417">
        <f>SUM('3 mell. 2. pont'!E154)</f>
        <v>12407</v>
      </c>
    </row>
    <row r="39" spans="1:3" ht="13.8" x14ac:dyDescent="0.25">
      <c r="A39" s="1416">
        <v>3122</v>
      </c>
      <c r="B39" s="689" t="s">
        <v>1261</v>
      </c>
      <c r="C39" s="1417">
        <f>SUM('3 mell. 2. pont'!E164)</f>
        <v>5500</v>
      </c>
    </row>
    <row r="40" spans="1:3" ht="13.8" x14ac:dyDescent="0.25">
      <c r="A40" s="1416">
        <v>3123</v>
      </c>
      <c r="B40" s="689" t="s">
        <v>1260</v>
      </c>
      <c r="C40" s="1417">
        <f>SUM('3 mell. 2. pont'!E174)</f>
        <v>16663</v>
      </c>
    </row>
    <row r="41" spans="1:3" ht="13.8" x14ac:dyDescent="0.25">
      <c r="A41" s="1416">
        <v>3124</v>
      </c>
      <c r="B41" s="689" t="s">
        <v>54</v>
      </c>
      <c r="C41" s="1417">
        <f>SUM('3 mell. 2. pont'!E184)</f>
        <v>5000</v>
      </c>
    </row>
    <row r="42" spans="1:3" ht="13.8" x14ac:dyDescent="0.25">
      <c r="A42" s="1416">
        <v>3125</v>
      </c>
      <c r="B42" s="689" t="s">
        <v>1259</v>
      </c>
      <c r="C42" s="1417">
        <f>SUM('3 mell. 2. pont'!E194)</f>
        <v>5000</v>
      </c>
    </row>
    <row r="43" spans="1:3" ht="13.8" x14ac:dyDescent="0.25">
      <c r="A43" s="1416">
        <v>3211</v>
      </c>
      <c r="B43" s="689" t="s">
        <v>190</v>
      </c>
      <c r="C43" s="1417">
        <f>SUM('3 mell. 2. pont'!E370)</f>
        <v>1001415</v>
      </c>
    </row>
    <row r="44" spans="1:3" ht="13.8" x14ac:dyDescent="0.25">
      <c r="A44" s="1416">
        <v>3213</v>
      </c>
      <c r="B44" s="689" t="s">
        <v>198</v>
      </c>
      <c r="C44" s="1417">
        <f>SUM('3 mell. 2. pont'!E394)</f>
        <v>710000</v>
      </c>
    </row>
    <row r="45" spans="1:3" ht="13.8" x14ac:dyDescent="0.25">
      <c r="A45" s="1416">
        <v>3925</v>
      </c>
      <c r="B45" s="689" t="s">
        <v>1258</v>
      </c>
      <c r="C45" s="1417">
        <f>SUM('3 mell 3. pont'!E15)</f>
        <v>232410</v>
      </c>
    </row>
    <row r="46" spans="1:3" ht="13.8" x14ac:dyDescent="0.25">
      <c r="A46" s="1416">
        <v>4114</v>
      </c>
      <c r="B46" s="689" t="s">
        <v>241</v>
      </c>
      <c r="C46" s="1417">
        <f>SUM('4.mell.'!E25)</f>
        <v>144000</v>
      </c>
    </row>
    <row r="47" spans="1:3" ht="13.8" x14ac:dyDescent="0.25">
      <c r="A47" s="1416">
        <v>4121</v>
      </c>
      <c r="B47" s="689" t="s">
        <v>1257</v>
      </c>
      <c r="C47" s="1417">
        <f>SUM('4.mell.'!E26)</f>
        <v>179884</v>
      </c>
    </row>
    <row r="48" spans="1:3" ht="13.8" x14ac:dyDescent="0.25">
      <c r="A48" s="1416">
        <v>4126</v>
      </c>
      <c r="B48" s="689" t="s">
        <v>208</v>
      </c>
      <c r="C48" s="1417">
        <f>SUM('4.mell.'!E30)</f>
        <v>252175</v>
      </c>
    </row>
    <row r="49" spans="1:3" ht="13.8" x14ac:dyDescent="0.25">
      <c r="A49" s="1416">
        <v>4137</v>
      </c>
      <c r="B49" s="689" t="s">
        <v>1256</v>
      </c>
      <c r="C49" s="1417">
        <f>SUM('4.mell.'!E52)</f>
        <v>241156</v>
      </c>
    </row>
    <row r="50" spans="1:3" ht="13.8" x14ac:dyDescent="0.25">
      <c r="A50" s="1416">
        <v>4153</v>
      </c>
      <c r="B50" s="689" t="s">
        <v>1255</v>
      </c>
      <c r="C50" s="1417">
        <f>SUM('4.mell.'!E33)</f>
        <v>25000</v>
      </c>
    </row>
    <row r="51" spans="1:3" ht="13.8" x14ac:dyDescent="0.25">
      <c r="A51" s="1416">
        <v>4154</v>
      </c>
      <c r="B51" s="689" t="s">
        <v>1254</v>
      </c>
      <c r="C51" s="1417">
        <f>SUM('4.mell.'!E34)</f>
        <v>462527</v>
      </c>
    </row>
    <row r="52" spans="1:3" ht="13.8" x14ac:dyDescent="0.25">
      <c r="A52" s="1416">
        <v>4155</v>
      </c>
      <c r="B52" s="689" t="s">
        <v>1253</v>
      </c>
      <c r="C52" s="1417">
        <f>SUM('4.mell.'!E35)</f>
        <v>30451</v>
      </c>
    </row>
    <row r="53" spans="1:3" ht="13.8" x14ac:dyDescent="0.25">
      <c r="A53" s="1416">
        <v>4156</v>
      </c>
      <c r="B53" s="689" t="s">
        <v>1252</v>
      </c>
      <c r="C53" s="1417">
        <f>SUM('4.mell.'!E36)</f>
        <v>188000</v>
      </c>
    </row>
    <row r="54" spans="1:3" ht="13.8" x14ac:dyDescent="0.25">
      <c r="A54" s="1416">
        <v>4160</v>
      </c>
      <c r="B54" s="689" t="s">
        <v>1251</v>
      </c>
      <c r="C54" s="1417">
        <f>SUM('4.mell.'!E39)</f>
        <v>2050655</v>
      </c>
    </row>
    <row r="55" spans="1:3" ht="13.8" x14ac:dyDescent="0.25">
      <c r="A55" s="1416">
        <v>5026</v>
      </c>
      <c r="B55" s="689" t="s">
        <v>298</v>
      </c>
      <c r="C55" s="1417">
        <f>SUM('5.mell. '!E32)</f>
        <v>150000</v>
      </c>
    </row>
    <row r="56" spans="1:3" ht="13.8" x14ac:dyDescent="0.25">
      <c r="A56" s="1416"/>
      <c r="B56" s="689"/>
      <c r="C56" s="1417"/>
    </row>
    <row r="57" spans="1:3" s="688" customFormat="1" ht="45" customHeight="1" x14ac:dyDescent="0.25">
      <c r="A57" s="1418" t="s">
        <v>900</v>
      </c>
      <c r="B57" s="690" t="s">
        <v>901</v>
      </c>
      <c r="C57" s="1419">
        <f>SUM(C58:C62)</f>
        <v>2345163</v>
      </c>
    </row>
    <row r="58" spans="1:3" ht="13.8" x14ac:dyDescent="0.25">
      <c r="A58" s="1420">
        <v>2795</v>
      </c>
      <c r="B58" s="689" t="s">
        <v>360</v>
      </c>
      <c r="C58" s="1417">
        <f>1966856+316038+21339+2830+38100</f>
        <v>2345163</v>
      </c>
    </row>
    <row r="59" spans="1:3" ht="13.8" hidden="1" x14ac:dyDescent="0.25">
      <c r="A59" s="1416"/>
      <c r="B59" s="689"/>
      <c r="C59" s="1417"/>
    </row>
    <row r="60" spans="1:3" ht="13.8" hidden="1" x14ac:dyDescent="0.25">
      <c r="A60" s="1416"/>
      <c r="B60" s="689"/>
      <c r="C60" s="1417"/>
    </row>
    <row r="61" spans="1:3" ht="13.8" hidden="1" x14ac:dyDescent="0.25">
      <c r="A61" s="1416"/>
      <c r="B61" s="689"/>
      <c r="C61" s="1417"/>
    </row>
    <row r="62" spans="1:3" ht="13.8" x14ac:dyDescent="0.25">
      <c r="A62" s="1416"/>
      <c r="B62" s="689"/>
      <c r="C62" s="1417"/>
    </row>
    <row r="63" spans="1:3" s="688" customFormat="1" ht="45" customHeight="1" x14ac:dyDescent="0.25">
      <c r="A63" s="1418" t="s">
        <v>1250</v>
      </c>
      <c r="B63" s="690" t="s">
        <v>1249</v>
      </c>
      <c r="C63" s="1419">
        <f>SUM(C64:C68)</f>
        <v>96710</v>
      </c>
    </row>
    <row r="64" spans="1:3" ht="13.8" x14ac:dyDescent="0.25">
      <c r="A64" s="1416">
        <v>1710</v>
      </c>
      <c r="B64" s="689" t="s">
        <v>1078</v>
      </c>
      <c r="C64" s="1417">
        <f>SUM('3 mell 1. pont'!E39,'3 mell 1. pont'!E49)</f>
        <v>96710</v>
      </c>
    </row>
    <row r="65" spans="1:3" ht="13.8" hidden="1" x14ac:dyDescent="0.25">
      <c r="A65" s="1416"/>
      <c r="B65" s="689"/>
      <c r="C65" s="1417"/>
    </row>
    <row r="66" spans="1:3" ht="13.8" hidden="1" x14ac:dyDescent="0.25">
      <c r="A66" s="1416"/>
      <c r="B66" s="689"/>
      <c r="C66" s="1417"/>
    </row>
    <row r="67" spans="1:3" ht="13.8" hidden="1" x14ac:dyDescent="0.25">
      <c r="A67" s="1416"/>
      <c r="B67" s="689"/>
      <c r="C67" s="1417"/>
    </row>
    <row r="68" spans="1:3" ht="13.8" x14ac:dyDescent="0.25">
      <c r="A68" s="1416"/>
      <c r="B68" s="689"/>
      <c r="C68" s="1417"/>
    </row>
    <row r="69" spans="1:3" s="688" customFormat="1" ht="45" customHeight="1" x14ac:dyDescent="0.25">
      <c r="A69" s="1418" t="s">
        <v>1248</v>
      </c>
      <c r="B69" s="690" t="s">
        <v>1247</v>
      </c>
      <c r="C69" s="1419">
        <f>SUM(C70:C74)</f>
        <v>79061</v>
      </c>
    </row>
    <row r="70" spans="1:3" ht="13.8" x14ac:dyDescent="0.25">
      <c r="A70" s="1416">
        <v>1710</v>
      </c>
      <c r="B70" s="689" t="s">
        <v>1078</v>
      </c>
      <c r="C70" s="1417">
        <v>79061</v>
      </c>
    </row>
    <row r="71" spans="1:3" ht="13.8" hidden="1" x14ac:dyDescent="0.25">
      <c r="A71" s="1416"/>
      <c r="B71" s="689"/>
      <c r="C71" s="1417"/>
    </row>
    <row r="72" spans="1:3" ht="13.8" hidden="1" x14ac:dyDescent="0.25">
      <c r="A72" s="1416"/>
      <c r="B72" s="689"/>
      <c r="C72" s="1417"/>
    </row>
    <row r="73" spans="1:3" ht="13.8" hidden="1" x14ac:dyDescent="0.25">
      <c r="A73" s="1416"/>
      <c r="B73" s="689"/>
      <c r="C73" s="1417"/>
    </row>
    <row r="74" spans="1:3" ht="13.8" x14ac:dyDescent="0.25">
      <c r="A74" s="1416"/>
      <c r="B74" s="689"/>
      <c r="C74" s="1417"/>
    </row>
    <row r="75" spans="1:3" s="688" customFormat="1" ht="45" customHeight="1" x14ac:dyDescent="0.25">
      <c r="A75" s="1418" t="s">
        <v>890</v>
      </c>
      <c r="B75" s="690" t="s">
        <v>891</v>
      </c>
      <c r="C75" s="1419">
        <f>SUM(C76:C80)</f>
        <v>263032</v>
      </c>
    </row>
    <row r="76" spans="1:3" ht="13.8" x14ac:dyDescent="0.25">
      <c r="A76" s="1420">
        <v>2985</v>
      </c>
      <c r="B76" s="689" t="s">
        <v>347</v>
      </c>
      <c r="C76" s="1417">
        <f>200930+40479</f>
        <v>241409</v>
      </c>
    </row>
    <row r="77" spans="1:3" ht="13.8" x14ac:dyDescent="0.25">
      <c r="A77" s="1416">
        <v>3422</v>
      </c>
      <c r="B77" s="689" t="s">
        <v>226</v>
      </c>
      <c r="C77" s="1417">
        <f>SUM('3 mell. 2. pont'!E848)</f>
        <v>21623</v>
      </c>
    </row>
    <row r="78" spans="1:3" ht="13.8" hidden="1" x14ac:dyDescent="0.25">
      <c r="A78" s="1416"/>
      <c r="B78" s="689"/>
      <c r="C78" s="1417"/>
    </row>
    <row r="79" spans="1:3" ht="13.8" hidden="1" x14ac:dyDescent="0.25">
      <c r="A79" s="1416"/>
      <c r="B79" s="689"/>
      <c r="C79" s="1417"/>
    </row>
    <row r="80" spans="1:3" ht="13.8" x14ac:dyDescent="0.25">
      <c r="A80" s="1416"/>
      <c r="B80" s="689"/>
      <c r="C80" s="1417"/>
    </row>
    <row r="81" spans="1:3" s="688" customFormat="1" ht="45" customHeight="1" x14ac:dyDescent="0.25">
      <c r="A81" s="1418" t="s">
        <v>982</v>
      </c>
      <c r="B81" s="690" t="s">
        <v>1246</v>
      </c>
      <c r="C81" s="1419">
        <f>SUM(C82:C86)</f>
        <v>207911</v>
      </c>
    </row>
    <row r="82" spans="1:3" ht="13.8" x14ac:dyDescent="0.25">
      <c r="A82" s="1416">
        <v>1806</v>
      </c>
      <c r="B82" s="689" t="s">
        <v>1245</v>
      </c>
      <c r="C82" s="1417">
        <f>SUM('1. mell 3. pont '!E70)</f>
        <v>0</v>
      </c>
    </row>
    <row r="83" spans="1:3" ht="13.8" x14ac:dyDescent="0.25">
      <c r="A83" s="1416">
        <v>1810</v>
      </c>
      <c r="B83" s="689" t="s">
        <v>1244</v>
      </c>
      <c r="C83" s="1417">
        <f>SUM('1. mell 3. pont '!E78)</f>
        <v>36451</v>
      </c>
    </row>
    <row r="84" spans="1:3" ht="13.8" x14ac:dyDescent="0.25">
      <c r="A84" s="1416">
        <v>1842</v>
      </c>
      <c r="B84" s="689" t="s">
        <v>1243</v>
      </c>
      <c r="C84" s="1417">
        <f>SUM('1. mell 3. pont '!E103)</f>
        <v>0</v>
      </c>
    </row>
    <row r="85" spans="1:3" ht="13.8" x14ac:dyDescent="0.25">
      <c r="A85" s="1416">
        <v>1843</v>
      </c>
      <c r="B85" s="689" t="s">
        <v>1242</v>
      </c>
      <c r="C85" s="1417">
        <f>SUM('1. mell 3. pont '!E104)</f>
        <v>171460</v>
      </c>
    </row>
    <row r="86" spans="1:3" ht="13.8" x14ac:dyDescent="0.25">
      <c r="A86" s="1416"/>
      <c r="B86" s="689"/>
      <c r="C86" s="1417"/>
    </row>
    <row r="87" spans="1:3" s="688" customFormat="1" ht="45" customHeight="1" x14ac:dyDescent="0.25">
      <c r="A87" s="1418" t="s">
        <v>892</v>
      </c>
      <c r="B87" s="690" t="s">
        <v>893</v>
      </c>
      <c r="C87" s="1419">
        <f>SUM(C88:C92)</f>
        <v>3761230</v>
      </c>
    </row>
    <row r="88" spans="1:3" ht="13.8" x14ac:dyDescent="0.25">
      <c r="A88" s="1416">
        <v>1803</v>
      </c>
      <c r="B88" s="689" t="s">
        <v>894</v>
      </c>
      <c r="C88" s="1417">
        <f>SUM('1. mell 3. pont '!E66)</f>
        <v>3011230</v>
      </c>
    </row>
    <row r="89" spans="1:3" s="987" customFormat="1" ht="13.8" x14ac:dyDescent="0.25">
      <c r="A89" s="1416">
        <v>1807</v>
      </c>
      <c r="B89" s="689" t="s">
        <v>533</v>
      </c>
      <c r="C89" s="1417">
        <f>SUM('1. mell 3. pont '!E72)</f>
        <v>750000</v>
      </c>
    </row>
    <row r="90" spans="1:3" ht="13.8" hidden="1" x14ac:dyDescent="0.25">
      <c r="A90" s="1416"/>
      <c r="B90" s="689"/>
      <c r="C90" s="1417"/>
    </row>
    <row r="91" spans="1:3" ht="13.8" hidden="1" x14ac:dyDescent="0.25">
      <c r="A91" s="1416"/>
      <c r="B91" s="689"/>
      <c r="C91" s="1417"/>
    </row>
    <row r="92" spans="1:3" ht="13.8" x14ac:dyDescent="0.25">
      <c r="A92" s="1416"/>
      <c r="B92" s="689"/>
      <c r="C92" s="1417"/>
    </row>
    <row r="93" spans="1:3" s="688" customFormat="1" ht="45" customHeight="1" x14ac:dyDescent="0.25">
      <c r="A93" s="1418" t="s">
        <v>983</v>
      </c>
      <c r="B93" s="690" t="s">
        <v>1241</v>
      </c>
      <c r="C93" s="1419">
        <f>SUM(C94:C106)</f>
        <v>27733</v>
      </c>
    </row>
    <row r="94" spans="1:3" ht="13.8" x14ac:dyDescent="0.25">
      <c r="A94" s="1420">
        <v>3987</v>
      </c>
      <c r="B94" s="689" t="s">
        <v>1240</v>
      </c>
      <c r="C94" s="1417">
        <f>SUM('3 mell 3. pont'!E53)</f>
        <v>900</v>
      </c>
    </row>
    <row r="95" spans="1:3" ht="13.8" x14ac:dyDescent="0.25">
      <c r="A95" s="1420">
        <v>3988</v>
      </c>
      <c r="B95" s="689" t="s">
        <v>1239</v>
      </c>
      <c r="C95" s="1417">
        <f>SUM('3 mell 3. pont'!E54)</f>
        <v>900</v>
      </c>
    </row>
    <row r="96" spans="1:3" ht="13.8" x14ac:dyDescent="0.25">
      <c r="A96" s="1420">
        <v>3989</v>
      </c>
      <c r="B96" s="689" t="s">
        <v>1238</v>
      </c>
      <c r="C96" s="1417">
        <f>SUM('3 mell 3. pont'!E52)</f>
        <v>6000</v>
      </c>
    </row>
    <row r="97" spans="1:3" ht="13.8" x14ac:dyDescent="0.25">
      <c r="A97" s="1420">
        <v>3990</v>
      </c>
      <c r="B97" s="689" t="s">
        <v>1237</v>
      </c>
      <c r="C97" s="1417">
        <f>SUM('3 mell 3. pont'!E55)</f>
        <v>1000</v>
      </c>
    </row>
    <row r="98" spans="1:3" ht="13.8" x14ac:dyDescent="0.25">
      <c r="A98" s="1420">
        <v>3991</v>
      </c>
      <c r="B98" s="689" t="s">
        <v>1236</v>
      </c>
      <c r="C98" s="1417">
        <f>SUM('3 mell 3. pont'!E56)</f>
        <v>4820</v>
      </c>
    </row>
    <row r="99" spans="1:3" ht="13.8" x14ac:dyDescent="0.25">
      <c r="A99" s="1420">
        <v>3992</v>
      </c>
      <c r="B99" s="689" t="s">
        <v>1235</v>
      </c>
      <c r="C99" s="1417">
        <f>SUM('3 mell 3. pont'!E57)</f>
        <v>1400</v>
      </c>
    </row>
    <row r="100" spans="1:3" ht="13.8" x14ac:dyDescent="0.25">
      <c r="A100" s="1420">
        <v>3993</v>
      </c>
      <c r="B100" s="689" t="s">
        <v>1234</v>
      </c>
      <c r="C100" s="1417">
        <f>SUM('3 mell 3. pont'!E58)</f>
        <v>900</v>
      </c>
    </row>
    <row r="101" spans="1:3" ht="13.8" x14ac:dyDescent="0.25">
      <c r="A101" s="1420">
        <v>3994</v>
      </c>
      <c r="B101" s="689" t="s">
        <v>1233</v>
      </c>
      <c r="C101" s="1417">
        <f>SUM('3 mell 3. pont'!E59)</f>
        <v>900</v>
      </c>
    </row>
    <row r="102" spans="1:3" ht="13.8" x14ac:dyDescent="0.25">
      <c r="A102" s="1416">
        <v>3997</v>
      </c>
      <c r="B102" s="689" t="s">
        <v>1232</v>
      </c>
      <c r="C102" s="1417">
        <f>SUM('3 mell 3. pont'!E61)</f>
        <v>900</v>
      </c>
    </row>
    <row r="103" spans="1:3" ht="13.8" x14ac:dyDescent="0.25">
      <c r="A103" s="1416">
        <v>3998</v>
      </c>
      <c r="B103" s="689" t="s">
        <v>1231</v>
      </c>
      <c r="C103" s="1417">
        <f>SUM('3 mell 3. pont'!E62)</f>
        <v>900</v>
      </c>
    </row>
    <row r="104" spans="1:3" ht="13.8" x14ac:dyDescent="0.25">
      <c r="A104" s="1416">
        <v>3999</v>
      </c>
      <c r="B104" s="689" t="s">
        <v>1230</v>
      </c>
      <c r="C104" s="1417">
        <f>SUM('3 mell 3. pont'!E63)</f>
        <v>1000</v>
      </c>
    </row>
    <row r="105" spans="1:3" ht="13.8" x14ac:dyDescent="0.25">
      <c r="A105" s="1416">
        <v>3926</v>
      </c>
      <c r="B105" s="689" t="s">
        <v>829</v>
      </c>
      <c r="C105" s="1417">
        <f>SUM('3 mell 3. pont'!E16)</f>
        <v>5000</v>
      </c>
    </row>
    <row r="106" spans="1:3" ht="13.8" x14ac:dyDescent="0.25">
      <c r="A106" s="1416">
        <v>2499</v>
      </c>
      <c r="B106" s="689" t="s">
        <v>1109</v>
      </c>
      <c r="C106" s="1417">
        <v>3113</v>
      </c>
    </row>
    <row r="107" spans="1:3" s="688" customFormat="1" ht="45" customHeight="1" x14ac:dyDescent="0.25">
      <c r="A107" s="1418" t="s">
        <v>895</v>
      </c>
      <c r="B107" s="690" t="s">
        <v>1229</v>
      </c>
      <c r="C107" s="1419">
        <f>SUM(C108:C112)</f>
        <v>498617</v>
      </c>
    </row>
    <row r="108" spans="1:3" ht="13.8" x14ac:dyDescent="0.25">
      <c r="A108" s="1416">
        <v>1710</v>
      </c>
      <c r="B108" s="689" t="s">
        <v>1078</v>
      </c>
      <c r="C108" s="1417">
        <v>498617</v>
      </c>
    </row>
    <row r="109" spans="1:3" ht="13.8" hidden="1" x14ac:dyDescent="0.25">
      <c r="A109" s="1420"/>
      <c r="B109" s="689"/>
      <c r="C109" s="1417"/>
    </row>
    <row r="110" spans="1:3" ht="13.8" hidden="1" x14ac:dyDescent="0.25">
      <c r="A110" s="1416"/>
      <c r="B110" s="689"/>
      <c r="C110" s="1417"/>
    </row>
    <row r="111" spans="1:3" ht="13.8" hidden="1" x14ac:dyDescent="0.25">
      <c r="A111" s="1416"/>
      <c r="B111" s="689"/>
      <c r="C111" s="1417"/>
    </row>
    <row r="112" spans="1:3" ht="13.8" x14ac:dyDescent="0.25">
      <c r="A112" s="1416"/>
      <c r="B112" s="689"/>
      <c r="C112" s="1417"/>
    </row>
    <row r="113" spans="1:3" s="688" customFormat="1" ht="45" customHeight="1" x14ac:dyDescent="0.25">
      <c r="A113" s="1418" t="s">
        <v>896</v>
      </c>
      <c r="B113" s="690" t="s">
        <v>897</v>
      </c>
      <c r="C113" s="1419">
        <f>SUM(C114:C118)</f>
        <v>319015</v>
      </c>
    </row>
    <row r="114" spans="1:3" ht="13.8" x14ac:dyDescent="0.25">
      <c r="A114" s="1416">
        <v>1710</v>
      </c>
      <c r="B114" s="689" t="s">
        <v>1078</v>
      </c>
      <c r="C114" s="1417">
        <v>169642</v>
      </c>
    </row>
    <row r="115" spans="1:3" ht="13.8" x14ac:dyDescent="0.25">
      <c r="A115" s="1416">
        <v>3204</v>
      </c>
      <c r="B115" s="689" t="s">
        <v>148</v>
      </c>
      <c r="C115" s="1417">
        <f>SUM('3 mell. 2. pont'!E309)</f>
        <v>45321</v>
      </c>
    </row>
    <row r="116" spans="1:3" ht="13.8" x14ac:dyDescent="0.25">
      <c r="A116" s="1416">
        <v>3924</v>
      </c>
      <c r="B116" s="689" t="s">
        <v>1228</v>
      </c>
      <c r="C116" s="1417">
        <f>SUM('3 mell 3. pont'!E14)</f>
        <v>30750</v>
      </c>
    </row>
    <row r="117" spans="1:3" ht="13.8" x14ac:dyDescent="0.25">
      <c r="A117" s="1416">
        <v>5033</v>
      </c>
      <c r="B117" s="689" t="s">
        <v>1227</v>
      </c>
      <c r="C117" s="1417">
        <f>SUM('5.mell. '!E35)</f>
        <v>73302</v>
      </c>
    </row>
    <row r="118" spans="1:3" ht="13.8" x14ac:dyDescent="0.25">
      <c r="A118" s="1416"/>
      <c r="B118" s="689"/>
      <c r="C118" s="1417"/>
    </row>
    <row r="119" spans="1:3" s="688" customFormat="1" ht="45" hidden="1" customHeight="1" x14ac:dyDescent="0.25">
      <c r="A119" s="1418" t="s">
        <v>899</v>
      </c>
      <c r="B119" s="690" t="s">
        <v>1226</v>
      </c>
      <c r="C119" s="1419">
        <f>SUM(C120:C124)</f>
        <v>0</v>
      </c>
    </row>
    <row r="120" spans="1:3" ht="13.8" hidden="1" x14ac:dyDescent="0.25">
      <c r="A120" s="1416"/>
      <c r="B120" s="689"/>
      <c r="C120" s="1417"/>
    </row>
    <row r="121" spans="1:3" ht="13.8" hidden="1" x14ac:dyDescent="0.25">
      <c r="A121" s="1416"/>
      <c r="B121" s="689"/>
      <c r="C121" s="1417"/>
    </row>
    <row r="122" spans="1:3" ht="13.8" hidden="1" x14ac:dyDescent="0.25">
      <c r="A122" s="1416"/>
      <c r="B122" s="689"/>
      <c r="C122" s="1417"/>
    </row>
    <row r="123" spans="1:3" ht="13.8" hidden="1" x14ac:dyDescent="0.25">
      <c r="A123" s="1416"/>
      <c r="B123" s="689"/>
      <c r="C123" s="1417"/>
    </row>
    <row r="124" spans="1:3" ht="13.8" hidden="1" x14ac:dyDescent="0.25">
      <c r="A124" s="1416"/>
      <c r="B124" s="689"/>
      <c r="C124" s="1417"/>
    </row>
    <row r="125" spans="1:3" s="688" customFormat="1" ht="45" customHeight="1" x14ac:dyDescent="0.25">
      <c r="A125" s="1418" t="s">
        <v>1225</v>
      </c>
      <c r="B125" s="690" t="s">
        <v>1224</v>
      </c>
      <c r="C125" s="1419">
        <f>SUM(C126:C130)</f>
        <v>227920</v>
      </c>
    </row>
    <row r="126" spans="1:3" ht="13.8" x14ac:dyDescent="0.25">
      <c r="A126" s="1416">
        <v>1710</v>
      </c>
      <c r="B126" s="689" t="s">
        <v>1078</v>
      </c>
      <c r="C126" s="1417">
        <v>117754</v>
      </c>
    </row>
    <row r="127" spans="1:3" ht="13.8" x14ac:dyDescent="0.25">
      <c r="A127" s="1416">
        <v>4141</v>
      </c>
      <c r="B127" s="689" t="s">
        <v>258</v>
      </c>
      <c r="C127" s="1417">
        <f>SUM('4.mell.'!E53)</f>
        <v>110166</v>
      </c>
    </row>
    <row r="128" spans="1:3" ht="13.8" hidden="1" x14ac:dyDescent="0.25">
      <c r="A128" s="1416"/>
      <c r="B128" s="689"/>
      <c r="C128" s="1417"/>
    </row>
    <row r="129" spans="1:3" ht="13.8" hidden="1" x14ac:dyDescent="0.25">
      <c r="A129" s="1416"/>
      <c r="B129" s="689"/>
      <c r="C129" s="1417"/>
    </row>
    <row r="130" spans="1:3" ht="13.8" x14ac:dyDescent="0.25">
      <c r="A130" s="1416"/>
      <c r="B130" s="689"/>
      <c r="C130" s="1417"/>
    </row>
    <row r="131" spans="1:3" s="688" customFormat="1" ht="45" customHeight="1" x14ac:dyDescent="0.25">
      <c r="A131" s="1418" t="s">
        <v>1223</v>
      </c>
      <c r="B131" s="690" t="s">
        <v>1222</v>
      </c>
      <c r="C131" s="1419">
        <f>SUM(C132:C136)</f>
        <v>51179</v>
      </c>
    </row>
    <row r="132" spans="1:3" ht="13.8" x14ac:dyDescent="0.25">
      <c r="A132" s="1416">
        <v>5005</v>
      </c>
      <c r="B132" s="689" t="s">
        <v>260</v>
      </c>
      <c r="C132" s="1417">
        <f>SUM('5.mell. '!D13)</f>
        <v>51179</v>
      </c>
    </row>
    <row r="133" spans="1:3" ht="13.8" hidden="1" x14ac:dyDescent="0.25">
      <c r="A133" s="1416"/>
      <c r="B133" s="689"/>
      <c r="C133" s="1417"/>
    </row>
    <row r="134" spans="1:3" ht="13.8" hidden="1" x14ac:dyDescent="0.25">
      <c r="A134" s="1416"/>
      <c r="B134" s="689"/>
      <c r="C134" s="1417"/>
    </row>
    <row r="135" spans="1:3" ht="13.8" hidden="1" x14ac:dyDescent="0.25">
      <c r="A135" s="1416"/>
      <c r="B135" s="689"/>
      <c r="C135" s="1417"/>
    </row>
    <row r="136" spans="1:3" ht="13.8" x14ac:dyDescent="0.25">
      <c r="A136" s="1416"/>
      <c r="B136" s="689"/>
      <c r="C136" s="1417"/>
    </row>
    <row r="137" spans="1:3" s="688" customFormat="1" ht="45" customHeight="1" x14ac:dyDescent="0.25">
      <c r="A137" s="1418" t="s">
        <v>902</v>
      </c>
      <c r="B137" s="690" t="s">
        <v>903</v>
      </c>
      <c r="C137" s="1419">
        <f>SUM(C138:C142)</f>
        <v>43698</v>
      </c>
    </row>
    <row r="138" spans="1:3" ht="13.8" x14ac:dyDescent="0.25">
      <c r="A138" s="1416">
        <v>3207</v>
      </c>
      <c r="B138" s="689" t="s">
        <v>119</v>
      </c>
      <c r="C138" s="1417">
        <f>SUM('3 mell. 2. pont'!E339)</f>
        <v>43698</v>
      </c>
    </row>
    <row r="139" spans="1:3" ht="13.8" hidden="1" x14ac:dyDescent="0.25">
      <c r="A139" s="1416"/>
      <c r="B139" s="689"/>
      <c r="C139" s="1417"/>
    </row>
    <row r="140" spans="1:3" ht="13.8" hidden="1" x14ac:dyDescent="0.25">
      <c r="A140" s="1416"/>
      <c r="B140" s="689"/>
      <c r="C140" s="1417"/>
    </row>
    <row r="141" spans="1:3" ht="13.8" hidden="1" x14ac:dyDescent="0.25">
      <c r="A141" s="1416"/>
      <c r="B141" s="689"/>
      <c r="C141" s="1417"/>
    </row>
    <row r="142" spans="1:3" ht="13.8" x14ac:dyDescent="0.25">
      <c r="A142" s="1416"/>
      <c r="B142" s="689"/>
      <c r="C142" s="1417"/>
    </row>
    <row r="143" spans="1:3" s="688" customFormat="1" ht="45" hidden="1" customHeight="1" x14ac:dyDescent="0.25">
      <c r="A143" s="1418" t="s">
        <v>1221</v>
      </c>
      <c r="B143" s="690" t="s">
        <v>1220</v>
      </c>
      <c r="C143" s="1419">
        <f>SUM(C144:C148)</f>
        <v>0</v>
      </c>
    </row>
    <row r="144" spans="1:3" ht="13.8" hidden="1" x14ac:dyDescent="0.25">
      <c r="A144" s="1416"/>
      <c r="B144" s="689"/>
      <c r="C144" s="1417"/>
    </row>
    <row r="145" spans="1:3" ht="13.8" hidden="1" x14ac:dyDescent="0.25">
      <c r="A145" s="1416"/>
      <c r="B145" s="689"/>
      <c r="C145" s="1417"/>
    </row>
    <row r="146" spans="1:3" ht="13.8" hidden="1" x14ac:dyDescent="0.25">
      <c r="A146" s="1416"/>
      <c r="B146" s="689"/>
      <c r="C146" s="1417"/>
    </row>
    <row r="147" spans="1:3" ht="13.8" hidden="1" x14ac:dyDescent="0.25">
      <c r="A147" s="1416"/>
      <c r="B147" s="689"/>
      <c r="C147" s="1417"/>
    </row>
    <row r="148" spans="1:3" ht="13.8" hidden="1" x14ac:dyDescent="0.25">
      <c r="A148" s="1416"/>
      <c r="B148" s="689"/>
      <c r="C148" s="1417"/>
    </row>
    <row r="149" spans="1:3" s="688" customFormat="1" ht="45" customHeight="1" x14ac:dyDescent="0.25">
      <c r="A149" s="1418" t="s">
        <v>1219</v>
      </c>
      <c r="B149" s="690" t="s">
        <v>1218</v>
      </c>
      <c r="C149" s="1419">
        <f>SUM(C150:C154)</f>
        <v>426279</v>
      </c>
    </row>
    <row r="150" spans="1:3" ht="13.8" x14ac:dyDescent="0.25">
      <c r="A150" s="1416">
        <v>3061</v>
      </c>
      <c r="B150" s="689" t="s">
        <v>1217</v>
      </c>
      <c r="C150" s="1417">
        <f>SUM('3 mell. 2. pont'!E70)</f>
        <v>6279</v>
      </c>
    </row>
    <row r="151" spans="1:3" ht="13.8" x14ac:dyDescent="0.25">
      <c r="A151" s="1416">
        <v>4018</v>
      </c>
      <c r="B151" s="689" t="s">
        <v>1216</v>
      </c>
      <c r="C151" s="1417">
        <f>SUM('4.mell.'!E15)</f>
        <v>300000</v>
      </c>
    </row>
    <row r="152" spans="1:3" ht="13.8" x14ac:dyDescent="0.25">
      <c r="A152" s="1416">
        <v>4019</v>
      </c>
      <c r="B152" s="689" t="s">
        <v>186</v>
      </c>
      <c r="C152" s="1417">
        <f>SUM('4.mell.'!E16)</f>
        <v>120000</v>
      </c>
    </row>
    <row r="153" spans="1:3" ht="13.8" hidden="1" x14ac:dyDescent="0.25">
      <c r="A153" s="1416"/>
      <c r="B153" s="689"/>
      <c r="C153" s="1417"/>
    </row>
    <row r="154" spans="1:3" ht="13.8" x14ac:dyDescent="0.25">
      <c r="A154" s="1416"/>
      <c r="B154" s="689"/>
      <c r="C154" s="1417"/>
    </row>
    <row r="155" spans="1:3" s="688" customFormat="1" ht="45" customHeight="1" x14ac:dyDescent="0.25">
      <c r="A155" s="1418" t="s">
        <v>904</v>
      </c>
      <c r="B155" s="690" t="s">
        <v>1215</v>
      </c>
      <c r="C155" s="1419">
        <f>SUM(C156:C159)</f>
        <v>1714313</v>
      </c>
    </row>
    <row r="156" spans="1:3" ht="13.8" x14ac:dyDescent="0.25">
      <c r="A156" s="1416">
        <v>1809</v>
      </c>
      <c r="B156" s="689" t="s">
        <v>380</v>
      </c>
      <c r="C156" s="1417">
        <f>SUM('1. mell 3. pont '!E75)</f>
        <v>0</v>
      </c>
    </row>
    <row r="157" spans="1:3" ht="13.8" x14ac:dyDescent="0.25">
      <c r="A157" s="1416">
        <v>3212</v>
      </c>
      <c r="B157" s="689" t="s">
        <v>157</v>
      </c>
      <c r="C157" s="1417">
        <f>SUM('3 mell. 2. pont'!E383)</f>
        <v>1693284</v>
      </c>
    </row>
    <row r="158" spans="1:3" ht="13.8" x14ac:dyDescent="0.25">
      <c r="A158" s="1416">
        <v>3227</v>
      </c>
      <c r="B158" s="689" t="s">
        <v>264</v>
      </c>
      <c r="C158" s="1417">
        <f>SUM('3 mell. 2. pont'!E454)</f>
        <v>21029</v>
      </c>
    </row>
    <row r="159" spans="1:3" ht="13.8" x14ac:dyDescent="0.25">
      <c r="A159" s="1416"/>
      <c r="B159" s="689"/>
      <c r="C159" s="1417"/>
    </row>
    <row r="160" spans="1:3" s="688" customFormat="1" ht="45" customHeight="1" x14ac:dyDescent="0.25">
      <c r="A160" s="1418" t="s">
        <v>1214</v>
      </c>
      <c r="B160" s="690" t="s">
        <v>1213</v>
      </c>
      <c r="C160" s="1419">
        <f>SUM(C161:C165)</f>
        <v>4907</v>
      </c>
    </row>
    <row r="161" spans="1:3" ht="13.8" x14ac:dyDescent="0.25">
      <c r="A161" s="1420">
        <v>2795</v>
      </c>
      <c r="B161" s="689" t="s">
        <v>360</v>
      </c>
      <c r="C161" s="1417">
        <v>4907</v>
      </c>
    </row>
    <row r="162" spans="1:3" ht="13.8" hidden="1" x14ac:dyDescent="0.25">
      <c r="A162" s="1416"/>
      <c r="B162" s="689"/>
      <c r="C162" s="1417"/>
    </row>
    <row r="163" spans="1:3" ht="13.8" hidden="1" x14ac:dyDescent="0.25">
      <c r="A163" s="1416"/>
      <c r="B163" s="689"/>
      <c r="C163" s="1417"/>
    </row>
    <row r="164" spans="1:3" ht="13.8" hidden="1" x14ac:dyDescent="0.25">
      <c r="A164" s="1416"/>
      <c r="B164" s="689"/>
      <c r="C164" s="1417"/>
    </row>
    <row r="165" spans="1:3" ht="13.8" x14ac:dyDescent="0.25">
      <c r="A165" s="1416"/>
      <c r="B165" s="689"/>
      <c r="C165" s="1417"/>
    </row>
    <row r="166" spans="1:3" s="688" customFormat="1" ht="45" hidden="1" customHeight="1" x14ac:dyDescent="0.25">
      <c r="A166" s="1418" t="s">
        <v>1212</v>
      </c>
      <c r="B166" s="690" t="s">
        <v>1211</v>
      </c>
      <c r="C166" s="1419">
        <f>SUM(C167:C171)</f>
        <v>0</v>
      </c>
    </row>
    <row r="167" spans="1:3" ht="13.8" hidden="1" x14ac:dyDescent="0.25">
      <c r="A167" s="1416"/>
      <c r="B167" s="689"/>
      <c r="C167" s="1417"/>
    </row>
    <row r="168" spans="1:3" ht="13.8" hidden="1" x14ac:dyDescent="0.25">
      <c r="A168" s="1416"/>
      <c r="B168" s="689"/>
      <c r="C168" s="1417"/>
    </row>
    <row r="169" spans="1:3" ht="13.8" hidden="1" x14ac:dyDescent="0.25">
      <c r="A169" s="1416"/>
      <c r="B169" s="689"/>
      <c r="C169" s="1417"/>
    </row>
    <row r="170" spans="1:3" ht="13.8" hidden="1" x14ac:dyDescent="0.25">
      <c r="A170" s="1416"/>
      <c r="B170" s="689"/>
      <c r="C170" s="1417"/>
    </row>
    <row r="171" spans="1:3" ht="13.8" hidden="1" x14ac:dyDescent="0.25">
      <c r="A171" s="1416"/>
      <c r="B171" s="689"/>
      <c r="C171" s="1417"/>
    </row>
    <row r="172" spans="1:3" s="688" customFormat="1" ht="45" customHeight="1" x14ac:dyDescent="0.25">
      <c r="A172" s="1418" t="s">
        <v>905</v>
      </c>
      <c r="B172" s="690" t="s">
        <v>906</v>
      </c>
      <c r="C172" s="1419">
        <f>SUM(C173:C177)</f>
        <v>188322</v>
      </c>
    </row>
    <row r="173" spans="1:3" ht="13.8" x14ac:dyDescent="0.25">
      <c r="A173" s="1416">
        <v>3054</v>
      </c>
      <c r="B173" s="689" t="s">
        <v>1210</v>
      </c>
      <c r="C173" s="1417">
        <f>SUM('3 mell. 2. pont'!E19)</f>
        <v>20000</v>
      </c>
    </row>
    <row r="174" spans="1:3" ht="13.8" x14ac:dyDescent="0.25">
      <c r="A174" s="1416">
        <v>3071</v>
      </c>
      <c r="B174" s="689" t="s">
        <v>1208</v>
      </c>
      <c r="C174" s="1417">
        <f>SUM('3 mell. 2. pont'!E80)</f>
        <v>50746</v>
      </c>
    </row>
    <row r="175" spans="1:3" ht="13.8" x14ac:dyDescent="0.25">
      <c r="A175" s="1416">
        <v>3205</v>
      </c>
      <c r="B175" s="689" t="s">
        <v>1209</v>
      </c>
      <c r="C175" s="1417">
        <f>SUM('3 mell. 2. pont'!E319)</f>
        <v>117576</v>
      </c>
    </row>
    <row r="176" spans="1:3" ht="13.8" hidden="1" x14ac:dyDescent="0.25">
      <c r="A176" s="1416"/>
      <c r="B176" s="689"/>
      <c r="C176" s="1417"/>
    </row>
    <row r="177" spans="1:3" ht="13.8" x14ac:dyDescent="0.25">
      <c r="A177" s="1416"/>
      <c r="B177" s="689"/>
      <c r="C177" s="1417"/>
    </row>
    <row r="178" spans="1:3" s="688" customFormat="1" ht="45" customHeight="1" x14ac:dyDescent="0.25">
      <c r="A178" s="1418" t="s">
        <v>1207</v>
      </c>
      <c r="B178" s="690" t="s">
        <v>1206</v>
      </c>
      <c r="C178" s="1419">
        <f>SUM(C179:C183)</f>
        <v>446759</v>
      </c>
    </row>
    <row r="179" spans="1:3" ht="13.8" x14ac:dyDescent="0.25">
      <c r="A179" s="1416"/>
      <c r="B179" s="689" t="s">
        <v>1309</v>
      </c>
      <c r="C179" s="1417"/>
    </row>
    <row r="180" spans="1:3" ht="13.8" x14ac:dyDescent="0.25">
      <c r="A180" s="1416">
        <v>3911</v>
      </c>
      <c r="B180" s="689" t="s">
        <v>1205</v>
      </c>
      <c r="C180" s="1417">
        <f>SUM('3 mell 3. pont'!E10)</f>
        <v>27053</v>
      </c>
    </row>
    <row r="181" spans="1:3" ht="13.8" x14ac:dyDescent="0.25">
      <c r="A181" s="1416">
        <v>3928</v>
      </c>
      <c r="B181" s="689" t="s">
        <v>1204</v>
      </c>
      <c r="C181" s="1417">
        <f>SUM('3 mell 3. pont'!E19)</f>
        <v>419706</v>
      </c>
    </row>
    <row r="182" spans="1:3" ht="13.8" hidden="1" x14ac:dyDescent="0.25">
      <c r="A182" s="1416"/>
      <c r="B182" s="689"/>
      <c r="C182" s="1417"/>
    </row>
    <row r="183" spans="1:3" ht="13.8" x14ac:dyDescent="0.25">
      <c r="A183" s="1416"/>
      <c r="B183" s="689"/>
      <c r="C183" s="1417"/>
    </row>
    <row r="184" spans="1:3" s="688" customFormat="1" ht="45" customHeight="1" x14ac:dyDescent="0.25">
      <c r="A184" s="1418" t="s">
        <v>1203</v>
      </c>
      <c r="B184" s="690" t="s">
        <v>1202</v>
      </c>
      <c r="C184" s="1419">
        <f>SUM(C185:C189)</f>
        <v>213158</v>
      </c>
    </row>
    <row r="185" spans="1:3" ht="13.8" x14ac:dyDescent="0.25">
      <c r="A185" s="1416">
        <v>5051</v>
      </c>
      <c r="B185" s="689" t="s">
        <v>1201</v>
      </c>
      <c r="C185" s="1417">
        <f>SUM('5.mell. '!E41)</f>
        <v>69767</v>
      </c>
    </row>
    <row r="186" spans="1:3" ht="13.8" x14ac:dyDescent="0.25">
      <c r="A186" s="1416">
        <v>5052</v>
      </c>
      <c r="B186" s="689" t="s">
        <v>1200</v>
      </c>
      <c r="C186" s="1417">
        <f>SUM('5.mell. '!E42)</f>
        <v>62704</v>
      </c>
    </row>
    <row r="187" spans="1:3" ht="13.8" x14ac:dyDescent="0.25">
      <c r="A187" s="1416">
        <v>5053</v>
      </c>
      <c r="B187" s="689" t="s">
        <v>1199</v>
      </c>
      <c r="C187" s="1417">
        <f>SUM('5.mell. '!E43)</f>
        <v>52136</v>
      </c>
    </row>
    <row r="188" spans="1:3" ht="13.8" x14ac:dyDescent="0.25">
      <c r="A188" s="1416">
        <v>5054</v>
      </c>
      <c r="B188" s="689" t="s">
        <v>430</v>
      </c>
      <c r="C188" s="1417">
        <f>SUM('5.mell. '!E44)</f>
        <v>28551</v>
      </c>
    </row>
    <row r="189" spans="1:3" ht="13.8" x14ac:dyDescent="0.25">
      <c r="A189" s="1416"/>
      <c r="B189" s="689"/>
      <c r="C189" s="1417"/>
    </row>
    <row r="190" spans="1:3" s="688" customFormat="1" ht="45" customHeight="1" x14ac:dyDescent="0.25">
      <c r="A190" s="1418" t="s">
        <v>907</v>
      </c>
      <c r="B190" s="690" t="s">
        <v>908</v>
      </c>
      <c r="C190" s="1419">
        <f>SUM(C191:C195)</f>
        <v>10000</v>
      </c>
    </row>
    <row r="191" spans="1:3" ht="13.8" x14ac:dyDescent="0.25">
      <c r="A191" s="1416">
        <v>4016</v>
      </c>
      <c r="B191" s="689" t="s">
        <v>263</v>
      </c>
      <c r="C191" s="1417">
        <f>SUM('4.mell.'!E14)</f>
        <v>10000</v>
      </c>
    </row>
    <row r="192" spans="1:3" ht="13.8" hidden="1" x14ac:dyDescent="0.25">
      <c r="A192" s="1416"/>
      <c r="B192" s="689"/>
      <c r="C192" s="1417"/>
    </row>
    <row r="193" spans="1:3" ht="13.8" hidden="1" x14ac:dyDescent="0.25">
      <c r="A193" s="1416"/>
      <c r="B193" s="689"/>
      <c r="C193" s="1417"/>
    </row>
    <row r="194" spans="1:3" ht="13.8" hidden="1" x14ac:dyDescent="0.25">
      <c r="A194" s="1416"/>
      <c r="B194" s="689"/>
      <c r="C194" s="1417"/>
    </row>
    <row r="195" spans="1:3" ht="13.8" x14ac:dyDescent="0.25">
      <c r="A195" s="1416"/>
      <c r="B195" s="689"/>
      <c r="C195" s="1417"/>
    </row>
    <row r="196" spans="1:3" s="688" customFormat="1" ht="45" customHeight="1" x14ac:dyDescent="0.25">
      <c r="A196" s="1418" t="s">
        <v>909</v>
      </c>
      <c r="B196" s="690" t="s">
        <v>910</v>
      </c>
      <c r="C196" s="1419">
        <f>SUM(C197:C204)</f>
        <v>2105583</v>
      </c>
    </row>
    <row r="197" spans="1:3" ht="13.8" x14ac:dyDescent="0.25">
      <c r="A197" s="1416">
        <v>3057</v>
      </c>
      <c r="B197" s="689" t="s">
        <v>200</v>
      </c>
      <c r="C197" s="1417">
        <f>SUM('3 mell. 2. pont'!E39)</f>
        <v>284510</v>
      </c>
    </row>
    <row r="198" spans="1:3" ht="13.8" x14ac:dyDescent="0.25">
      <c r="A198" s="1416">
        <v>3216</v>
      </c>
      <c r="B198" s="689" t="s">
        <v>9</v>
      </c>
      <c r="C198" s="1417">
        <f>SUM('3 mell. 2. pont'!E404)</f>
        <v>437833</v>
      </c>
    </row>
    <row r="199" spans="1:3" ht="13.8" x14ac:dyDescent="0.25">
      <c r="A199" s="1416">
        <v>3229</v>
      </c>
      <c r="B199" s="689" t="s">
        <v>283</v>
      </c>
      <c r="C199" s="1417">
        <f>SUM('3 mell. 2. pont'!E474)</f>
        <v>60000</v>
      </c>
    </row>
    <row r="200" spans="1:3" ht="13.8" x14ac:dyDescent="0.25">
      <c r="A200" s="1416">
        <v>3927</v>
      </c>
      <c r="B200" s="689" t="s">
        <v>1198</v>
      </c>
      <c r="C200" s="1417">
        <f>SUM('3 mell 3. pont'!E18)</f>
        <v>5000</v>
      </c>
    </row>
    <row r="201" spans="1:3" ht="13.8" x14ac:dyDescent="0.25">
      <c r="A201" s="1416">
        <v>3941</v>
      </c>
      <c r="B201" s="689" t="s">
        <v>161</v>
      </c>
      <c r="C201" s="1417">
        <f>SUM('3 mell 3. pont'!E32)</f>
        <v>1245480</v>
      </c>
    </row>
    <row r="202" spans="1:3" ht="13.8" x14ac:dyDescent="0.25">
      <c r="A202" s="1416">
        <v>5013</v>
      </c>
      <c r="B202" s="689" t="s">
        <v>172</v>
      </c>
      <c r="C202" s="1417">
        <f>SUM('5.mell. '!E17)</f>
        <v>1258</v>
      </c>
    </row>
    <row r="203" spans="1:3" ht="13.8" x14ac:dyDescent="0.25">
      <c r="A203" s="1416">
        <v>5014</v>
      </c>
      <c r="B203" s="689" t="s">
        <v>1197</v>
      </c>
      <c r="C203" s="1417">
        <f>SUM('5.mell. '!E19)</f>
        <v>71502</v>
      </c>
    </row>
    <row r="204" spans="1:3" ht="13.8" x14ac:dyDescent="0.25">
      <c r="A204" s="1416"/>
      <c r="B204" s="689"/>
      <c r="C204" s="1417"/>
    </row>
    <row r="205" spans="1:3" s="688" customFormat="1" ht="45" customHeight="1" x14ac:dyDescent="0.25">
      <c r="A205" s="1418" t="s">
        <v>911</v>
      </c>
      <c r="B205" s="690" t="s">
        <v>912</v>
      </c>
      <c r="C205" s="1419">
        <f>SUM(C206:C235)</f>
        <v>7059426</v>
      </c>
    </row>
    <row r="206" spans="1:3" ht="13.8" x14ac:dyDescent="0.25">
      <c r="A206" s="1416">
        <v>3056</v>
      </c>
      <c r="B206" s="689" t="s">
        <v>170</v>
      </c>
      <c r="C206" s="1417">
        <f>SUM('3 mell. 2. pont'!E29)</f>
        <v>31163</v>
      </c>
    </row>
    <row r="207" spans="1:3" ht="13.8" x14ac:dyDescent="0.25">
      <c r="A207" s="1416">
        <v>3058</v>
      </c>
      <c r="B207" s="689" t="s">
        <v>1196</v>
      </c>
      <c r="C207" s="1417">
        <f>SUM('3 mell. 2. pont'!E49)</f>
        <v>19438</v>
      </c>
    </row>
    <row r="208" spans="1:3" ht="13.8" x14ac:dyDescent="0.25">
      <c r="A208" s="1416">
        <v>3059</v>
      </c>
      <c r="B208" s="689" t="s">
        <v>1195</v>
      </c>
      <c r="C208" s="1417">
        <f>SUM('3 mell. 2. pont'!E59)</f>
        <v>61486</v>
      </c>
    </row>
    <row r="209" spans="1:3" ht="13.8" x14ac:dyDescent="0.25">
      <c r="A209" s="1416">
        <v>3112</v>
      </c>
      <c r="B209" s="689" t="s">
        <v>1194</v>
      </c>
      <c r="C209" s="1417">
        <f>SUM('3 mell. 2. pont'!E113)</f>
        <v>75000</v>
      </c>
    </row>
    <row r="210" spans="1:3" ht="13.8" x14ac:dyDescent="0.25">
      <c r="A210" s="1416">
        <v>3228</v>
      </c>
      <c r="B210" s="689" t="s">
        <v>1193</v>
      </c>
      <c r="C210" s="1417">
        <f>SUM('3 mell. 2. pont'!E464)</f>
        <v>1016</v>
      </c>
    </row>
    <row r="211" spans="1:3" ht="13.8" x14ac:dyDescent="0.25">
      <c r="A211" s="1416">
        <v>3433</v>
      </c>
      <c r="B211" s="689" t="s">
        <v>242</v>
      </c>
      <c r="C211" s="1417">
        <f>SUM('3 mell. 2. pont'!E918)</f>
        <v>59539</v>
      </c>
    </row>
    <row r="212" spans="1:3" ht="13.8" x14ac:dyDescent="0.25">
      <c r="A212" s="1416">
        <v>4012</v>
      </c>
      <c r="B212" s="689" t="s">
        <v>1192</v>
      </c>
      <c r="C212" s="1417">
        <f>SUM('4.mell.'!E11)</f>
        <v>230000</v>
      </c>
    </row>
    <row r="213" spans="1:3" ht="13.8" x14ac:dyDescent="0.25">
      <c r="A213" s="1416">
        <v>4014</v>
      </c>
      <c r="B213" s="689" t="s">
        <v>165</v>
      </c>
      <c r="C213" s="1417">
        <f>SUM('4.mell.'!E12)</f>
        <v>197932</v>
      </c>
    </row>
    <row r="214" spans="1:3" ht="13.8" x14ac:dyDescent="0.25">
      <c r="A214" s="1416">
        <v>4021</v>
      </c>
      <c r="B214" s="689" t="s">
        <v>1191</v>
      </c>
      <c r="C214" s="1417">
        <f>SUM('4.mell.'!E17)</f>
        <v>204732</v>
      </c>
    </row>
    <row r="215" spans="1:3" ht="13.8" x14ac:dyDescent="0.25">
      <c r="A215" s="1416">
        <v>4022</v>
      </c>
      <c r="B215" s="689" t="s">
        <v>1190</v>
      </c>
      <c r="C215" s="1417">
        <f>SUM('4.mell.'!E21)</f>
        <v>20000</v>
      </c>
    </row>
    <row r="216" spans="1:3" ht="13.8" x14ac:dyDescent="0.25">
      <c r="A216" s="1416">
        <v>4023</v>
      </c>
      <c r="B216" s="689" t="s">
        <v>1189</v>
      </c>
      <c r="C216" s="1417">
        <f>SUM('4.mell.'!E22)</f>
        <v>17000</v>
      </c>
    </row>
    <row r="217" spans="1:3" ht="13.8" x14ac:dyDescent="0.25">
      <c r="A217" s="1416">
        <v>4131</v>
      </c>
      <c r="B217" s="689" t="s">
        <v>118</v>
      </c>
      <c r="C217" s="1417">
        <f>SUM('4.mell.'!E48)</f>
        <v>24278</v>
      </c>
    </row>
    <row r="218" spans="1:3" ht="13.8" x14ac:dyDescent="0.25">
      <c r="A218" s="1416">
        <v>4132</v>
      </c>
      <c r="B218" s="689" t="s">
        <v>1188</v>
      </c>
      <c r="C218" s="1417">
        <f>SUM('4.mell.'!E51)</f>
        <v>47121</v>
      </c>
    </row>
    <row r="219" spans="1:3" ht="13.8" x14ac:dyDescent="0.25">
      <c r="A219" s="1416">
        <v>4158</v>
      </c>
      <c r="B219" s="689" t="s">
        <v>1187</v>
      </c>
      <c r="C219" s="1417">
        <f>SUM('4.mell.'!E37)</f>
        <v>2071</v>
      </c>
    </row>
    <row r="220" spans="1:3" ht="13.8" x14ac:dyDescent="0.25">
      <c r="A220" s="1416">
        <v>4159</v>
      </c>
      <c r="B220" s="689" t="s">
        <v>266</v>
      </c>
      <c r="C220" s="1417">
        <f>SUM('4.mell.'!E38)</f>
        <v>492222</v>
      </c>
    </row>
    <row r="221" spans="1:3" ht="13.8" x14ac:dyDescent="0.25">
      <c r="A221" s="1416">
        <v>4162</v>
      </c>
      <c r="B221" s="689" t="s">
        <v>291</v>
      </c>
      <c r="C221" s="1417">
        <f>SUM('4.mell.'!E41)</f>
        <v>67056</v>
      </c>
    </row>
    <row r="222" spans="1:3" ht="13.8" x14ac:dyDescent="0.25">
      <c r="A222" s="1416">
        <v>4164</v>
      </c>
      <c r="B222" s="689" t="s">
        <v>1186</v>
      </c>
      <c r="C222" s="1417">
        <f>SUM('4.mell.'!E43)</f>
        <v>2165386</v>
      </c>
    </row>
    <row r="223" spans="1:3" ht="13.8" x14ac:dyDescent="0.25">
      <c r="A223" s="1416">
        <v>4165</v>
      </c>
      <c r="B223" s="689" t="s">
        <v>1185</v>
      </c>
      <c r="C223" s="1417">
        <f>SUM('4.mell.'!E44)</f>
        <v>1302988</v>
      </c>
    </row>
    <row r="224" spans="1:3" ht="13.8" x14ac:dyDescent="0.25">
      <c r="A224" s="1416">
        <v>4167</v>
      </c>
      <c r="B224" s="689" t="s">
        <v>1311</v>
      </c>
      <c r="C224" s="1417">
        <f>SUM('4.mell.'!E46)</f>
        <v>120000</v>
      </c>
    </row>
    <row r="225" spans="1:3" ht="13.8" x14ac:dyDescent="0.25">
      <c r="A225" s="1416">
        <v>5004</v>
      </c>
      <c r="B225" s="689" t="s">
        <v>270</v>
      </c>
      <c r="C225" s="1417">
        <f>SUM('5.mell. '!E12)</f>
        <v>50000</v>
      </c>
    </row>
    <row r="226" spans="1:3" ht="13.8" x14ac:dyDescent="0.25">
      <c r="A226" s="1416">
        <v>5010</v>
      </c>
      <c r="B226" s="689" t="s">
        <v>1184</v>
      </c>
      <c r="C226" s="1417">
        <f>SUM('5.mell. '!E15)</f>
        <v>20000</v>
      </c>
    </row>
    <row r="227" spans="1:3" ht="13.8" x14ac:dyDescent="0.25">
      <c r="A227" s="1416">
        <v>5012</v>
      </c>
      <c r="B227" s="689" t="s">
        <v>1183</v>
      </c>
      <c r="C227" s="1417">
        <f>SUM('5.mell. '!E16)</f>
        <v>208284</v>
      </c>
    </row>
    <row r="228" spans="1:3" ht="13.8" x14ac:dyDescent="0.25">
      <c r="A228" s="1416">
        <v>5015</v>
      </c>
      <c r="B228" s="689" t="s">
        <v>213</v>
      </c>
      <c r="C228" s="1417">
        <f>SUM('5.mell. '!E20)</f>
        <v>16192</v>
      </c>
    </row>
    <row r="229" spans="1:3" ht="13.8" x14ac:dyDescent="0.25">
      <c r="A229" s="1416">
        <v>5016</v>
      </c>
      <c r="B229" s="689" t="s">
        <v>194</v>
      </c>
      <c r="C229" s="1417">
        <f>SUM('5.mell. '!E23)</f>
        <v>60000</v>
      </c>
    </row>
    <row r="230" spans="1:3" ht="13.8" x14ac:dyDescent="0.25">
      <c r="A230" s="1416">
        <v>5019</v>
      </c>
      <c r="B230" s="689" t="s">
        <v>1182</v>
      </c>
      <c r="C230" s="1417">
        <f>SUM('5.mell. '!E24)</f>
        <v>30508</v>
      </c>
    </row>
    <row r="231" spans="1:3" ht="13.8" x14ac:dyDescent="0.25">
      <c r="A231" s="1416">
        <v>5023</v>
      </c>
      <c r="B231" s="689" t="s">
        <v>277</v>
      </c>
      <c r="C231" s="1417">
        <f>SUM('5.mell. '!E29)</f>
        <v>916601</v>
      </c>
    </row>
    <row r="232" spans="1:3" ht="13.8" x14ac:dyDescent="0.25">
      <c r="A232" s="1416">
        <v>5034</v>
      </c>
      <c r="B232" s="689" t="s">
        <v>1480</v>
      </c>
      <c r="C232" s="1417">
        <f>SUM('5.mell. '!E38)</f>
        <v>10000</v>
      </c>
    </row>
    <row r="233" spans="1:3" ht="13.8" x14ac:dyDescent="0.25">
      <c r="A233" s="1416">
        <v>6142</v>
      </c>
      <c r="B233" s="689" t="s">
        <v>1181</v>
      </c>
      <c r="C233" s="1417">
        <f>SUM('6.mell. '!E23)</f>
        <v>409413</v>
      </c>
    </row>
    <row r="234" spans="1:3" ht="13.8" x14ac:dyDescent="0.25">
      <c r="A234" s="1416">
        <v>6143</v>
      </c>
      <c r="B234" s="689" t="s">
        <v>1180</v>
      </c>
      <c r="C234" s="1417">
        <f>SUM('6.mell. '!E24)</f>
        <v>200000</v>
      </c>
    </row>
    <row r="235" spans="1:3" ht="13.8" x14ac:dyDescent="0.25">
      <c r="A235" s="1416"/>
      <c r="B235" s="689"/>
      <c r="C235" s="1417"/>
    </row>
    <row r="236" spans="1:3" s="688" customFormat="1" ht="45" customHeight="1" x14ac:dyDescent="0.25">
      <c r="A236" s="1418" t="s">
        <v>1179</v>
      </c>
      <c r="B236" s="690" t="s">
        <v>1178</v>
      </c>
      <c r="C236" s="1419">
        <f>SUM(C237:C241)</f>
        <v>131724</v>
      </c>
    </row>
    <row r="237" spans="1:3" ht="13.8" x14ac:dyDescent="0.25">
      <c r="A237" s="1420">
        <v>2987</v>
      </c>
      <c r="B237" s="689" t="s">
        <v>343</v>
      </c>
      <c r="C237" s="1417">
        <f>99821+213</f>
        <v>100034</v>
      </c>
    </row>
    <row r="238" spans="1:3" ht="13.8" x14ac:dyDescent="0.25">
      <c r="A238" s="1416">
        <v>4313</v>
      </c>
      <c r="B238" s="689" t="s">
        <v>1177</v>
      </c>
      <c r="C238" s="1417">
        <f>SUM('4.mell.'!E66)</f>
        <v>1690</v>
      </c>
    </row>
    <row r="239" spans="1:3" ht="13.8" x14ac:dyDescent="0.25">
      <c r="A239" s="1416">
        <v>4329</v>
      </c>
      <c r="B239" s="689" t="s">
        <v>245</v>
      </c>
      <c r="C239" s="1417">
        <f>SUM('4.mell.'!E67)</f>
        <v>30000</v>
      </c>
    </row>
    <row r="240" spans="1:3" ht="13.8" hidden="1" x14ac:dyDescent="0.25">
      <c r="A240" s="1416"/>
      <c r="B240" s="689"/>
      <c r="C240" s="1417"/>
    </row>
    <row r="241" spans="1:3" ht="13.8" x14ac:dyDescent="0.25">
      <c r="A241" s="1416"/>
      <c r="B241" s="689"/>
      <c r="C241" s="1417"/>
    </row>
    <row r="242" spans="1:3" s="688" customFormat="1" ht="45" customHeight="1" x14ac:dyDescent="0.25">
      <c r="A242" s="1418" t="s">
        <v>913</v>
      </c>
      <c r="B242" s="690" t="s">
        <v>914</v>
      </c>
      <c r="C242" s="1419">
        <f>SUM(C243:C247)</f>
        <v>2650016</v>
      </c>
    </row>
    <row r="243" spans="1:3" ht="13.8" x14ac:dyDescent="0.25">
      <c r="A243" s="1420">
        <v>2987</v>
      </c>
      <c r="B243" s="689" t="s">
        <v>343</v>
      </c>
      <c r="C243" s="1417">
        <f>2620694+2164+27158</f>
        <v>2650016</v>
      </c>
    </row>
    <row r="244" spans="1:3" ht="13.8" hidden="1" x14ac:dyDescent="0.25">
      <c r="A244" s="1416"/>
      <c r="B244" s="689"/>
      <c r="C244" s="1417"/>
    </row>
    <row r="245" spans="1:3" ht="13.8" hidden="1" x14ac:dyDescent="0.25">
      <c r="A245" s="1416"/>
      <c r="B245" s="689"/>
      <c r="C245" s="1417"/>
    </row>
    <row r="246" spans="1:3" ht="13.8" hidden="1" x14ac:dyDescent="0.25">
      <c r="A246" s="1416"/>
      <c r="B246" s="689"/>
      <c r="C246" s="1417"/>
    </row>
    <row r="247" spans="1:3" ht="13.8" x14ac:dyDescent="0.25">
      <c r="A247" s="1416"/>
      <c r="B247" s="689"/>
      <c r="C247" s="1417"/>
    </row>
    <row r="248" spans="1:3" s="688" customFormat="1" ht="45" customHeight="1" x14ac:dyDescent="0.25">
      <c r="A248" s="1418" t="s">
        <v>1176</v>
      </c>
      <c r="B248" s="690" t="s">
        <v>1175</v>
      </c>
      <c r="C248" s="1419">
        <f>SUM(C249:C253)</f>
        <v>205344</v>
      </c>
    </row>
    <row r="249" spans="1:3" ht="13.8" x14ac:dyDescent="0.25">
      <c r="A249" s="1420">
        <v>2987</v>
      </c>
      <c r="B249" s="689" t="s">
        <v>343</v>
      </c>
      <c r="C249" s="1417">
        <f>202464+2880</f>
        <v>205344</v>
      </c>
    </row>
    <row r="250" spans="1:3" ht="13.8" hidden="1" x14ac:dyDescent="0.25">
      <c r="A250" s="1416"/>
      <c r="B250" s="689"/>
      <c r="C250" s="1417"/>
    </row>
    <row r="251" spans="1:3" ht="13.8" hidden="1" x14ac:dyDescent="0.25">
      <c r="A251" s="1416"/>
      <c r="B251" s="689"/>
      <c r="C251" s="1417"/>
    </row>
    <row r="252" spans="1:3" ht="13.8" hidden="1" x14ac:dyDescent="0.25">
      <c r="A252" s="1416"/>
      <c r="B252" s="689"/>
      <c r="C252" s="1417"/>
    </row>
    <row r="253" spans="1:3" ht="13.8" x14ac:dyDescent="0.25">
      <c r="A253" s="1416"/>
      <c r="B253" s="689"/>
      <c r="C253" s="1417"/>
    </row>
    <row r="254" spans="1:3" s="688" customFormat="1" ht="45" hidden="1" customHeight="1" x14ac:dyDescent="0.25">
      <c r="A254" s="1418" t="s">
        <v>1174</v>
      </c>
      <c r="B254" s="690" t="s">
        <v>1173</v>
      </c>
      <c r="C254" s="1419">
        <f>SUM(C255:C259)</f>
        <v>0</v>
      </c>
    </row>
    <row r="255" spans="1:3" ht="13.8" hidden="1" x14ac:dyDescent="0.25">
      <c r="A255" s="1416"/>
      <c r="B255" s="689"/>
      <c r="C255" s="1417"/>
    </row>
    <row r="256" spans="1:3" ht="13.8" hidden="1" x14ac:dyDescent="0.25">
      <c r="A256" s="1416"/>
      <c r="B256" s="689"/>
      <c r="C256" s="1417"/>
    </row>
    <row r="257" spans="1:3" ht="13.8" hidden="1" x14ac:dyDescent="0.25">
      <c r="A257" s="1416"/>
      <c r="B257" s="689"/>
      <c r="C257" s="1417"/>
    </row>
    <row r="258" spans="1:3" ht="13.8" hidden="1" x14ac:dyDescent="0.25">
      <c r="A258" s="1416"/>
      <c r="B258" s="689"/>
      <c r="C258" s="1417"/>
    </row>
    <row r="259" spans="1:3" ht="13.8" hidden="1" x14ac:dyDescent="0.25">
      <c r="A259" s="1416"/>
      <c r="B259" s="689"/>
      <c r="C259" s="1417"/>
    </row>
    <row r="260" spans="1:3" s="688" customFormat="1" ht="45" customHeight="1" x14ac:dyDescent="0.25">
      <c r="A260" s="1418" t="s">
        <v>1172</v>
      </c>
      <c r="B260" s="690" t="s">
        <v>1171</v>
      </c>
      <c r="C260" s="1419">
        <f>SUM(C261:C265)</f>
        <v>220716</v>
      </c>
    </row>
    <row r="261" spans="1:3" ht="13.8" x14ac:dyDescent="0.25">
      <c r="A261" s="1420">
        <v>2987</v>
      </c>
      <c r="B261" s="689" t="s">
        <v>343</v>
      </c>
      <c r="C261" s="1417">
        <f>219436+1280</f>
        <v>220716</v>
      </c>
    </row>
    <row r="262" spans="1:3" ht="13.8" hidden="1" x14ac:dyDescent="0.25">
      <c r="A262" s="1416"/>
      <c r="B262" s="689"/>
      <c r="C262" s="1417"/>
    </row>
    <row r="263" spans="1:3" ht="13.8" hidden="1" x14ac:dyDescent="0.25">
      <c r="A263" s="1416"/>
      <c r="B263" s="689"/>
      <c r="C263" s="1417"/>
    </row>
    <row r="264" spans="1:3" ht="13.8" hidden="1" x14ac:dyDescent="0.25">
      <c r="A264" s="1416"/>
      <c r="B264" s="689"/>
      <c r="C264" s="1417"/>
    </row>
    <row r="265" spans="1:3" ht="13.8" x14ac:dyDescent="0.25">
      <c r="A265" s="1416"/>
      <c r="B265" s="689"/>
      <c r="C265" s="1417"/>
    </row>
    <row r="266" spans="1:3" s="688" customFormat="1" ht="45" customHeight="1" x14ac:dyDescent="0.25">
      <c r="A266" s="1418" t="s">
        <v>1170</v>
      </c>
      <c r="B266" s="690" t="s">
        <v>1169</v>
      </c>
      <c r="C266" s="1419">
        <f>SUM(C267:C271)</f>
        <v>11455</v>
      </c>
    </row>
    <row r="267" spans="1:3" ht="13.8" x14ac:dyDescent="0.25">
      <c r="A267" s="1420">
        <v>2987</v>
      </c>
      <c r="B267" s="689" t="s">
        <v>343</v>
      </c>
      <c r="C267" s="1417">
        <v>11455</v>
      </c>
    </row>
    <row r="268" spans="1:3" ht="13.8" hidden="1" x14ac:dyDescent="0.25">
      <c r="A268" s="1416"/>
      <c r="B268" s="689"/>
      <c r="C268" s="1417"/>
    </row>
    <row r="269" spans="1:3" ht="13.8" hidden="1" x14ac:dyDescent="0.25">
      <c r="A269" s="1416"/>
      <c r="B269" s="689"/>
      <c r="C269" s="1417"/>
    </row>
    <row r="270" spans="1:3" ht="13.8" hidden="1" x14ac:dyDescent="0.25">
      <c r="A270" s="1416"/>
      <c r="B270" s="689"/>
      <c r="C270" s="1417"/>
    </row>
    <row r="271" spans="1:3" ht="13.8" x14ac:dyDescent="0.25">
      <c r="A271" s="1416"/>
      <c r="B271" s="689"/>
      <c r="C271" s="1417"/>
    </row>
    <row r="272" spans="1:3" s="688" customFormat="1" ht="45" hidden="1" customHeight="1" x14ac:dyDescent="0.25">
      <c r="A272" s="1418" t="s">
        <v>1168</v>
      </c>
      <c r="B272" s="690" t="s">
        <v>1167</v>
      </c>
      <c r="C272" s="1419">
        <f>SUM(C273:C277)</f>
        <v>0</v>
      </c>
    </row>
    <row r="273" spans="1:3" ht="13.8" hidden="1" x14ac:dyDescent="0.25">
      <c r="A273" s="1416"/>
      <c r="B273" s="689"/>
      <c r="C273" s="1417"/>
    </row>
    <row r="274" spans="1:3" ht="13.8" hidden="1" x14ac:dyDescent="0.25">
      <c r="A274" s="1416"/>
      <c r="B274" s="689"/>
      <c r="C274" s="1417"/>
    </row>
    <row r="275" spans="1:3" ht="13.8" hidden="1" x14ac:dyDescent="0.25">
      <c r="A275" s="1416"/>
      <c r="B275" s="689"/>
      <c r="C275" s="1417"/>
    </row>
    <row r="276" spans="1:3" ht="13.8" hidden="1" x14ac:dyDescent="0.25">
      <c r="A276" s="1416"/>
      <c r="B276" s="689"/>
      <c r="C276" s="1417"/>
    </row>
    <row r="277" spans="1:3" ht="13.8" hidden="1" x14ac:dyDescent="0.25">
      <c r="A277" s="1416"/>
      <c r="B277" s="689"/>
      <c r="C277" s="1417"/>
    </row>
    <row r="278" spans="1:3" s="688" customFormat="1" ht="45" hidden="1" customHeight="1" x14ac:dyDescent="0.25">
      <c r="A278" s="1418" t="s">
        <v>1166</v>
      </c>
      <c r="B278" s="690" t="s">
        <v>1165</v>
      </c>
      <c r="C278" s="1419">
        <f>SUM(C279:C283)</f>
        <v>0</v>
      </c>
    </row>
    <row r="279" spans="1:3" ht="13.8" hidden="1" x14ac:dyDescent="0.25">
      <c r="A279" s="1416"/>
      <c r="B279" s="689"/>
      <c r="C279" s="1417"/>
    </row>
    <row r="280" spans="1:3" ht="13.8" hidden="1" x14ac:dyDescent="0.25">
      <c r="A280" s="1416"/>
      <c r="B280" s="689"/>
      <c r="C280" s="1417"/>
    </row>
    <row r="281" spans="1:3" ht="13.8" hidden="1" x14ac:dyDescent="0.25">
      <c r="A281" s="1416"/>
      <c r="B281" s="689"/>
      <c r="C281" s="1417"/>
    </row>
    <row r="282" spans="1:3" ht="13.8" hidden="1" x14ac:dyDescent="0.25">
      <c r="A282" s="1416"/>
      <c r="B282" s="689"/>
      <c r="C282" s="1417"/>
    </row>
    <row r="283" spans="1:3" ht="13.8" hidden="1" x14ac:dyDescent="0.25">
      <c r="A283" s="1416"/>
      <c r="B283" s="689"/>
      <c r="C283" s="1417"/>
    </row>
    <row r="284" spans="1:3" s="688" customFormat="1" ht="45" customHeight="1" x14ac:dyDescent="0.25">
      <c r="A284" s="1418" t="s">
        <v>1164</v>
      </c>
      <c r="B284" s="690" t="s">
        <v>1163</v>
      </c>
      <c r="C284" s="1419">
        <f>SUM(C285:C289)</f>
        <v>42328</v>
      </c>
    </row>
    <row r="285" spans="1:3" ht="13.8" x14ac:dyDescent="0.25">
      <c r="A285" s="1420">
        <v>2987</v>
      </c>
      <c r="B285" s="689" t="s">
        <v>343</v>
      </c>
      <c r="C285" s="1417">
        <f>41048+1280</f>
        <v>42328</v>
      </c>
    </row>
    <row r="286" spans="1:3" ht="13.8" hidden="1" x14ac:dyDescent="0.25">
      <c r="A286" s="1416"/>
      <c r="B286" s="689"/>
      <c r="C286" s="1417"/>
    </row>
    <row r="287" spans="1:3" ht="13.8" hidden="1" x14ac:dyDescent="0.25">
      <c r="A287" s="1416"/>
      <c r="B287" s="689"/>
      <c r="C287" s="1417"/>
    </row>
    <row r="288" spans="1:3" ht="13.8" hidden="1" x14ac:dyDescent="0.25">
      <c r="A288" s="1416"/>
      <c r="B288" s="689"/>
      <c r="C288" s="1417"/>
    </row>
    <row r="289" spans="1:3" ht="13.8" x14ac:dyDescent="0.25">
      <c r="A289" s="1416"/>
      <c r="B289" s="689"/>
      <c r="C289" s="1417"/>
    </row>
    <row r="290" spans="1:3" s="688" customFormat="1" ht="45" customHeight="1" x14ac:dyDescent="0.25">
      <c r="A290" s="1418" t="s">
        <v>1162</v>
      </c>
      <c r="B290" s="690" t="s">
        <v>1161</v>
      </c>
      <c r="C290" s="1419">
        <f>SUM(C291:C295)</f>
        <v>33496</v>
      </c>
    </row>
    <row r="291" spans="1:3" ht="13.8" x14ac:dyDescent="0.25">
      <c r="A291" s="1420">
        <v>2987</v>
      </c>
      <c r="B291" s="689" t="s">
        <v>343</v>
      </c>
      <c r="C291" s="1417">
        <v>33496</v>
      </c>
    </row>
    <row r="292" spans="1:3" ht="13.8" hidden="1" x14ac:dyDescent="0.25">
      <c r="A292" s="1416"/>
      <c r="B292" s="689"/>
      <c r="C292" s="1417"/>
    </row>
    <row r="293" spans="1:3" ht="13.8" hidden="1" x14ac:dyDescent="0.25">
      <c r="A293" s="1416"/>
      <c r="B293" s="689"/>
      <c r="C293" s="1417"/>
    </row>
    <row r="294" spans="1:3" ht="13.8" hidden="1" x14ac:dyDescent="0.25">
      <c r="A294" s="1416"/>
      <c r="B294" s="689"/>
      <c r="C294" s="1417"/>
    </row>
    <row r="295" spans="1:3" ht="13.8" x14ac:dyDescent="0.25">
      <c r="A295" s="1416"/>
      <c r="B295" s="689"/>
      <c r="C295" s="1417"/>
    </row>
    <row r="296" spans="1:3" s="688" customFormat="1" ht="45" customHeight="1" x14ac:dyDescent="0.25">
      <c r="A296" s="1418" t="s">
        <v>1160</v>
      </c>
      <c r="B296" s="690" t="s">
        <v>1159</v>
      </c>
      <c r="C296" s="1419">
        <f>SUM(C297:C301)</f>
        <v>284603</v>
      </c>
    </row>
    <row r="297" spans="1:3" ht="13.8" x14ac:dyDescent="0.25">
      <c r="A297" s="1420">
        <v>2987</v>
      </c>
      <c r="B297" s="689" t="s">
        <v>343</v>
      </c>
      <c r="C297" s="1417">
        <f>279995+4608</f>
        <v>284603</v>
      </c>
    </row>
    <row r="298" spans="1:3" ht="13.8" hidden="1" x14ac:dyDescent="0.25">
      <c r="A298" s="1416"/>
      <c r="B298" s="689"/>
      <c r="C298" s="1417"/>
    </row>
    <row r="299" spans="1:3" ht="13.8" hidden="1" x14ac:dyDescent="0.25">
      <c r="A299" s="1416"/>
      <c r="B299" s="689"/>
      <c r="C299" s="1417"/>
    </row>
    <row r="300" spans="1:3" ht="13.8" hidden="1" x14ac:dyDescent="0.25">
      <c r="A300" s="1416"/>
      <c r="B300" s="689"/>
      <c r="C300" s="1417"/>
    </row>
    <row r="301" spans="1:3" ht="13.8" x14ac:dyDescent="0.25">
      <c r="A301" s="1416"/>
      <c r="B301" s="689"/>
      <c r="C301" s="1417"/>
    </row>
    <row r="302" spans="1:3" s="688" customFormat="1" ht="45" customHeight="1" x14ac:dyDescent="0.25">
      <c r="A302" s="1418" t="s">
        <v>916</v>
      </c>
      <c r="B302" s="690" t="s">
        <v>1158</v>
      </c>
      <c r="C302" s="1419">
        <f>SUM(C303:C307)</f>
        <v>2583</v>
      </c>
    </row>
    <row r="303" spans="1:3" ht="13.8" x14ac:dyDescent="0.25">
      <c r="A303" s="1416">
        <v>3230</v>
      </c>
      <c r="B303" s="689" t="s">
        <v>1439</v>
      </c>
      <c r="C303" s="1417">
        <f>SUM('3 mell. 2. pont'!E484)</f>
        <v>2583</v>
      </c>
    </row>
    <row r="304" spans="1:3" ht="13.8" hidden="1" x14ac:dyDescent="0.25">
      <c r="A304" s="1416"/>
      <c r="B304" s="689"/>
      <c r="C304" s="1417"/>
    </row>
    <row r="305" spans="1:3" ht="13.8" hidden="1" x14ac:dyDescent="0.25">
      <c r="A305" s="1416"/>
      <c r="B305" s="689"/>
      <c r="C305" s="1417"/>
    </row>
    <row r="306" spans="1:3" ht="13.8" hidden="1" x14ac:dyDescent="0.25">
      <c r="A306" s="1416"/>
      <c r="B306" s="689"/>
      <c r="C306" s="1417"/>
    </row>
    <row r="307" spans="1:3" ht="13.8" x14ac:dyDescent="0.25">
      <c r="A307" s="1416"/>
      <c r="B307" s="689"/>
      <c r="C307" s="1417"/>
    </row>
    <row r="308" spans="1:3" s="688" customFormat="1" ht="45" customHeight="1" x14ac:dyDescent="0.25">
      <c r="A308" s="1418" t="s">
        <v>917</v>
      </c>
      <c r="B308" s="690" t="s">
        <v>918</v>
      </c>
      <c r="C308" s="1419">
        <f>SUM(C309:C313)</f>
        <v>18960</v>
      </c>
    </row>
    <row r="309" spans="1:3" ht="13.8" x14ac:dyDescent="0.25">
      <c r="A309" s="1416">
        <v>3301</v>
      </c>
      <c r="B309" s="689" t="s">
        <v>68</v>
      </c>
      <c r="C309" s="1417">
        <f>SUM('3 mell. 2. pont'!E505)</f>
        <v>18960</v>
      </c>
    </row>
    <row r="310" spans="1:3" ht="13.8" hidden="1" x14ac:dyDescent="0.25">
      <c r="A310" s="1416"/>
      <c r="B310" s="689"/>
      <c r="C310" s="1417"/>
    </row>
    <row r="311" spans="1:3" ht="13.8" hidden="1" x14ac:dyDescent="0.25">
      <c r="A311" s="1416"/>
      <c r="B311" s="689"/>
      <c r="C311" s="1417"/>
    </row>
    <row r="312" spans="1:3" ht="13.8" hidden="1" x14ac:dyDescent="0.25">
      <c r="A312" s="1416"/>
      <c r="B312" s="689"/>
      <c r="C312" s="1417"/>
    </row>
    <row r="313" spans="1:3" ht="13.8" x14ac:dyDescent="0.25">
      <c r="A313" s="1416"/>
      <c r="B313" s="689"/>
      <c r="C313" s="1417"/>
    </row>
    <row r="314" spans="1:3" s="688" customFormat="1" ht="45" hidden="1" customHeight="1" x14ac:dyDescent="0.25">
      <c r="A314" s="1418" t="s">
        <v>1157</v>
      </c>
      <c r="B314" s="690" t="s">
        <v>1156</v>
      </c>
      <c r="C314" s="1419">
        <f>SUM(C315:C319)</f>
        <v>0</v>
      </c>
    </row>
    <row r="315" spans="1:3" ht="13.8" hidden="1" x14ac:dyDescent="0.25">
      <c r="A315" s="1416"/>
      <c r="B315" s="689"/>
      <c r="C315" s="1417"/>
    </row>
    <row r="316" spans="1:3" ht="13.8" hidden="1" x14ac:dyDescent="0.25">
      <c r="A316" s="1416"/>
      <c r="B316" s="689"/>
      <c r="C316" s="1417"/>
    </row>
    <row r="317" spans="1:3" ht="13.8" hidden="1" x14ac:dyDescent="0.25">
      <c r="A317" s="1416"/>
      <c r="B317" s="689"/>
      <c r="C317" s="1417"/>
    </row>
    <row r="318" spans="1:3" ht="13.8" hidden="1" x14ac:dyDescent="0.25">
      <c r="A318" s="1416"/>
      <c r="B318" s="689"/>
      <c r="C318" s="1417"/>
    </row>
    <row r="319" spans="1:3" ht="13.8" hidden="1" x14ac:dyDescent="0.25">
      <c r="A319" s="1416"/>
      <c r="B319" s="689"/>
      <c r="C319" s="1417"/>
    </row>
    <row r="320" spans="1:3" s="688" customFormat="1" ht="45" hidden="1" customHeight="1" x14ac:dyDescent="0.25">
      <c r="A320" s="1418" t="s">
        <v>1155</v>
      </c>
      <c r="B320" s="690" t="s">
        <v>1154</v>
      </c>
      <c r="C320" s="1419">
        <f>SUM(C321:C325)</f>
        <v>0</v>
      </c>
    </row>
    <row r="321" spans="1:3" ht="13.8" hidden="1" x14ac:dyDescent="0.25">
      <c r="A321" s="1416"/>
      <c r="B321" s="689"/>
      <c r="C321" s="1417"/>
    </row>
    <row r="322" spans="1:3" ht="13.8" hidden="1" x14ac:dyDescent="0.25">
      <c r="A322" s="1416"/>
      <c r="B322" s="689"/>
      <c r="C322" s="1417"/>
    </row>
    <row r="323" spans="1:3" ht="13.8" hidden="1" x14ac:dyDescent="0.25">
      <c r="A323" s="1416"/>
      <c r="B323" s="689"/>
      <c r="C323" s="1417"/>
    </row>
    <row r="324" spans="1:3" ht="13.8" hidden="1" x14ac:dyDescent="0.25">
      <c r="A324" s="1416"/>
      <c r="B324" s="689"/>
      <c r="C324" s="1417"/>
    </row>
    <row r="325" spans="1:3" ht="13.8" hidden="1" x14ac:dyDescent="0.25">
      <c r="A325" s="1416"/>
      <c r="B325" s="689"/>
      <c r="C325" s="1417"/>
    </row>
    <row r="326" spans="1:3" s="688" customFormat="1" ht="45" customHeight="1" x14ac:dyDescent="0.25">
      <c r="A326" s="1418" t="s">
        <v>1153</v>
      </c>
      <c r="B326" s="690" t="s">
        <v>1152</v>
      </c>
      <c r="C326" s="1419">
        <f>SUM(C327:C331)</f>
        <v>39132</v>
      </c>
    </row>
    <row r="327" spans="1:3" ht="13.8" x14ac:dyDescent="0.25">
      <c r="A327" s="1420">
        <v>2795</v>
      </c>
      <c r="B327" s="689" t="s">
        <v>360</v>
      </c>
      <c r="C327" s="1417">
        <v>14525</v>
      </c>
    </row>
    <row r="328" spans="1:3" ht="13.8" x14ac:dyDescent="0.25">
      <c r="A328" s="1416">
        <v>5002</v>
      </c>
      <c r="B328" s="689" t="s">
        <v>1151</v>
      </c>
      <c r="C328" s="1417">
        <f>SUM('5.mell. '!E11)</f>
        <v>24607</v>
      </c>
    </row>
    <row r="329" spans="1:3" ht="13.8" hidden="1" x14ac:dyDescent="0.25">
      <c r="A329" s="1416"/>
      <c r="B329" s="689"/>
      <c r="C329" s="1417"/>
    </row>
    <row r="330" spans="1:3" ht="13.8" hidden="1" x14ac:dyDescent="0.25">
      <c r="A330" s="1416"/>
      <c r="B330" s="689"/>
      <c r="C330" s="1417"/>
    </row>
    <row r="331" spans="1:3" ht="13.8" x14ac:dyDescent="0.25">
      <c r="A331" s="1416"/>
      <c r="B331" s="689"/>
      <c r="C331" s="1417"/>
    </row>
    <row r="332" spans="1:3" s="688" customFormat="1" ht="45" customHeight="1" x14ac:dyDescent="0.25">
      <c r="A332" s="1418" t="s">
        <v>919</v>
      </c>
      <c r="B332" s="690" t="s">
        <v>920</v>
      </c>
      <c r="C332" s="1419">
        <f>SUM(C333:C337)</f>
        <v>20000</v>
      </c>
    </row>
    <row r="333" spans="1:3" ht="13.8" x14ac:dyDescent="0.25">
      <c r="A333" s="1416">
        <v>3416</v>
      </c>
      <c r="B333" s="689" t="s">
        <v>1150</v>
      </c>
      <c r="C333" s="1417">
        <f>SUM('3 mell. 2. pont'!E827)</f>
        <v>20000</v>
      </c>
    </row>
    <row r="334" spans="1:3" ht="13.8" hidden="1" x14ac:dyDescent="0.25">
      <c r="A334" s="1416"/>
      <c r="B334" s="689"/>
      <c r="C334" s="1417"/>
    </row>
    <row r="335" spans="1:3" ht="13.8" hidden="1" x14ac:dyDescent="0.25">
      <c r="A335" s="1416"/>
      <c r="B335" s="689"/>
      <c r="C335" s="1417"/>
    </row>
    <row r="336" spans="1:3" ht="13.8" hidden="1" x14ac:dyDescent="0.25">
      <c r="A336" s="1416"/>
      <c r="B336" s="689"/>
      <c r="C336" s="1417"/>
    </row>
    <row r="337" spans="1:3" ht="13.8" x14ac:dyDescent="0.25">
      <c r="A337" s="1416"/>
      <c r="B337" s="689"/>
      <c r="C337" s="1417"/>
    </row>
    <row r="338" spans="1:3" s="688" customFormat="1" ht="45" customHeight="1" x14ac:dyDescent="0.25">
      <c r="A338" s="1418" t="s">
        <v>921</v>
      </c>
      <c r="B338" s="690" t="s">
        <v>922</v>
      </c>
      <c r="C338" s="1419">
        <f>SUM(C339:C343)</f>
        <v>20218</v>
      </c>
    </row>
    <row r="339" spans="1:3" ht="13.8" x14ac:dyDescent="0.25">
      <c r="A339" s="1416">
        <v>3413</v>
      </c>
      <c r="B339" s="689" t="s">
        <v>1149</v>
      </c>
      <c r="C339" s="1417">
        <f>SUM('3 mell. 2. pont'!E807)</f>
        <v>9318</v>
      </c>
    </row>
    <row r="340" spans="1:3" ht="13.8" x14ac:dyDescent="0.25">
      <c r="A340" s="1416">
        <v>3415</v>
      </c>
      <c r="B340" s="689" t="s">
        <v>244</v>
      </c>
      <c r="C340" s="1417">
        <f>SUM('3 mell. 2. pont'!E817)</f>
        <v>10900</v>
      </c>
    </row>
    <row r="341" spans="1:3" ht="13.8" hidden="1" x14ac:dyDescent="0.25">
      <c r="A341" s="1416"/>
      <c r="B341" s="689"/>
      <c r="C341" s="1417"/>
    </row>
    <row r="342" spans="1:3" ht="13.8" hidden="1" x14ac:dyDescent="0.25">
      <c r="A342" s="1416"/>
      <c r="B342" s="689"/>
      <c r="C342" s="1417"/>
    </row>
    <row r="343" spans="1:3" ht="13.8" x14ac:dyDescent="0.25">
      <c r="A343" s="1416"/>
      <c r="B343" s="689"/>
      <c r="C343" s="1417"/>
    </row>
    <row r="344" spans="1:3" s="688" customFormat="1" ht="45" customHeight="1" x14ac:dyDescent="0.25">
      <c r="A344" s="1418" t="s">
        <v>923</v>
      </c>
      <c r="B344" s="690" t="s">
        <v>924</v>
      </c>
      <c r="C344" s="1419">
        <f>SUM(C345:C349)</f>
        <v>72507</v>
      </c>
    </row>
    <row r="345" spans="1:3" ht="13.8" x14ac:dyDescent="0.25">
      <c r="A345" s="1416">
        <v>3411</v>
      </c>
      <c r="B345" s="689" t="s">
        <v>1148</v>
      </c>
      <c r="C345" s="1417">
        <f>SUM('3 mell. 2. pont'!E787)</f>
        <v>25000</v>
      </c>
    </row>
    <row r="346" spans="1:3" ht="13.8" x14ac:dyDescent="0.25">
      <c r="A346" s="1416">
        <v>3412</v>
      </c>
      <c r="B346" s="689" t="s">
        <v>1147</v>
      </c>
      <c r="C346" s="1417">
        <f>SUM('3 mell. 2. pont'!E797)</f>
        <v>47507</v>
      </c>
    </row>
    <row r="347" spans="1:3" ht="13.8" hidden="1" x14ac:dyDescent="0.25">
      <c r="A347" s="1416"/>
      <c r="B347" s="689"/>
      <c r="C347" s="1417"/>
    </row>
    <row r="348" spans="1:3" ht="13.8" hidden="1" x14ac:dyDescent="0.25">
      <c r="A348" s="1416"/>
      <c r="B348" s="689"/>
      <c r="C348" s="1417"/>
    </row>
    <row r="349" spans="1:3" ht="13.8" x14ac:dyDescent="0.25">
      <c r="A349" s="1416"/>
      <c r="B349" s="689"/>
      <c r="C349" s="1417"/>
    </row>
    <row r="350" spans="1:3" s="688" customFormat="1" ht="45" customHeight="1" x14ac:dyDescent="0.25">
      <c r="A350" s="1418" t="s">
        <v>925</v>
      </c>
      <c r="B350" s="690" t="s">
        <v>1146</v>
      </c>
      <c r="C350" s="1419">
        <f>SUM(C351:C355)</f>
        <v>364958</v>
      </c>
    </row>
    <row r="351" spans="1:3" ht="13.8" x14ac:dyDescent="0.25">
      <c r="A351" s="1420">
        <v>2795</v>
      </c>
      <c r="B351" s="689" t="s">
        <v>360</v>
      </c>
      <c r="C351" s="1417">
        <f>168485+143803+1280</f>
        <v>313568</v>
      </c>
    </row>
    <row r="352" spans="1:3" ht="13.8" x14ac:dyDescent="0.25">
      <c r="A352" s="1416">
        <v>1710</v>
      </c>
      <c r="B352" s="689" t="s">
        <v>1078</v>
      </c>
      <c r="C352" s="1417">
        <f>SUM('3 mell 1. pont'!E18)</f>
        <v>51390</v>
      </c>
    </row>
    <row r="353" spans="1:3" ht="13.8" hidden="1" x14ac:dyDescent="0.25">
      <c r="A353" s="1416"/>
      <c r="B353" s="689"/>
      <c r="C353" s="1417"/>
    </row>
    <row r="354" spans="1:3" ht="13.8" hidden="1" x14ac:dyDescent="0.25">
      <c r="A354" s="1416"/>
      <c r="B354" s="689"/>
      <c r="C354" s="1417"/>
    </row>
    <row r="355" spans="1:3" ht="13.8" x14ac:dyDescent="0.25">
      <c r="A355" s="1416"/>
      <c r="B355" s="689"/>
      <c r="C355" s="1417"/>
    </row>
    <row r="356" spans="1:3" s="688" customFormat="1" ht="45" hidden="1" customHeight="1" x14ac:dyDescent="0.25">
      <c r="A356" s="1418" t="s">
        <v>926</v>
      </c>
      <c r="B356" s="690" t="s">
        <v>927</v>
      </c>
      <c r="C356" s="1419">
        <f>SUM(C357:C361)</f>
        <v>0</v>
      </c>
    </row>
    <row r="357" spans="1:3" ht="13.8" hidden="1" x14ac:dyDescent="0.25">
      <c r="A357" s="1416"/>
      <c r="B357" s="689"/>
      <c r="C357" s="1417"/>
    </row>
    <row r="358" spans="1:3" ht="13.8" hidden="1" x14ac:dyDescent="0.25">
      <c r="A358" s="1416"/>
      <c r="B358" s="689"/>
      <c r="C358" s="1417"/>
    </row>
    <row r="359" spans="1:3" ht="13.8" hidden="1" x14ac:dyDescent="0.25">
      <c r="A359" s="1416"/>
      <c r="B359" s="689"/>
      <c r="C359" s="1417"/>
    </row>
    <row r="360" spans="1:3" ht="13.8" hidden="1" x14ac:dyDescent="0.25">
      <c r="A360" s="1416"/>
      <c r="B360" s="689"/>
      <c r="C360" s="1417"/>
    </row>
    <row r="361" spans="1:3" ht="13.8" hidden="1" x14ac:dyDescent="0.25">
      <c r="A361" s="1416"/>
      <c r="B361" s="689"/>
      <c r="C361" s="1417"/>
    </row>
    <row r="362" spans="1:3" s="688" customFormat="1" ht="45" customHeight="1" x14ac:dyDescent="0.25">
      <c r="A362" s="1418" t="s">
        <v>928</v>
      </c>
      <c r="B362" s="690" t="s">
        <v>1145</v>
      </c>
      <c r="C362" s="1419">
        <f>SUM(C363:C367)</f>
        <v>295715</v>
      </c>
    </row>
    <row r="363" spans="1:3" ht="13.8" x14ac:dyDescent="0.25">
      <c r="A363" s="1420">
        <v>2986</v>
      </c>
      <c r="B363" s="689" t="s">
        <v>344</v>
      </c>
      <c r="C363" s="1417">
        <f>281839+13876</f>
        <v>295715</v>
      </c>
    </row>
    <row r="364" spans="1:3" ht="13.8" hidden="1" x14ac:dyDescent="0.25">
      <c r="A364" s="1416"/>
      <c r="B364" s="689"/>
      <c r="C364" s="1417"/>
    </row>
    <row r="365" spans="1:3" ht="13.8" hidden="1" x14ac:dyDescent="0.25">
      <c r="A365" s="1416"/>
      <c r="B365" s="689"/>
      <c r="C365" s="1417"/>
    </row>
    <row r="366" spans="1:3" ht="13.8" hidden="1" x14ac:dyDescent="0.25">
      <c r="A366" s="1416"/>
      <c r="B366" s="689"/>
      <c r="C366" s="1417"/>
    </row>
    <row r="367" spans="1:3" ht="13.8" x14ac:dyDescent="0.25">
      <c r="A367" s="1416"/>
      <c r="B367" s="689"/>
      <c r="C367" s="1417"/>
    </row>
    <row r="368" spans="1:3" s="688" customFormat="1" ht="45" customHeight="1" x14ac:dyDescent="0.25">
      <c r="A368" s="1418" t="s">
        <v>929</v>
      </c>
      <c r="B368" s="690" t="s">
        <v>1144</v>
      </c>
      <c r="C368" s="1419">
        <f>SUM(C369:C373)</f>
        <v>553105</v>
      </c>
    </row>
    <row r="369" spans="1:3" ht="13.8" x14ac:dyDescent="0.25">
      <c r="A369" s="1420">
        <v>2985</v>
      </c>
      <c r="B369" s="689" t="s">
        <v>347</v>
      </c>
      <c r="C369" s="1417">
        <f>231377+1502+6400</f>
        <v>239279</v>
      </c>
    </row>
    <row r="370" spans="1:3" ht="13.8" x14ac:dyDescent="0.25">
      <c r="A370" s="1416">
        <v>3961</v>
      </c>
      <c r="B370" s="689" t="s">
        <v>1143</v>
      </c>
      <c r="C370" s="1417">
        <f>SUM('3 mell 3. pont'!E39)</f>
        <v>313826</v>
      </c>
    </row>
    <row r="371" spans="1:3" ht="13.8" hidden="1" x14ac:dyDescent="0.25">
      <c r="A371" s="1416"/>
      <c r="B371" s="689"/>
      <c r="C371" s="1417"/>
    </row>
    <row r="372" spans="1:3" ht="13.8" hidden="1" x14ac:dyDescent="0.25">
      <c r="A372" s="1416"/>
      <c r="B372" s="689"/>
      <c r="C372" s="1417"/>
    </row>
    <row r="373" spans="1:3" ht="13.8" x14ac:dyDescent="0.25">
      <c r="A373" s="1416"/>
      <c r="B373" s="689"/>
      <c r="C373" s="1417"/>
    </row>
    <row r="374" spans="1:3" s="688" customFormat="1" ht="45" customHeight="1" x14ac:dyDescent="0.25">
      <c r="A374" s="1418" t="s">
        <v>930</v>
      </c>
      <c r="B374" s="690" t="s">
        <v>1142</v>
      </c>
      <c r="C374" s="1419">
        <f>SUM(C375:C379)</f>
        <v>61847</v>
      </c>
    </row>
    <row r="375" spans="1:3" ht="13.8" x14ac:dyDescent="0.25">
      <c r="A375" s="1420">
        <v>2985</v>
      </c>
      <c r="B375" s="689" t="s">
        <v>347</v>
      </c>
      <c r="C375" s="1417">
        <f>61253+594</f>
        <v>61847</v>
      </c>
    </row>
    <row r="376" spans="1:3" ht="13.8" hidden="1" x14ac:dyDescent="0.25">
      <c r="A376" s="1416"/>
      <c r="B376" s="689"/>
      <c r="C376" s="1417"/>
    </row>
    <row r="377" spans="1:3" ht="13.8" hidden="1" x14ac:dyDescent="0.25">
      <c r="A377" s="1416"/>
      <c r="B377" s="689"/>
      <c r="C377" s="1417"/>
    </row>
    <row r="378" spans="1:3" ht="13.8" hidden="1" x14ac:dyDescent="0.25">
      <c r="A378" s="1416"/>
      <c r="B378" s="689"/>
      <c r="C378" s="1417"/>
    </row>
    <row r="379" spans="1:3" ht="13.8" x14ac:dyDescent="0.25">
      <c r="A379" s="1416"/>
      <c r="B379" s="689"/>
      <c r="C379" s="1417"/>
    </row>
    <row r="380" spans="1:3" s="688" customFormat="1" ht="45" customHeight="1" x14ac:dyDescent="0.25">
      <c r="A380" s="1418" t="s">
        <v>931</v>
      </c>
      <c r="B380" s="690" t="s">
        <v>932</v>
      </c>
      <c r="C380" s="1419">
        <f>SUM(C381:C385)</f>
        <v>10782</v>
      </c>
    </row>
    <row r="381" spans="1:3" ht="13.8" x14ac:dyDescent="0.25">
      <c r="A381" s="1420">
        <v>2985</v>
      </c>
      <c r="B381" s="689" t="s">
        <v>347</v>
      </c>
      <c r="C381" s="1417">
        <v>6782</v>
      </c>
    </row>
    <row r="382" spans="1:3" ht="13.8" x14ac:dyDescent="0.25">
      <c r="A382" s="1416">
        <v>3428</v>
      </c>
      <c r="B382" s="689" t="s">
        <v>1141</v>
      </c>
      <c r="C382" s="1417">
        <f>SUM('3 mell. 2. pont'!D878)</f>
        <v>4000</v>
      </c>
    </row>
    <row r="383" spans="1:3" ht="13.8" hidden="1" x14ac:dyDescent="0.25">
      <c r="A383" s="1416"/>
      <c r="B383" s="689"/>
      <c r="C383" s="1417"/>
    </row>
    <row r="384" spans="1:3" ht="13.8" hidden="1" x14ac:dyDescent="0.25">
      <c r="A384" s="1416"/>
      <c r="B384" s="689"/>
      <c r="C384" s="1417"/>
    </row>
    <row r="385" spans="1:3" ht="13.8" x14ac:dyDescent="0.25">
      <c r="A385" s="1416"/>
      <c r="B385" s="689"/>
      <c r="C385" s="1417"/>
    </row>
    <row r="386" spans="1:3" s="688" customFormat="1" ht="45" customHeight="1" x14ac:dyDescent="0.25">
      <c r="A386" s="1418" t="s">
        <v>1140</v>
      </c>
      <c r="B386" s="690" t="s">
        <v>1139</v>
      </c>
      <c r="C386" s="1419">
        <f>SUM(C387:C391)</f>
        <v>30000</v>
      </c>
    </row>
    <row r="387" spans="1:3" ht="13.8" x14ac:dyDescent="0.25">
      <c r="A387" s="1416">
        <v>4166</v>
      </c>
      <c r="B387" s="689" t="s">
        <v>1138</v>
      </c>
      <c r="C387" s="1417">
        <f>SUM('4.mell.'!E45)</f>
        <v>30000</v>
      </c>
    </row>
    <row r="388" spans="1:3" ht="13.8" hidden="1" x14ac:dyDescent="0.25">
      <c r="A388" s="1416"/>
      <c r="B388" s="689"/>
      <c r="C388" s="1417"/>
    </row>
    <row r="389" spans="1:3" ht="13.8" hidden="1" x14ac:dyDescent="0.25">
      <c r="A389" s="1416"/>
      <c r="B389" s="689"/>
      <c r="C389" s="1417"/>
    </row>
    <row r="390" spans="1:3" ht="13.8" hidden="1" x14ac:dyDescent="0.25">
      <c r="A390" s="1416"/>
      <c r="B390" s="689"/>
      <c r="C390" s="1417"/>
    </row>
    <row r="391" spans="1:3" ht="13.8" x14ac:dyDescent="0.25">
      <c r="A391" s="1416"/>
      <c r="B391" s="689"/>
      <c r="C391" s="1417"/>
    </row>
    <row r="392" spans="1:3" s="688" customFormat="1" ht="45" customHeight="1" x14ac:dyDescent="0.25">
      <c r="A392" s="1418" t="s">
        <v>933</v>
      </c>
      <c r="B392" s="690" t="s">
        <v>1137</v>
      </c>
      <c r="C392" s="1419">
        <f>SUM(C393:C402)</f>
        <v>325897</v>
      </c>
    </row>
    <row r="393" spans="1:3" ht="13.8" x14ac:dyDescent="0.25">
      <c r="A393" s="1420">
        <v>2795</v>
      </c>
      <c r="B393" s="689" t="s">
        <v>360</v>
      </c>
      <c r="C393" s="1417">
        <f>175190+17498</f>
        <v>192688</v>
      </c>
    </row>
    <row r="394" spans="1:3" ht="13.8" x14ac:dyDescent="0.25">
      <c r="A394" s="1416">
        <v>3148</v>
      </c>
      <c r="B394" s="689" t="s">
        <v>256</v>
      </c>
      <c r="C394" s="1417">
        <f>SUM('3 mell. 2. pont'!E265)</f>
        <v>1984</v>
      </c>
    </row>
    <row r="395" spans="1:3" ht="13.8" x14ac:dyDescent="0.25">
      <c r="A395" s="1416">
        <v>3421</v>
      </c>
      <c r="B395" s="689" t="s">
        <v>1136</v>
      </c>
      <c r="C395" s="1417">
        <f>SUM('3 mell. 2. pont'!E838)</f>
        <v>56279</v>
      </c>
    </row>
    <row r="396" spans="1:3" ht="13.8" x14ac:dyDescent="0.25">
      <c r="A396" s="1416">
        <v>3424</v>
      </c>
      <c r="B396" s="689" t="s">
        <v>1135</v>
      </c>
      <c r="C396" s="1417">
        <f>SUM('3 mell. 2. pont'!E868)</f>
        <v>47538</v>
      </c>
    </row>
    <row r="397" spans="1:3" ht="13.8" x14ac:dyDescent="0.25">
      <c r="A397" s="1416">
        <v>3429</v>
      </c>
      <c r="B397" s="689" t="s">
        <v>1134</v>
      </c>
      <c r="C397" s="1417">
        <f>SUM('3 mell. 2. pont'!E888)</f>
        <v>2500</v>
      </c>
    </row>
    <row r="398" spans="1:3" ht="13.8" x14ac:dyDescent="0.25">
      <c r="A398" s="1416">
        <v>3431</v>
      </c>
      <c r="B398" s="689" t="s">
        <v>80</v>
      </c>
      <c r="C398" s="1417">
        <f>SUM('3 mell. 2. pont'!E898)</f>
        <v>0</v>
      </c>
    </row>
    <row r="399" spans="1:3" ht="13.8" x14ac:dyDescent="0.25">
      <c r="A399" s="1416">
        <v>3432</v>
      </c>
      <c r="B399" s="689" t="s">
        <v>143</v>
      </c>
      <c r="C399" s="1417">
        <f>SUM('3 mell. 2. pont'!E908)</f>
        <v>8000</v>
      </c>
    </row>
    <row r="400" spans="1:3" ht="13.8" x14ac:dyDescent="0.25">
      <c r="A400" s="1416">
        <v>3434</v>
      </c>
      <c r="B400" s="689" t="s">
        <v>288</v>
      </c>
      <c r="C400" s="1417">
        <f>SUM('3 mell. 2. pont'!E928)</f>
        <v>3000</v>
      </c>
    </row>
    <row r="401" spans="1:3" ht="13.8" x14ac:dyDescent="0.25">
      <c r="A401" s="1416">
        <v>3973</v>
      </c>
      <c r="B401" s="689" t="s">
        <v>1133</v>
      </c>
      <c r="C401" s="1417">
        <f>SUM('3 mell 3. pont'!E44)</f>
        <v>13908</v>
      </c>
    </row>
    <row r="402" spans="1:3" ht="13.8" x14ac:dyDescent="0.25">
      <c r="A402" s="1416"/>
      <c r="B402" s="689"/>
      <c r="C402" s="1417"/>
    </row>
    <row r="403" spans="1:3" s="688" customFormat="1" ht="45" hidden="1" customHeight="1" x14ac:dyDescent="0.25">
      <c r="A403" s="1418" t="s">
        <v>1132</v>
      </c>
      <c r="B403" s="690" t="s">
        <v>1131</v>
      </c>
      <c r="C403" s="1419">
        <f>SUM(C404:C408)</f>
        <v>0</v>
      </c>
    </row>
    <row r="404" spans="1:3" ht="13.8" hidden="1" x14ac:dyDescent="0.25">
      <c r="A404" s="1416"/>
      <c r="B404" s="689"/>
      <c r="C404" s="1417"/>
    </row>
    <row r="405" spans="1:3" ht="13.8" hidden="1" x14ac:dyDescent="0.25">
      <c r="A405" s="1416"/>
      <c r="B405" s="689"/>
      <c r="C405" s="1417"/>
    </row>
    <row r="406" spans="1:3" ht="13.8" hidden="1" x14ac:dyDescent="0.25">
      <c r="A406" s="1416"/>
      <c r="B406" s="689"/>
      <c r="C406" s="1417"/>
    </row>
    <row r="407" spans="1:3" ht="13.8" hidden="1" x14ac:dyDescent="0.25">
      <c r="A407" s="1416"/>
      <c r="B407" s="689"/>
      <c r="C407" s="1417"/>
    </row>
    <row r="408" spans="1:3" ht="13.8" hidden="1" x14ac:dyDescent="0.25">
      <c r="A408" s="1416"/>
      <c r="B408" s="689"/>
      <c r="C408" s="1417"/>
    </row>
    <row r="409" spans="1:3" s="688" customFormat="1" ht="45" customHeight="1" x14ac:dyDescent="0.25">
      <c r="A409" s="1418" t="s">
        <v>1130</v>
      </c>
      <c r="B409" s="690" t="s">
        <v>1129</v>
      </c>
      <c r="C409" s="1419">
        <f>SUM(C410:C414)</f>
        <v>151341</v>
      </c>
    </row>
    <row r="410" spans="1:3" ht="13.8" x14ac:dyDescent="0.25">
      <c r="A410" s="1420">
        <v>2985</v>
      </c>
      <c r="B410" s="689" t="s">
        <v>347</v>
      </c>
      <c r="C410" s="1417">
        <f>127855+23186+300</f>
        <v>151341</v>
      </c>
    </row>
    <row r="411" spans="1:3" ht="13.8" hidden="1" x14ac:dyDescent="0.25">
      <c r="A411" s="1416"/>
      <c r="B411" s="689"/>
      <c r="C411" s="1417"/>
    </row>
    <row r="412" spans="1:3" ht="13.8" hidden="1" x14ac:dyDescent="0.25">
      <c r="A412" s="1416"/>
      <c r="B412" s="689"/>
      <c r="C412" s="1417"/>
    </row>
    <row r="413" spans="1:3" ht="13.8" hidden="1" x14ac:dyDescent="0.25">
      <c r="A413" s="1416"/>
      <c r="B413" s="689"/>
      <c r="C413" s="1417"/>
    </row>
    <row r="414" spans="1:3" ht="13.8" x14ac:dyDescent="0.25">
      <c r="A414" s="1416"/>
      <c r="B414" s="689"/>
      <c r="C414" s="1417"/>
    </row>
    <row r="415" spans="1:3" s="688" customFormat="1" ht="45" customHeight="1" x14ac:dyDescent="0.25">
      <c r="A415" s="1418" t="s">
        <v>1128</v>
      </c>
      <c r="B415" s="690" t="s">
        <v>1127</v>
      </c>
      <c r="C415" s="1419">
        <f>SUM(C416:C420)</f>
        <v>273558</v>
      </c>
    </row>
    <row r="416" spans="1:3" ht="13.8" x14ac:dyDescent="0.25">
      <c r="A416" s="1420">
        <v>3217</v>
      </c>
      <c r="B416" s="689" t="s">
        <v>249</v>
      </c>
      <c r="C416" s="1417">
        <f>SUM('3 mell. 2. pont'!E416)</f>
        <v>104427</v>
      </c>
    </row>
    <row r="417" spans="1:3" s="987" customFormat="1" ht="13.8" x14ac:dyDescent="0.25">
      <c r="A417" s="1420">
        <v>2988</v>
      </c>
      <c r="B417" s="689" t="s">
        <v>1433</v>
      </c>
      <c r="C417" s="1417">
        <f>SUM('2.mell'!E693)</f>
        <v>169131</v>
      </c>
    </row>
    <row r="418" spans="1:3" ht="13.8" hidden="1" x14ac:dyDescent="0.25">
      <c r="A418" s="1416"/>
      <c r="B418" s="689"/>
      <c r="C418" s="1417"/>
    </row>
    <row r="419" spans="1:3" ht="13.8" hidden="1" x14ac:dyDescent="0.25">
      <c r="A419" s="1416"/>
      <c r="B419" s="689"/>
      <c r="C419" s="1417"/>
    </row>
    <row r="420" spans="1:3" ht="13.8" x14ac:dyDescent="0.25">
      <c r="A420" s="1416"/>
      <c r="B420" s="689"/>
      <c r="C420" s="1417"/>
    </row>
    <row r="421" spans="1:3" s="688" customFormat="1" ht="45" customHeight="1" x14ac:dyDescent="0.25">
      <c r="A421" s="1418" t="s">
        <v>934</v>
      </c>
      <c r="B421" s="690" t="s">
        <v>1126</v>
      </c>
      <c r="C421" s="1419">
        <f>SUM(C422:C426)</f>
        <v>13500</v>
      </c>
    </row>
    <row r="422" spans="1:3" ht="13.8" x14ac:dyDescent="0.25">
      <c r="A422" s="1416">
        <v>3343</v>
      </c>
      <c r="B422" s="689" t="s">
        <v>224</v>
      </c>
      <c r="C422" s="1417">
        <f>SUM('3 mell. 2. pont'!E665)</f>
        <v>13500</v>
      </c>
    </row>
    <row r="423" spans="1:3" ht="13.8" hidden="1" x14ac:dyDescent="0.25">
      <c r="A423" s="1416"/>
      <c r="B423" s="689"/>
      <c r="C423" s="1417"/>
    </row>
    <row r="424" spans="1:3" ht="13.8" hidden="1" x14ac:dyDescent="0.25">
      <c r="A424" s="1416"/>
      <c r="B424" s="689"/>
      <c r="C424" s="1417"/>
    </row>
    <row r="425" spans="1:3" ht="13.8" hidden="1" x14ac:dyDescent="0.25">
      <c r="A425" s="1416"/>
      <c r="B425" s="689"/>
      <c r="C425" s="1417"/>
    </row>
    <row r="426" spans="1:3" ht="13.8" x14ac:dyDescent="0.25">
      <c r="A426" s="1416"/>
      <c r="B426" s="689"/>
      <c r="C426" s="1417"/>
    </row>
    <row r="427" spans="1:3" s="688" customFormat="1" ht="45" hidden="1" customHeight="1" x14ac:dyDescent="0.25">
      <c r="A427" s="1418" t="s">
        <v>935</v>
      </c>
      <c r="B427" s="690" t="s">
        <v>103</v>
      </c>
      <c r="C427" s="1419">
        <f>SUM(C428:C432)</f>
        <v>0</v>
      </c>
    </row>
    <row r="428" spans="1:3" ht="13.8" hidden="1" x14ac:dyDescent="0.25">
      <c r="A428" s="1416"/>
      <c r="B428" s="689"/>
      <c r="C428" s="1417"/>
    </row>
    <row r="429" spans="1:3" ht="13.8" hidden="1" x14ac:dyDescent="0.25">
      <c r="A429" s="1416"/>
      <c r="B429" s="689"/>
      <c r="C429" s="1417"/>
    </row>
    <row r="430" spans="1:3" ht="13.8" hidden="1" x14ac:dyDescent="0.25">
      <c r="A430" s="1416"/>
      <c r="B430" s="689"/>
      <c r="C430" s="1417"/>
    </row>
    <row r="431" spans="1:3" ht="13.8" hidden="1" x14ac:dyDescent="0.25">
      <c r="A431" s="1416"/>
      <c r="B431" s="689"/>
      <c r="C431" s="1417"/>
    </row>
    <row r="432" spans="1:3" ht="13.8" hidden="1" x14ac:dyDescent="0.25">
      <c r="A432" s="1416"/>
      <c r="B432" s="689"/>
      <c r="C432" s="1417"/>
    </row>
    <row r="433" spans="1:3" s="688" customFormat="1" ht="45" customHeight="1" x14ac:dyDescent="0.25">
      <c r="A433" s="1418" t="s">
        <v>936</v>
      </c>
      <c r="B433" s="690" t="s">
        <v>937</v>
      </c>
      <c r="C433" s="1419">
        <f>SUM(C434:C439)</f>
        <v>93359</v>
      </c>
    </row>
    <row r="434" spans="1:3" ht="13.8" x14ac:dyDescent="0.25">
      <c r="A434" s="1416">
        <v>3923</v>
      </c>
      <c r="B434" s="689" t="s">
        <v>257</v>
      </c>
      <c r="C434" s="1417">
        <f>SUM('3 mell 3. pont'!E13)</f>
        <v>5000</v>
      </c>
    </row>
    <row r="435" spans="1:3" ht="13.8" x14ac:dyDescent="0.25">
      <c r="A435" s="1416">
        <v>3932</v>
      </c>
      <c r="B435" s="689" t="s">
        <v>1125</v>
      </c>
      <c r="C435" s="1417">
        <f>SUM('3 mell 3. pont'!E27)</f>
        <v>15000</v>
      </c>
    </row>
    <row r="436" spans="1:3" ht="13.8" x14ac:dyDescent="0.25">
      <c r="A436" s="1416">
        <v>3972</v>
      </c>
      <c r="B436" s="689" t="s">
        <v>1124</v>
      </c>
      <c r="C436" s="1417">
        <f>SUM('3 mell 3. pont'!E40)</f>
        <v>53259</v>
      </c>
    </row>
    <row r="437" spans="1:3" ht="13.8" x14ac:dyDescent="0.25">
      <c r="A437" s="1416">
        <v>3974</v>
      </c>
      <c r="B437" s="689" t="s">
        <v>1310</v>
      </c>
      <c r="C437" s="1417">
        <f>SUM('3 mell 3. pont'!E48)</f>
        <v>5100</v>
      </c>
    </row>
    <row r="438" spans="1:3" ht="13.8" x14ac:dyDescent="0.25">
      <c r="A438" s="1416">
        <v>3975</v>
      </c>
      <c r="B438" s="689" t="s">
        <v>222</v>
      </c>
      <c r="C438" s="1417">
        <f>SUM('3 mell 3. pont'!E49)</f>
        <v>15000</v>
      </c>
    </row>
    <row r="439" spans="1:3" ht="13.8" x14ac:dyDescent="0.25">
      <c r="A439" s="1416"/>
      <c r="B439" s="689"/>
      <c r="C439" s="1417"/>
    </row>
    <row r="440" spans="1:3" s="688" customFormat="1" ht="45" customHeight="1" x14ac:dyDescent="0.25">
      <c r="A440" s="1418" t="s">
        <v>938</v>
      </c>
      <c r="B440" s="690" t="s">
        <v>939</v>
      </c>
      <c r="C440" s="1419">
        <f>SUM(C441:C445)</f>
        <v>5262</v>
      </c>
    </row>
    <row r="441" spans="1:3" ht="15.75" customHeight="1" x14ac:dyDescent="0.25">
      <c r="A441" s="1421">
        <v>3146</v>
      </c>
      <c r="B441" s="689" t="s">
        <v>1123</v>
      </c>
      <c r="C441" s="1417">
        <f>SUM('3 mell. 2. pont'!E245)</f>
        <v>5262</v>
      </c>
    </row>
    <row r="442" spans="1:3" ht="13.8" hidden="1" x14ac:dyDescent="0.25">
      <c r="A442" s="1416"/>
      <c r="B442" s="689"/>
      <c r="C442" s="1417"/>
    </row>
    <row r="443" spans="1:3" ht="13.8" hidden="1" x14ac:dyDescent="0.25">
      <c r="A443" s="1416"/>
      <c r="B443" s="689"/>
      <c r="C443" s="1417"/>
    </row>
    <row r="444" spans="1:3" ht="13.8" hidden="1" x14ac:dyDescent="0.25">
      <c r="A444" s="1416"/>
      <c r="B444" s="689"/>
      <c r="C444" s="1417"/>
    </row>
    <row r="445" spans="1:3" ht="13.8" x14ac:dyDescent="0.25">
      <c r="A445" s="1416"/>
      <c r="B445" s="689"/>
      <c r="C445" s="1417"/>
    </row>
    <row r="446" spans="1:3" s="688" customFormat="1" ht="45" hidden="1" customHeight="1" x14ac:dyDescent="0.25">
      <c r="A446" s="1418" t="s">
        <v>940</v>
      </c>
      <c r="B446" s="690" t="s">
        <v>941</v>
      </c>
      <c r="C446" s="1419">
        <f>SUM(C447:C451)</f>
        <v>0</v>
      </c>
    </row>
    <row r="447" spans="1:3" ht="13.8" hidden="1" x14ac:dyDescent="0.25">
      <c r="A447" s="1416"/>
      <c r="B447" s="689"/>
      <c r="C447" s="1417"/>
    </row>
    <row r="448" spans="1:3" ht="13.8" hidden="1" x14ac:dyDescent="0.25">
      <c r="A448" s="1416"/>
      <c r="B448" s="689"/>
      <c r="C448" s="1417"/>
    </row>
    <row r="449" spans="1:3" ht="13.8" hidden="1" x14ac:dyDescent="0.25">
      <c r="A449" s="1416"/>
      <c r="B449" s="689"/>
      <c r="C449" s="1417"/>
    </row>
    <row r="450" spans="1:3" ht="13.8" hidden="1" x14ac:dyDescent="0.25">
      <c r="A450" s="1416"/>
      <c r="B450" s="689"/>
      <c r="C450" s="1417"/>
    </row>
    <row r="451" spans="1:3" ht="13.8" hidden="1" x14ac:dyDescent="0.25">
      <c r="A451" s="1416"/>
      <c r="B451" s="689"/>
      <c r="C451" s="1417"/>
    </row>
    <row r="452" spans="1:3" s="688" customFormat="1" ht="45" customHeight="1" x14ac:dyDescent="0.25">
      <c r="A452" s="1418" t="s">
        <v>942</v>
      </c>
      <c r="B452" s="690" t="s">
        <v>943</v>
      </c>
      <c r="C452" s="1419">
        <f>SUM(C453:C457)</f>
        <v>12821</v>
      </c>
    </row>
    <row r="453" spans="1:3" ht="13.8" x14ac:dyDescent="0.25">
      <c r="A453" s="1416">
        <v>3145</v>
      </c>
      <c r="B453" s="689" t="s">
        <v>145</v>
      </c>
      <c r="C453" s="1417">
        <f>SUM('3 mell. 2. pont'!E235)</f>
        <v>12821</v>
      </c>
    </row>
    <row r="454" spans="1:3" ht="13.8" hidden="1" x14ac:dyDescent="0.25">
      <c r="A454" s="1416"/>
      <c r="B454" s="689"/>
      <c r="C454" s="1417"/>
    </row>
    <row r="455" spans="1:3" ht="13.8" hidden="1" x14ac:dyDescent="0.25">
      <c r="A455" s="1416"/>
      <c r="B455" s="689"/>
      <c r="C455" s="1417"/>
    </row>
    <row r="456" spans="1:3" ht="13.8" hidden="1" x14ac:dyDescent="0.25">
      <c r="A456" s="1416"/>
      <c r="B456" s="689"/>
      <c r="C456" s="1417"/>
    </row>
    <row r="457" spans="1:3" ht="13.8" x14ac:dyDescent="0.25">
      <c r="A457" s="1416"/>
      <c r="B457" s="689"/>
      <c r="C457" s="1417"/>
    </row>
    <row r="458" spans="1:3" s="688" customFormat="1" ht="45" hidden="1" customHeight="1" x14ac:dyDescent="0.25">
      <c r="A458" s="1418" t="s">
        <v>944</v>
      </c>
      <c r="B458" s="690" t="s">
        <v>1122</v>
      </c>
      <c r="C458" s="1419">
        <f>SUM(C459:C463)</f>
        <v>0</v>
      </c>
    </row>
    <row r="459" spans="1:3" ht="13.8" hidden="1" x14ac:dyDescent="0.25">
      <c r="A459" s="1416"/>
      <c r="B459" s="689"/>
      <c r="C459" s="1417"/>
    </row>
    <row r="460" spans="1:3" ht="13.8" hidden="1" x14ac:dyDescent="0.25">
      <c r="A460" s="1416"/>
      <c r="B460" s="689"/>
      <c r="C460" s="1417"/>
    </row>
    <row r="461" spans="1:3" ht="13.8" hidden="1" x14ac:dyDescent="0.25">
      <c r="A461" s="1416"/>
      <c r="B461" s="689"/>
      <c r="C461" s="1417"/>
    </row>
    <row r="462" spans="1:3" ht="13.8" hidden="1" x14ac:dyDescent="0.25">
      <c r="A462" s="1416"/>
      <c r="B462" s="689"/>
      <c r="C462" s="1417"/>
    </row>
    <row r="463" spans="1:3" ht="13.8" hidden="1" x14ac:dyDescent="0.25">
      <c r="A463" s="1416"/>
      <c r="B463" s="689"/>
      <c r="C463" s="1417"/>
    </row>
    <row r="464" spans="1:3" s="688" customFormat="1" ht="45" hidden="1" customHeight="1" x14ac:dyDescent="0.25">
      <c r="A464" s="1418" t="s">
        <v>1121</v>
      </c>
      <c r="B464" s="690" t="s">
        <v>1120</v>
      </c>
      <c r="C464" s="1419">
        <f>SUM(C465:C469)</f>
        <v>0</v>
      </c>
    </row>
    <row r="465" spans="1:3" ht="13.8" hidden="1" x14ac:dyDescent="0.25">
      <c r="A465" s="1416"/>
      <c r="B465" s="689"/>
      <c r="C465" s="1417"/>
    </row>
    <row r="466" spans="1:3" ht="13.8" hidden="1" x14ac:dyDescent="0.25">
      <c r="A466" s="1416"/>
      <c r="B466" s="689"/>
      <c r="C466" s="1417"/>
    </row>
    <row r="467" spans="1:3" ht="13.8" hidden="1" x14ac:dyDescent="0.25">
      <c r="A467" s="1416"/>
      <c r="B467" s="689"/>
      <c r="C467" s="1417"/>
    </row>
    <row r="468" spans="1:3" ht="13.8" hidden="1" x14ac:dyDescent="0.25">
      <c r="A468" s="1416"/>
      <c r="B468" s="689"/>
      <c r="C468" s="1417"/>
    </row>
    <row r="469" spans="1:3" ht="13.8" hidden="1" x14ac:dyDescent="0.25">
      <c r="A469" s="1416"/>
      <c r="B469" s="689"/>
      <c r="C469" s="1417"/>
    </row>
    <row r="470" spans="1:3" s="688" customFormat="1" ht="45" customHeight="1" x14ac:dyDescent="0.25">
      <c r="A470" s="1418" t="s">
        <v>1119</v>
      </c>
      <c r="B470" s="690" t="s">
        <v>1118</v>
      </c>
      <c r="C470" s="1419">
        <f>SUM(C471:C475)</f>
        <v>27241</v>
      </c>
    </row>
    <row r="471" spans="1:3" ht="13.8" x14ac:dyDescent="0.25">
      <c r="A471" s="1416">
        <v>3423</v>
      </c>
      <c r="B471" s="689" t="s">
        <v>1117</v>
      </c>
      <c r="C471" s="1417">
        <f>SUM('3 mell. 2. pont'!E858)</f>
        <v>25841</v>
      </c>
    </row>
    <row r="472" spans="1:3" ht="13.8" x14ac:dyDescent="0.25">
      <c r="A472" s="1416">
        <v>3231</v>
      </c>
      <c r="B472" s="689" t="s">
        <v>1440</v>
      </c>
      <c r="C472" s="1417">
        <f>SUM('3 mell. 2. pont'!E494)</f>
        <v>1400</v>
      </c>
    </row>
    <row r="473" spans="1:3" ht="13.8" hidden="1" x14ac:dyDescent="0.25">
      <c r="A473" s="1416"/>
      <c r="B473" s="689"/>
      <c r="C473" s="1417"/>
    </row>
    <row r="474" spans="1:3" ht="13.8" hidden="1" x14ac:dyDescent="0.25">
      <c r="A474" s="1416"/>
      <c r="B474" s="689"/>
      <c r="C474" s="1417"/>
    </row>
    <row r="475" spans="1:3" ht="13.8" x14ac:dyDescent="0.25">
      <c r="A475" s="1416"/>
      <c r="B475" s="689"/>
      <c r="C475" s="1417"/>
    </row>
    <row r="476" spans="1:3" s="688" customFormat="1" ht="45" hidden="1" customHeight="1" x14ac:dyDescent="0.25">
      <c r="A476" s="1418" t="s">
        <v>1116</v>
      </c>
      <c r="B476" s="690" t="s">
        <v>1115</v>
      </c>
      <c r="C476" s="1419">
        <f>SUM(C477:C481)</f>
        <v>0</v>
      </c>
    </row>
    <row r="477" spans="1:3" ht="13.8" hidden="1" x14ac:dyDescent="0.25">
      <c r="A477" s="1416"/>
      <c r="B477" s="689"/>
      <c r="C477" s="1417"/>
    </row>
    <row r="478" spans="1:3" ht="13.8" hidden="1" x14ac:dyDescent="0.25">
      <c r="A478" s="1416"/>
      <c r="B478" s="689"/>
      <c r="C478" s="1417"/>
    </row>
    <row r="479" spans="1:3" ht="13.8" hidden="1" x14ac:dyDescent="0.25">
      <c r="A479" s="1416"/>
      <c r="B479" s="689"/>
      <c r="C479" s="1417"/>
    </row>
    <row r="480" spans="1:3" ht="13.8" hidden="1" x14ac:dyDescent="0.25">
      <c r="A480" s="1416"/>
      <c r="B480" s="689"/>
      <c r="C480" s="1417"/>
    </row>
    <row r="481" spans="1:3" ht="13.8" hidden="1" x14ac:dyDescent="0.25">
      <c r="A481" s="1416"/>
      <c r="B481" s="689"/>
      <c r="C481" s="1417"/>
    </row>
    <row r="482" spans="1:3" s="688" customFormat="1" ht="45" customHeight="1" x14ac:dyDescent="0.25">
      <c r="A482" s="1418" t="s">
        <v>945</v>
      </c>
      <c r="B482" s="690" t="s">
        <v>946</v>
      </c>
      <c r="C482" s="1419">
        <f>SUM(C483:C487)</f>
        <v>2584786</v>
      </c>
    </row>
    <row r="483" spans="1:3" ht="13.8" x14ac:dyDescent="0.25">
      <c r="A483" s="1416">
        <v>2499</v>
      </c>
      <c r="B483" s="689" t="s">
        <v>1109</v>
      </c>
      <c r="C483" s="1417">
        <f>2516511+8446+1624+5120+7680+2560+2500+10240+7195+6400+5120+6400+1150+2560+1280</f>
        <v>2584786</v>
      </c>
    </row>
    <row r="484" spans="1:3" ht="13.8" hidden="1" x14ac:dyDescent="0.25">
      <c r="A484" s="1416"/>
      <c r="B484" s="689"/>
      <c r="C484" s="1417"/>
    </row>
    <row r="485" spans="1:3" ht="13.8" hidden="1" x14ac:dyDescent="0.25">
      <c r="A485" s="1416"/>
      <c r="B485" s="689"/>
      <c r="C485" s="1417"/>
    </row>
    <row r="486" spans="1:3" ht="13.8" hidden="1" x14ac:dyDescent="0.25">
      <c r="A486" s="1416"/>
      <c r="B486" s="689"/>
      <c r="C486" s="1417"/>
    </row>
    <row r="487" spans="1:3" ht="13.8" x14ac:dyDescent="0.25">
      <c r="A487" s="1416"/>
      <c r="B487" s="689"/>
      <c r="C487" s="1417"/>
    </row>
    <row r="488" spans="1:3" s="688" customFormat="1" ht="45" customHeight="1" x14ac:dyDescent="0.25">
      <c r="A488" s="1418" t="s">
        <v>947</v>
      </c>
      <c r="B488" s="690" t="s">
        <v>948</v>
      </c>
      <c r="C488" s="1419">
        <f>SUM(C489:C493)</f>
        <v>1722139</v>
      </c>
    </row>
    <row r="489" spans="1:3" ht="13.8" x14ac:dyDescent="0.25">
      <c r="A489" s="1416">
        <v>2499</v>
      </c>
      <c r="B489" s="689" t="s">
        <v>1109</v>
      </c>
      <c r="C489" s="1417">
        <f>88343+18566</f>
        <v>106909</v>
      </c>
    </row>
    <row r="490" spans="1:3" ht="13.8" x14ac:dyDescent="0.25">
      <c r="A490" s="1420">
        <v>2795</v>
      </c>
      <c r="B490" s="689" t="s">
        <v>360</v>
      </c>
      <c r="C490" s="1417">
        <f>106176+33771+7000</f>
        <v>146947</v>
      </c>
    </row>
    <row r="491" spans="1:3" ht="13.8" x14ac:dyDescent="0.25">
      <c r="A491" s="1416">
        <v>5062</v>
      </c>
      <c r="B491" s="689" t="s">
        <v>1114</v>
      </c>
      <c r="C491" s="1417">
        <f>SUM('5.mell. '!E46)</f>
        <v>1468283</v>
      </c>
    </row>
    <row r="492" spans="1:3" ht="13.8" hidden="1" x14ac:dyDescent="0.25">
      <c r="A492" s="1416"/>
      <c r="B492" s="689"/>
      <c r="C492" s="1417"/>
    </row>
    <row r="493" spans="1:3" ht="13.8" x14ac:dyDescent="0.25">
      <c r="A493" s="1416"/>
      <c r="B493" s="689"/>
      <c r="C493" s="1417"/>
    </row>
    <row r="494" spans="1:3" s="688" customFormat="1" ht="45" hidden="1" customHeight="1" x14ac:dyDescent="0.25">
      <c r="A494" s="1418" t="s">
        <v>950</v>
      </c>
      <c r="B494" s="690" t="s">
        <v>1113</v>
      </c>
      <c r="C494" s="1419">
        <f>SUM(C495:C499)</f>
        <v>0</v>
      </c>
    </row>
    <row r="495" spans="1:3" ht="13.8" hidden="1" x14ac:dyDescent="0.25">
      <c r="A495" s="1416"/>
      <c r="B495" s="689"/>
      <c r="C495" s="1417"/>
    </row>
    <row r="496" spans="1:3" ht="13.8" hidden="1" x14ac:dyDescent="0.25">
      <c r="A496" s="1416"/>
      <c r="B496" s="689"/>
      <c r="C496" s="1417"/>
    </row>
    <row r="497" spans="1:3" ht="13.8" hidden="1" x14ac:dyDescent="0.25">
      <c r="A497" s="1416"/>
      <c r="B497" s="689"/>
      <c r="C497" s="1417"/>
    </row>
    <row r="498" spans="1:3" ht="13.8" hidden="1" x14ac:dyDescent="0.25">
      <c r="A498" s="1416"/>
      <c r="B498" s="689"/>
      <c r="C498" s="1417"/>
    </row>
    <row r="499" spans="1:3" ht="13.8" hidden="1" x14ac:dyDescent="0.25">
      <c r="A499" s="1416"/>
      <c r="B499" s="689"/>
      <c r="C499" s="1417"/>
    </row>
    <row r="500" spans="1:3" s="688" customFormat="1" ht="45" customHeight="1" x14ac:dyDescent="0.25">
      <c r="A500" s="1418" t="s">
        <v>1112</v>
      </c>
      <c r="B500" s="690" t="s">
        <v>1111</v>
      </c>
      <c r="C500" s="1419">
        <f>SUM(C501:C505)</f>
        <v>2125</v>
      </c>
    </row>
    <row r="501" spans="1:3" ht="13.8" x14ac:dyDescent="0.25">
      <c r="A501" s="1416">
        <v>3931</v>
      </c>
      <c r="B501" s="689" t="s">
        <v>1110</v>
      </c>
      <c r="C501" s="1417">
        <f>SUM('3 mell 3. pont'!E26)</f>
        <v>2125</v>
      </c>
    </row>
    <row r="502" spans="1:3" ht="13.8" hidden="1" x14ac:dyDescent="0.25">
      <c r="A502" s="1416"/>
      <c r="B502" s="689"/>
      <c r="C502" s="1417"/>
    </row>
    <row r="503" spans="1:3" ht="13.8" hidden="1" x14ac:dyDescent="0.25">
      <c r="A503" s="1416"/>
      <c r="B503" s="689"/>
      <c r="C503" s="1417"/>
    </row>
    <row r="504" spans="1:3" ht="13.8" hidden="1" x14ac:dyDescent="0.25">
      <c r="A504" s="1416"/>
      <c r="B504" s="689"/>
      <c r="C504" s="1417"/>
    </row>
    <row r="505" spans="1:3" ht="13.8" x14ac:dyDescent="0.25">
      <c r="A505" s="1416"/>
      <c r="B505" s="689"/>
      <c r="C505" s="1417"/>
    </row>
    <row r="506" spans="1:3" s="688" customFormat="1" ht="45" customHeight="1" x14ac:dyDescent="0.25">
      <c r="A506" s="1418" t="s">
        <v>951</v>
      </c>
      <c r="B506" s="690" t="s">
        <v>952</v>
      </c>
      <c r="C506" s="1419">
        <f>SUM(C507:C511)</f>
        <v>1594189</v>
      </c>
    </row>
    <row r="507" spans="1:3" ht="13.8" x14ac:dyDescent="0.25">
      <c r="A507" s="1416">
        <v>2499</v>
      </c>
      <c r="B507" s="689" t="s">
        <v>1109</v>
      </c>
      <c r="C507" s="1417">
        <v>117352</v>
      </c>
    </row>
    <row r="508" spans="1:3" ht="13.8" x14ac:dyDescent="0.25">
      <c r="A508" s="1420">
        <v>2795</v>
      </c>
      <c r="B508" s="689" t="s">
        <v>360</v>
      </c>
      <c r="C508" s="1417">
        <f>1397292+77873+1672</f>
        <v>1476837</v>
      </c>
    </row>
    <row r="509" spans="1:3" ht="13.8" hidden="1" x14ac:dyDescent="0.25">
      <c r="A509" s="1416"/>
      <c r="B509" s="689"/>
      <c r="C509" s="1417"/>
    </row>
    <row r="510" spans="1:3" ht="13.8" hidden="1" x14ac:dyDescent="0.25">
      <c r="A510" s="1416"/>
      <c r="B510" s="689"/>
      <c r="C510" s="1417"/>
    </row>
    <row r="511" spans="1:3" ht="13.8" x14ac:dyDescent="0.25">
      <c r="A511" s="1416"/>
      <c r="B511" s="689"/>
      <c r="C511" s="1417"/>
    </row>
    <row r="512" spans="1:3" s="688" customFormat="1" ht="45" customHeight="1" x14ac:dyDescent="0.25">
      <c r="A512" s="1418" t="s">
        <v>1108</v>
      </c>
      <c r="B512" s="690" t="s">
        <v>1107</v>
      </c>
      <c r="C512" s="1419">
        <f>SUM(C513:C517)</f>
        <v>12700</v>
      </c>
    </row>
    <row r="513" spans="1:3" ht="13.8" x14ac:dyDescent="0.25">
      <c r="A513" s="1420">
        <v>2795</v>
      </c>
      <c r="B513" s="689" t="s">
        <v>360</v>
      </c>
      <c r="C513" s="1417">
        <v>12700</v>
      </c>
    </row>
    <row r="514" spans="1:3" ht="13.8" hidden="1" x14ac:dyDescent="0.25">
      <c r="A514" s="1416"/>
      <c r="B514" s="689"/>
      <c r="C514" s="1417"/>
    </row>
    <row r="515" spans="1:3" ht="13.8" hidden="1" x14ac:dyDescent="0.25">
      <c r="A515" s="1416"/>
      <c r="B515" s="689"/>
      <c r="C515" s="1417"/>
    </row>
    <row r="516" spans="1:3" ht="13.8" hidden="1" x14ac:dyDescent="0.25">
      <c r="A516" s="1416"/>
      <c r="B516" s="689"/>
      <c r="C516" s="1417"/>
    </row>
    <row r="517" spans="1:3" ht="13.8" x14ac:dyDescent="0.25">
      <c r="A517" s="1416"/>
      <c r="B517" s="689"/>
      <c r="C517" s="1417"/>
    </row>
    <row r="518" spans="1:3" s="688" customFormat="1" ht="45" hidden="1" customHeight="1" x14ac:dyDescent="0.25">
      <c r="A518" s="1418" t="s">
        <v>953</v>
      </c>
      <c r="B518" s="690" t="s">
        <v>954</v>
      </c>
      <c r="C518" s="1419">
        <f>SUM(C519:C523)</f>
        <v>0</v>
      </c>
    </row>
    <row r="519" spans="1:3" ht="13.8" hidden="1" x14ac:dyDescent="0.25">
      <c r="A519" s="1416"/>
      <c r="B519" s="689"/>
      <c r="C519" s="1417"/>
    </row>
    <row r="520" spans="1:3" ht="13.8" hidden="1" x14ac:dyDescent="0.25">
      <c r="A520" s="1416"/>
      <c r="B520" s="689"/>
      <c r="C520" s="1417"/>
    </row>
    <row r="521" spans="1:3" ht="13.8" hidden="1" x14ac:dyDescent="0.25">
      <c r="A521" s="1416"/>
      <c r="B521" s="689"/>
      <c r="C521" s="1417"/>
    </row>
    <row r="522" spans="1:3" ht="13.8" hidden="1" x14ac:dyDescent="0.25">
      <c r="A522" s="1416"/>
      <c r="B522" s="689"/>
      <c r="C522" s="1417"/>
    </row>
    <row r="523" spans="1:3" ht="13.8" hidden="1" x14ac:dyDescent="0.25">
      <c r="A523" s="1416"/>
      <c r="B523" s="689"/>
      <c r="C523" s="1417"/>
    </row>
    <row r="524" spans="1:3" s="688" customFormat="1" ht="45" customHeight="1" x14ac:dyDescent="0.25">
      <c r="A524" s="1418">
        <v>101141</v>
      </c>
      <c r="B524" s="690" t="s">
        <v>1106</v>
      </c>
      <c r="C524" s="1419">
        <f>SUM(C525:C529)</f>
        <v>9600</v>
      </c>
    </row>
    <row r="525" spans="1:3" ht="15" customHeight="1" x14ac:dyDescent="0.25">
      <c r="A525" s="1416">
        <v>3349</v>
      </c>
      <c r="B525" s="689" t="s">
        <v>141</v>
      </c>
      <c r="C525" s="1417">
        <f>SUM('3 mell. 2. pont'!E725)</f>
        <v>9600</v>
      </c>
    </row>
    <row r="526" spans="1:3" ht="13.8" hidden="1" x14ac:dyDescent="0.25">
      <c r="A526" s="1416"/>
      <c r="B526" s="689"/>
      <c r="C526" s="1417"/>
    </row>
    <row r="527" spans="1:3" ht="13.8" hidden="1" x14ac:dyDescent="0.25">
      <c r="A527" s="1416"/>
      <c r="B527" s="689"/>
      <c r="C527" s="1417"/>
    </row>
    <row r="528" spans="1:3" ht="13.8" hidden="1" x14ac:dyDescent="0.25">
      <c r="A528" s="1416"/>
      <c r="B528" s="689"/>
      <c r="C528" s="1417"/>
    </row>
    <row r="529" spans="1:3" ht="13.8" x14ac:dyDescent="0.25">
      <c r="A529" s="1416"/>
      <c r="B529" s="689"/>
      <c r="C529" s="1417"/>
    </row>
    <row r="530" spans="1:3" s="688" customFormat="1" ht="45" customHeight="1" x14ac:dyDescent="0.25">
      <c r="A530" s="1418">
        <v>101142</v>
      </c>
      <c r="B530" s="690" t="s">
        <v>955</v>
      </c>
      <c r="C530" s="1419">
        <f>SUM(C531:C535)</f>
        <v>47034</v>
      </c>
    </row>
    <row r="531" spans="1:3" ht="13.8" x14ac:dyDescent="0.25">
      <c r="A531" s="1420">
        <v>2795</v>
      </c>
      <c r="B531" s="689" t="s">
        <v>360</v>
      </c>
      <c r="C531" s="1417">
        <v>2435</v>
      </c>
    </row>
    <row r="532" spans="1:3" ht="13.8" x14ac:dyDescent="0.25">
      <c r="A532" s="1416">
        <v>2875</v>
      </c>
      <c r="B532" s="689" t="s">
        <v>350</v>
      </c>
      <c r="C532" s="1417">
        <f>38395+104+1280+1820</f>
        <v>41599</v>
      </c>
    </row>
    <row r="533" spans="1:3" ht="13.8" x14ac:dyDescent="0.25">
      <c r="A533" s="1416">
        <v>3348</v>
      </c>
      <c r="B533" s="689" t="s">
        <v>83</v>
      </c>
      <c r="C533" s="1417">
        <f>SUM('3 mell. 2. pont'!E715)</f>
        <v>3000</v>
      </c>
    </row>
    <row r="534" spans="1:3" ht="13.8" x14ac:dyDescent="0.25">
      <c r="A534" s="1416"/>
      <c r="B534" s="689"/>
      <c r="C534" s="1417"/>
    </row>
    <row r="535" spans="1:3" ht="13.8" x14ac:dyDescent="0.25">
      <c r="A535" s="1416"/>
      <c r="B535" s="689"/>
      <c r="C535" s="1417"/>
    </row>
    <row r="536" spans="1:3" s="688" customFormat="1" ht="45" customHeight="1" x14ac:dyDescent="0.25">
      <c r="A536" s="1418">
        <v>101221</v>
      </c>
      <c r="B536" s="690" t="s">
        <v>956</v>
      </c>
      <c r="C536" s="1419">
        <f>SUM(C537:C541)</f>
        <v>28685</v>
      </c>
    </row>
    <row r="537" spans="1:3" ht="13.8" x14ac:dyDescent="0.25">
      <c r="A537" s="1416">
        <v>3341</v>
      </c>
      <c r="B537" s="689" t="s">
        <v>146</v>
      </c>
      <c r="C537" s="1417">
        <f>SUM('3 mell. 2. pont'!E645)</f>
        <v>7656</v>
      </c>
    </row>
    <row r="538" spans="1:3" ht="13.8" x14ac:dyDescent="0.25">
      <c r="A538" s="1416">
        <v>3342</v>
      </c>
      <c r="B538" s="689" t="s">
        <v>1105</v>
      </c>
      <c r="C538" s="1417">
        <f>SUM('3 mell. 2. pont'!E655)</f>
        <v>880</v>
      </c>
    </row>
    <row r="539" spans="1:3" ht="13.8" x14ac:dyDescent="0.25">
      <c r="A539" s="1416">
        <v>3350</v>
      </c>
      <c r="B539" s="689" t="s">
        <v>178</v>
      </c>
      <c r="C539" s="1417">
        <f>SUM('3 mell. 2. pont'!E735)</f>
        <v>15393</v>
      </c>
    </row>
    <row r="540" spans="1:3" ht="13.8" x14ac:dyDescent="0.25">
      <c r="A540" s="1416">
        <v>3347</v>
      </c>
      <c r="B540" s="689" t="s">
        <v>1104</v>
      </c>
      <c r="C540" s="1417">
        <f>SUM('3 mell. 2. pont'!E705)</f>
        <v>4756</v>
      </c>
    </row>
    <row r="541" spans="1:3" ht="13.8" x14ac:dyDescent="0.25">
      <c r="A541" s="1416"/>
      <c r="B541" s="689"/>
      <c r="C541" s="1417"/>
    </row>
    <row r="542" spans="1:3" s="688" customFormat="1" ht="45" customHeight="1" x14ac:dyDescent="0.25">
      <c r="A542" s="1418">
        <v>101222</v>
      </c>
      <c r="B542" s="690" t="s">
        <v>957</v>
      </c>
      <c r="C542" s="1419">
        <f>SUM(C543:C547)</f>
        <v>300</v>
      </c>
    </row>
    <row r="543" spans="1:3" ht="13.8" x14ac:dyDescent="0.25">
      <c r="A543" s="1416">
        <v>3345</v>
      </c>
      <c r="B543" s="689" t="s">
        <v>1103</v>
      </c>
      <c r="C543" s="1417">
        <f>SUM('3 mell. 2. pont'!E685)</f>
        <v>300</v>
      </c>
    </row>
    <row r="544" spans="1:3" ht="13.8" hidden="1" x14ac:dyDescent="0.25">
      <c r="A544" s="1416"/>
      <c r="B544" s="689"/>
      <c r="C544" s="1417"/>
    </row>
    <row r="545" spans="1:3" ht="13.8" hidden="1" x14ac:dyDescent="0.25">
      <c r="A545" s="1416"/>
      <c r="B545" s="689"/>
      <c r="C545" s="1417"/>
    </row>
    <row r="546" spans="1:3" ht="13.8" hidden="1" x14ac:dyDescent="0.25">
      <c r="A546" s="1416"/>
      <c r="B546" s="689"/>
      <c r="C546" s="1417"/>
    </row>
    <row r="547" spans="1:3" ht="13.8" x14ac:dyDescent="0.25">
      <c r="A547" s="1416"/>
      <c r="B547" s="689"/>
      <c r="C547" s="1417"/>
    </row>
    <row r="548" spans="1:3" s="688" customFormat="1" ht="45" customHeight="1" x14ac:dyDescent="0.25">
      <c r="A548" s="1418">
        <v>102025</v>
      </c>
      <c r="B548" s="690" t="s">
        <v>1102</v>
      </c>
      <c r="C548" s="1419">
        <f>SUM(C549:C553)</f>
        <v>87653</v>
      </c>
    </row>
    <row r="549" spans="1:3" ht="13.8" x14ac:dyDescent="0.25">
      <c r="A549" s="1420">
        <v>2795</v>
      </c>
      <c r="B549" s="689" t="s">
        <v>360</v>
      </c>
      <c r="C549" s="1417">
        <v>10704</v>
      </c>
    </row>
    <row r="550" spans="1:3" ht="13.8" x14ac:dyDescent="0.25">
      <c r="A550" s="1416">
        <v>2875</v>
      </c>
      <c r="B550" s="689" t="s">
        <v>350</v>
      </c>
      <c r="C550" s="1417">
        <f>72372+1195+155+3227</f>
        <v>76949</v>
      </c>
    </row>
    <row r="551" spans="1:3" ht="13.8" hidden="1" x14ac:dyDescent="0.25">
      <c r="A551" s="1416"/>
      <c r="B551" s="689"/>
      <c r="C551" s="1417"/>
    </row>
    <row r="552" spans="1:3" ht="13.8" hidden="1" x14ac:dyDescent="0.25">
      <c r="A552" s="1416"/>
      <c r="B552" s="689"/>
      <c r="C552" s="1417"/>
    </row>
    <row r="553" spans="1:3" ht="13.8" x14ac:dyDescent="0.25">
      <c r="A553" s="1416"/>
      <c r="B553" s="689"/>
      <c r="C553" s="1417"/>
    </row>
    <row r="554" spans="1:3" s="688" customFormat="1" ht="45" customHeight="1" x14ac:dyDescent="0.25">
      <c r="A554" s="1418">
        <v>102031</v>
      </c>
      <c r="B554" s="690" t="s">
        <v>958</v>
      </c>
      <c r="C554" s="1419">
        <f>SUM(C555:C559)</f>
        <v>345038</v>
      </c>
    </row>
    <row r="555" spans="1:3" ht="13.8" x14ac:dyDescent="0.25">
      <c r="A555" s="1420">
        <v>2795</v>
      </c>
      <c r="B555" s="689" t="s">
        <v>360</v>
      </c>
      <c r="C555" s="1417">
        <v>15693</v>
      </c>
    </row>
    <row r="556" spans="1:3" ht="13.8" x14ac:dyDescent="0.25">
      <c r="A556" s="1416">
        <v>2875</v>
      </c>
      <c r="B556" s="689" t="s">
        <v>350</v>
      </c>
      <c r="C556" s="1417">
        <f>318770+68+1280+9227</f>
        <v>329345</v>
      </c>
    </row>
    <row r="557" spans="1:3" ht="13.8" hidden="1" x14ac:dyDescent="0.25">
      <c r="A557" s="1416"/>
      <c r="B557" s="689"/>
      <c r="C557" s="1417"/>
    </row>
    <row r="558" spans="1:3" ht="13.8" hidden="1" x14ac:dyDescent="0.25">
      <c r="A558" s="1416"/>
      <c r="B558" s="689"/>
      <c r="C558" s="1417"/>
    </row>
    <row r="559" spans="1:3" ht="13.8" x14ac:dyDescent="0.25">
      <c r="A559" s="1416"/>
      <c r="B559" s="689"/>
      <c r="C559" s="1417"/>
    </row>
    <row r="560" spans="1:3" s="688" customFormat="1" ht="45" hidden="1" customHeight="1" x14ac:dyDescent="0.25">
      <c r="A560" s="1418">
        <v>102032</v>
      </c>
      <c r="B560" s="690" t="s">
        <v>1101</v>
      </c>
      <c r="C560" s="1419">
        <f>SUM(C561:C565)</f>
        <v>0</v>
      </c>
    </row>
    <row r="561" spans="1:3" ht="13.8" hidden="1" x14ac:dyDescent="0.25">
      <c r="A561" s="1416"/>
      <c r="B561" s="689"/>
      <c r="C561" s="1417"/>
    </row>
    <row r="562" spans="1:3" ht="13.8" hidden="1" x14ac:dyDescent="0.25">
      <c r="A562" s="1416"/>
      <c r="B562" s="689"/>
      <c r="C562" s="1417"/>
    </row>
    <row r="563" spans="1:3" ht="13.8" hidden="1" x14ac:dyDescent="0.25">
      <c r="A563" s="1416"/>
      <c r="B563" s="689"/>
      <c r="C563" s="1417"/>
    </row>
    <row r="564" spans="1:3" ht="13.8" hidden="1" x14ac:dyDescent="0.25">
      <c r="A564" s="1416"/>
      <c r="B564" s="689"/>
      <c r="C564" s="1417"/>
    </row>
    <row r="565" spans="1:3" ht="13.8" hidden="1" x14ac:dyDescent="0.25">
      <c r="A565" s="1416"/>
      <c r="B565" s="689"/>
      <c r="C565" s="1417"/>
    </row>
    <row r="566" spans="1:3" s="688" customFormat="1" ht="45" customHeight="1" x14ac:dyDescent="0.25">
      <c r="A566" s="1418">
        <v>102050</v>
      </c>
      <c r="B566" s="690" t="s">
        <v>959</v>
      </c>
      <c r="C566" s="1419">
        <f>SUM(C567:C571)</f>
        <v>34730</v>
      </c>
    </row>
    <row r="567" spans="1:3" ht="13.8" x14ac:dyDescent="0.25">
      <c r="A567" s="1416">
        <v>3355</v>
      </c>
      <c r="B567" s="689" t="s">
        <v>279</v>
      </c>
      <c r="C567" s="1417">
        <f>SUM('3 mell. 2. pont'!E765)</f>
        <v>34730</v>
      </c>
    </row>
    <row r="568" spans="1:3" ht="13.8" hidden="1" x14ac:dyDescent="0.25">
      <c r="A568" s="1416"/>
      <c r="B568" s="689"/>
      <c r="C568" s="1417"/>
    </row>
    <row r="569" spans="1:3" ht="13.8" hidden="1" x14ac:dyDescent="0.25">
      <c r="A569" s="1416"/>
      <c r="B569" s="689"/>
      <c r="C569" s="1417"/>
    </row>
    <row r="570" spans="1:3" ht="13.8" hidden="1" x14ac:dyDescent="0.25">
      <c r="A570" s="1416"/>
      <c r="B570" s="689"/>
      <c r="C570" s="1417"/>
    </row>
    <row r="571" spans="1:3" ht="13.8" x14ac:dyDescent="0.25">
      <c r="A571" s="1416"/>
      <c r="B571" s="689"/>
      <c r="C571" s="1417"/>
    </row>
    <row r="572" spans="1:3" s="688" customFormat="1" ht="45" customHeight="1" x14ac:dyDescent="0.25">
      <c r="A572" s="1418">
        <v>104012</v>
      </c>
      <c r="B572" s="690" t="s">
        <v>1100</v>
      </c>
      <c r="C572" s="1419">
        <f>SUM(C573:C577)</f>
        <v>235259</v>
      </c>
    </row>
    <row r="573" spans="1:3" ht="13.8" x14ac:dyDescent="0.25">
      <c r="A573" s="1420">
        <v>2795</v>
      </c>
      <c r="B573" s="689" t="s">
        <v>360</v>
      </c>
      <c r="C573" s="1417">
        <f>5759+106613</f>
        <v>112372</v>
      </c>
    </row>
    <row r="574" spans="1:3" ht="13.8" x14ac:dyDescent="0.25">
      <c r="A574" s="1416">
        <v>2875</v>
      </c>
      <c r="B574" s="689" t="s">
        <v>350</v>
      </c>
      <c r="C574" s="1417">
        <f>98014+115+8050+1047+845+4084</f>
        <v>112155</v>
      </c>
    </row>
    <row r="575" spans="1:3" ht="13.8" x14ac:dyDescent="0.25">
      <c r="A575" s="1416">
        <v>3346</v>
      </c>
      <c r="B575" s="689" t="s">
        <v>47</v>
      </c>
      <c r="C575" s="1417">
        <f>SUM('3 mell. 2. pont'!E695)</f>
        <v>7820</v>
      </c>
    </row>
    <row r="576" spans="1:3" ht="13.8" x14ac:dyDescent="0.25">
      <c r="A576" s="1416">
        <v>3353</v>
      </c>
      <c r="B576" s="689" t="s">
        <v>1099</v>
      </c>
      <c r="C576" s="1417">
        <f>SUM('3 mell. 2. pont'!E755)</f>
        <v>2912</v>
      </c>
    </row>
    <row r="577" spans="1:3" ht="13.8" x14ac:dyDescent="0.25">
      <c r="A577" s="1416"/>
      <c r="B577" s="689"/>
      <c r="C577" s="1417"/>
    </row>
    <row r="578" spans="1:3" s="688" customFormat="1" ht="45" hidden="1" customHeight="1" x14ac:dyDescent="0.25">
      <c r="A578" s="1418">
        <v>104030</v>
      </c>
      <c r="B578" s="690" t="s">
        <v>1098</v>
      </c>
      <c r="C578" s="1419">
        <f>SUM(C579:C583)</f>
        <v>0</v>
      </c>
    </row>
    <row r="579" spans="1:3" ht="13.8" hidden="1" x14ac:dyDescent="0.25">
      <c r="A579" s="1416"/>
      <c r="B579" s="689"/>
      <c r="C579" s="1417"/>
    </row>
    <row r="580" spans="1:3" ht="13.8" hidden="1" x14ac:dyDescent="0.25">
      <c r="A580" s="1416"/>
      <c r="B580" s="689"/>
      <c r="C580" s="1417"/>
    </row>
    <row r="581" spans="1:3" ht="13.8" hidden="1" x14ac:dyDescent="0.25">
      <c r="A581" s="1416"/>
      <c r="B581" s="689"/>
      <c r="C581" s="1417"/>
    </row>
    <row r="582" spans="1:3" ht="13.8" hidden="1" x14ac:dyDescent="0.25">
      <c r="A582" s="1416"/>
      <c r="B582" s="689"/>
      <c r="C582" s="1417"/>
    </row>
    <row r="583" spans="1:3" ht="13.8" hidden="1" x14ac:dyDescent="0.25">
      <c r="A583" s="1416"/>
      <c r="B583" s="689"/>
      <c r="C583" s="1417"/>
    </row>
    <row r="584" spans="1:3" s="688" customFormat="1" ht="45" customHeight="1" x14ac:dyDescent="0.25">
      <c r="A584" s="1418">
        <v>104031</v>
      </c>
      <c r="B584" s="690" t="s">
        <v>960</v>
      </c>
      <c r="C584" s="1419">
        <f>SUM(C585:C589)</f>
        <v>1334660</v>
      </c>
    </row>
    <row r="585" spans="1:3" ht="13.8" x14ac:dyDescent="0.25">
      <c r="A585" s="1420">
        <v>2795</v>
      </c>
      <c r="B585" s="689" t="s">
        <v>360</v>
      </c>
      <c r="C585" s="1417">
        <f>95396+50800</f>
        <v>146196</v>
      </c>
    </row>
    <row r="586" spans="1:3" ht="13.8" x14ac:dyDescent="0.25">
      <c r="A586" s="1420">
        <v>2850</v>
      </c>
      <c r="B586" s="689" t="s">
        <v>352</v>
      </c>
      <c r="C586" s="1417">
        <f>1159030+6070+2943+14754+4131+1536</f>
        <v>1188464</v>
      </c>
    </row>
    <row r="587" spans="1:3" ht="13.8" hidden="1" x14ac:dyDescent="0.25">
      <c r="A587" s="1416"/>
      <c r="B587" s="689"/>
      <c r="C587" s="1417"/>
    </row>
    <row r="588" spans="1:3" ht="13.8" hidden="1" x14ac:dyDescent="0.25">
      <c r="A588" s="1416"/>
      <c r="B588" s="689"/>
      <c r="C588" s="1417"/>
    </row>
    <row r="589" spans="1:3" ht="13.8" x14ac:dyDescent="0.25">
      <c r="A589" s="1416"/>
      <c r="B589" s="689"/>
      <c r="C589" s="1417"/>
    </row>
    <row r="590" spans="1:3" s="688" customFormat="1" ht="45" customHeight="1" x14ac:dyDescent="0.25">
      <c r="A590" s="1418">
        <v>104035</v>
      </c>
      <c r="B590" s="690" t="s">
        <v>961</v>
      </c>
      <c r="C590" s="1419">
        <f>SUM(C591:C595)</f>
        <v>225284</v>
      </c>
    </row>
    <row r="591" spans="1:3" ht="13.8" x14ac:dyDescent="0.25">
      <c r="A591" s="1420">
        <v>2795</v>
      </c>
      <c r="B591" s="689" t="s">
        <v>360</v>
      </c>
      <c r="C591" s="1417">
        <f>6213+47590</f>
        <v>53803</v>
      </c>
    </row>
    <row r="592" spans="1:3" ht="13.8" x14ac:dyDescent="0.25">
      <c r="A592" s="1416">
        <v>2850</v>
      </c>
      <c r="B592" s="689" t="s">
        <v>352</v>
      </c>
      <c r="C592" s="1417">
        <f>144186+17820+3000+840+5635</f>
        <v>171481</v>
      </c>
    </row>
    <row r="593" spans="1:3" ht="13.8" hidden="1" x14ac:dyDescent="0.25">
      <c r="A593" s="1416"/>
      <c r="B593" s="689"/>
      <c r="C593" s="1417"/>
    </row>
    <row r="594" spans="1:3" ht="13.8" hidden="1" x14ac:dyDescent="0.25">
      <c r="A594" s="1416"/>
      <c r="B594" s="689"/>
      <c r="C594" s="1417"/>
    </row>
    <row r="595" spans="1:3" ht="13.8" x14ac:dyDescent="0.25">
      <c r="A595" s="1416"/>
      <c r="B595" s="689"/>
      <c r="C595" s="1417"/>
    </row>
    <row r="596" spans="1:3" s="688" customFormat="1" ht="45" customHeight="1" x14ac:dyDescent="0.25">
      <c r="A596" s="1418">
        <v>104036</v>
      </c>
      <c r="B596" s="690" t="s">
        <v>1097</v>
      </c>
      <c r="C596" s="1419">
        <f>SUM(C597:C601)</f>
        <v>7970</v>
      </c>
    </row>
    <row r="597" spans="1:3" ht="13.8" x14ac:dyDescent="0.25">
      <c r="A597" s="1416">
        <v>2850</v>
      </c>
      <c r="B597" s="689" t="s">
        <v>352</v>
      </c>
      <c r="C597" s="1417">
        <v>7970</v>
      </c>
    </row>
    <row r="598" spans="1:3" ht="13.8" hidden="1" x14ac:dyDescent="0.25">
      <c r="A598" s="1416"/>
      <c r="B598" s="689"/>
      <c r="C598" s="1417"/>
    </row>
    <row r="599" spans="1:3" ht="13.8" hidden="1" x14ac:dyDescent="0.25">
      <c r="A599" s="1416"/>
      <c r="B599" s="689"/>
      <c r="C599" s="1417"/>
    </row>
    <row r="600" spans="1:3" ht="13.8" hidden="1" x14ac:dyDescent="0.25">
      <c r="A600" s="1416"/>
      <c r="B600" s="689"/>
      <c r="C600" s="1417"/>
    </row>
    <row r="601" spans="1:3" ht="13.8" x14ac:dyDescent="0.25">
      <c r="A601" s="1416"/>
      <c r="B601" s="689"/>
      <c r="C601" s="1417"/>
    </row>
    <row r="602" spans="1:3" s="688" customFormat="1" ht="45" customHeight="1" x14ac:dyDescent="0.25">
      <c r="A602" s="1418">
        <v>104042</v>
      </c>
      <c r="B602" s="690" t="s">
        <v>1096</v>
      </c>
      <c r="C602" s="1419">
        <f>SUM(C603:C607)</f>
        <v>221576</v>
      </c>
    </row>
    <row r="603" spans="1:3" ht="13.8" x14ac:dyDescent="0.25">
      <c r="A603" s="1420">
        <v>2795</v>
      </c>
      <c r="B603" s="689" t="s">
        <v>360</v>
      </c>
      <c r="C603" s="1417">
        <v>7736</v>
      </c>
    </row>
    <row r="604" spans="1:3" ht="13.8" x14ac:dyDescent="0.25">
      <c r="A604" s="1416">
        <v>2875</v>
      </c>
      <c r="B604" s="689" t="s">
        <v>350</v>
      </c>
      <c r="C604" s="1417">
        <f>195151+264+318+2400+180+15527</f>
        <v>213840</v>
      </c>
    </row>
    <row r="605" spans="1:3" ht="13.8" hidden="1" x14ac:dyDescent="0.25">
      <c r="A605" s="1416"/>
      <c r="B605" s="689"/>
      <c r="C605" s="1417"/>
    </row>
    <row r="606" spans="1:3" ht="13.8" hidden="1" x14ac:dyDescent="0.25">
      <c r="A606" s="1416"/>
      <c r="B606" s="689"/>
      <c r="C606" s="1417"/>
    </row>
    <row r="607" spans="1:3" ht="13.8" x14ac:dyDescent="0.25">
      <c r="A607" s="1416"/>
      <c r="B607" s="689"/>
      <c r="C607" s="1417"/>
    </row>
    <row r="608" spans="1:3" s="688" customFormat="1" ht="45" customHeight="1" x14ac:dyDescent="0.25">
      <c r="A608" s="1418">
        <v>104043</v>
      </c>
      <c r="B608" s="690" t="s">
        <v>1095</v>
      </c>
      <c r="C608" s="1419">
        <f>SUM(C609:C613)</f>
        <v>205638</v>
      </c>
    </row>
    <row r="609" spans="1:3" ht="13.8" x14ac:dyDescent="0.25">
      <c r="A609" s="1420">
        <v>2795</v>
      </c>
      <c r="B609" s="689" t="s">
        <v>360</v>
      </c>
      <c r="C609" s="1417">
        <v>4564</v>
      </c>
    </row>
    <row r="610" spans="1:3" ht="13.8" x14ac:dyDescent="0.25">
      <c r="A610" s="1416">
        <v>2875</v>
      </c>
      <c r="B610" s="689" t="s">
        <v>350</v>
      </c>
      <c r="C610" s="1417">
        <f>169482+320+511+8800+1390+20571</f>
        <v>201074</v>
      </c>
    </row>
    <row r="611" spans="1:3" ht="13.8" hidden="1" x14ac:dyDescent="0.25">
      <c r="A611" s="1416"/>
      <c r="B611" s="689"/>
      <c r="C611" s="1417"/>
    </row>
    <row r="612" spans="1:3" ht="13.8" hidden="1" x14ac:dyDescent="0.25">
      <c r="A612" s="1416"/>
      <c r="B612" s="689"/>
      <c r="C612" s="1417"/>
    </row>
    <row r="613" spans="1:3" ht="13.8" x14ac:dyDescent="0.25">
      <c r="A613" s="1416"/>
      <c r="B613" s="689"/>
      <c r="C613" s="1417"/>
    </row>
    <row r="614" spans="1:3" s="688" customFormat="1" ht="45" hidden="1" customHeight="1" x14ac:dyDescent="0.25">
      <c r="A614" s="1418">
        <v>106020</v>
      </c>
      <c r="B614" s="690" t="s">
        <v>962</v>
      </c>
      <c r="C614" s="1419">
        <f>SUM(C615:C619)</f>
        <v>0</v>
      </c>
    </row>
    <row r="615" spans="1:3" ht="13.8" hidden="1" x14ac:dyDescent="0.25">
      <c r="A615" s="1416"/>
      <c r="B615" s="689"/>
      <c r="C615" s="1417"/>
    </row>
    <row r="616" spans="1:3" ht="13.8" hidden="1" x14ac:dyDescent="0.25">
      <c r="A616" s="1416"/>
      <c r="B616" s="689"/>
      <c r="C616" s="1417"/>
    </row>
    <row r="617" spans="1:3" ht="13.8" hidden="1" x14ac:dyDescent="0.25">
      <c r="A617" s="1416"/>
      <c r="B617" s="689"/>
      <c r="C617" s="1417"/>
    </row>
    <row r="618" spans="1:3" ht="13.8" hidden="1" x14ac:dyDescent="0.25">
      <c r="A618" s="1416"/>
      <c r="B618" s="689"/>
      <c r="C618" s="1417"/>
    </row>
    <row r="619" spans="1:3" ht="13.8" hidden="1" x14ac:dyDescent="0.25">
      <c r="A619" s="1416"/>
      <c r="B619" s="689"/>
      <c r="C619" s="1417"/>
    </row>
    <row r="620" spans="1:3" s="688" customFormat="1" ht="45" customHeight="1" x14ac:dyDescent="0.25">
      <c r="A620" s="1418">
        <v>107015</v>
      </c>
      <c r="B620" s="690" t="s">
        <v>963</v>
      </c>
      <c r="C620" s="1419">
        <f>SUM(C621:C625)</f>
        <v>60262</v>
      </c>
    </row>
    <row r="621" spans="1:3" ht="13.8" x14ac:dyDescent="0.25">
      <c r="A621" s="1420">
        <v>2795</v>
      </c>
      <c r="B621" s="689" t="s">
        <v>360</v>
      </c>
      <c r="C621" s="1417">
        <v>9031</v>
      </c>
    </row>
    <row r="622" spans="1:3" ht="13.8" x14ac:dyDescent="0.25">
      <c r="A622" s="1416">
        <v>2875</v>
      </c>
      <c r="B622" s="689" t="s">
        <v>350</v>
      </c>
      <c r="C622" s="1417">
        <f>46945+55+1280+2951</f>
        <v>51231</v>
      </c>
    </row>
    <row r="623" spans="1:3" ht="13.8" hidden="1" x14ac:dyDescent="0.25">
      <c r="A623" s="1416"/>
      <c r="B623" s="689"/>
      <c r="C623" s="1417"/>
    </row>
    <row r="624" spans="1:3" ht="13.8" hidden="1" x14ac:dyDescent="0.25">
      <c r="A624" s="1416"/>
      <c r="B624" s="689"/>
      <c r="C624" s="1417"/>
    </row>
    <row r="625" spans="1:3" ht="13.8" x14ac:dyDescent="0.25">
      <c r="A625" s="1416"/>
      <c r="B625" s="689"/>
      <c r="C625" s="1417"/>
    </row>
    <row r="626" spans="1:3" s="688" customFormat="1" ht="45" customHeight="1" x14ac:dyDescent="0.25">
      <c r="A626" s="1418">
        <v>107016</v>
      </c>
      <c r="B626" s="690" t="s">
        <v>964</v>
      </c>
      <c r="C626" s="1419">
        <f>SUM(C627:C631)</f>
        <v>50912</v>
      </c>
    </row>
    <row r="627" spans="1:3" ht="13.8" x14ac:dyDescent="0.25">
      <c r="A627" s="1420">
        <v>2795</v>
      </c>
      <c r="B627" s="689" t="s">
        <v>360</v>
      </c>
      <c r="C627" s="1417">
        <f>3359+7739</f>
        <v>11098</v>
      </c>
    </row>
    <row r="628" spans="1:3" ht="13.8" x14ac:dyDescent="0.25">
      <c r="A628" s="1416">
        <v>2875</v>
      </c>
      <c r="B628" s="689" t="s">
        <v>350</v>
      </c>
      <c r="C628" s="1417">
        <f>28022+86+1280+334+700+5285</f>
        <v>35707</v>
      </c>
    </row>
    <row r="629" spans="1:3" ht="13.8" x14ac:dyDescent="0.25">
      <c r="A629" s="1416">
        <v>3344</v>
      </c>
      <c r="B629" s="689" t="s">
        <v>113</v>
      </c>
      <c r="C629" s="1417">
        <f>SUM('3 mell. 2. pont'!E675)</f>
        <v>4107</v>
      </c>
    </row>
    <row r="630" spans="1:3" ht="13.8" hidden="1" x14ac:dyDescent="0.25">
      <c r="A630" s="1416"/>
      <c r="B630" s="689"/>
      <c r="C630" s="1417"/>
    </row>
    <row r="631" spans="1:3" ht="13.8" x14ac:dyDescent="0.25">
      <c r="A631" s="1416"/>
      <c r="B631" s="689"/>
      <c r="C631" s="1417"/>
    </row>
    <row r="632" spans="1:3" s="688" customFormat="1" ht="45" customHeight="1" x14ac:dyDescent="0.25">
      <c r="A632" s="1418">
        <v>107051</v>
      </c>
      <c r="B632" s="690" t="s">
        <v>1094</v>
      </c>
      <c r="C632" s="1419">
        <f>SUM(C633:C637)</f>
        <v>367299</v>
      </c>
    </row>
    <row r="633" spans="1:3" ht="13.8" x14ac:dyDescent="0.25">
      <c r="A633" s="1416">
        <v>2875</v>
      </c>
      <c r="B633" s="689" t="s">
        <v>350</v>
      </c>
      <c r="C633" s="1417">
        <f>352654+13635+18+992</f>
        <v>367299</v>
      </c>
    </row>
    <row r="634" spans="1:3" ht="13.8" hidden="1" x14ac:dyDescent="0.25">
      <c r="A634" s="1416"/>
      <c r="B634" s="689"/>
      <c r="C634" s="1417"/>
    </row>
    <row r="635" spans="1:3" ht="13.8" hidden="1" x14ac:dyDescent="0.25">
      <c r="A635" s="1416"/>
      <c r="B635" s="689"/>
      <c r="C635" s="1417"/>
    </row>
    <row r="636" spans="1:3" ht="13.8" hidden="1" x14ac:dyDescent="0.25">
      <c r="A636" s="1416"/>
      <c r="B636" s="689"/>
      <c r="C636" s="1417"/>
    </row>
    <row r="637" spans="1:3" ht="13.8" x14ac:dyDescent="0.25">
      <c r="A637" s="1416"/>
      <c r="B637" s="689"/>
      <c r="C637" s="1417"/>
    </row>
    <row r="638" spans="1:3" s="688" customFormat="1" ht="45" customHeight="1" x14ac:dyDescent="0.25">
      <c r="A638" s="1418">
        <v>107052</v>
      </c>
      <c r="B638" s="690" t="s">
        <v>965</v>
      </c>
      <c r="C638" s="1419">
        <f>SUM(C639:C643)</f>
        <v>106595</v>
      </c>
    </row>
    <row r="639" spans="1:3" ht="13.8" x14ac:dyDescent="0.25">
      <c r="A639" s="1420">
        <v>2795</v>
      </c>
      <c r="B639" s="689" t="s">
        <v>360</v>
      </c>
      <c r="C639" s="1417">
        <v>19961</v>
      </c>
    </row>
    <row r="640" spans="1:3" ht="13.8" x14ac:dyDescent="0.25">
      <c r="A640" s="1416">
        <v>2875</v>
      </c>
      <c r="B640" s="689" t="s">
        <v>350</v>
      </c>
      <c r="C640" s="1417">
        <f>71555+121+283+4996+9679</f>
        <v>86634</v>
      </c>
    </row>
    <row r="641" spans="1:3" ht="13.8" hidden="1" x14ac:dyDescent="0.25">
      <c r="A641" s="1416"/>
      <c r="B641" s="689"/>
      <c r="C641" s="1417"/>
    </row>
    <row r="642" spans="1:3" ht="13.8" hidden="1" x14ac:dyDescent="0.25">
      <c r="A642" s="1416"/>
      <c r="B642" s="689"/>
      <c r="C642" s="1417"/>
    </row>
    <row r="643" spans="1:3" ht="13.8" x14ac:dyDescent="0.25">
      <c r="A643" s="1416"/>
      <c r="B643" s="689"/>
      <c r="C643" s="1417"/>
    </row>
    <row r="644" spans="1:3" s="688" customFormat="1" ht="45" customHeight="1" x14ac:dyDescent="0.25">
      <c r="A644" s="1418">
        <v>107053</v>
      </c>
      <c r="B644" s="690" t="s">
        <v>162</v>
      </c>
      <c r="C644" s="1419">
        <f>SUM(C645:C649)</f>
        <v>11983</v>
      </c>
    </row>
    <row r="645" spans="1:3" ht="13.8" x14ac:dyDescent="0.25">
      <c r="A645" s="1416">
        <v>3340</v>
      </c>
      <c r="B645" s="689" t="s">
        <v>162</v>
      </c>
      <c r="C645" s="1417">
        <f>SUM('3 mell. 2. pont'!E635)</f>
        <v>11983</v>
      </c>
    </row>
    <row r="646" spans="1:3" ht="13.8" hidden="1" x14ac:dyDescent="0.25">
      <c r="A646" s="1416"/>
      <c r="B646" s="689"/>
      <c r="C646" s="1417"/>
    </row>
    <row r="647" spans="1:3" ht="13.8" hidden="1" x14ac:dyDescent="0.25">
      <c r="A647" s="1416"/>
      <c r="B647" s="689"/>
      <c r="C647" s="1417"/>
    </row>
    <row r="648" spans="1:3" ht="13.8" hidden="1" x14ac:dyDescent="0.25">
      <c r="A648" s="1416"/>
      <c r="B648" s="689"/>
      <c r="C648" s="1417"/>
    </row>
    <row r="649" spans="1:3" ht="13.8" x14ac:dyDescent="0.25">
      <c r="A649" s="1416"/>
      <c r="B649" s="689"/>
      <c r="C649" s="1417"/>
    </row>
    <row r="650" spans="1:3" s="688" customFormat="1" ht="45" customHeight="1" x14ac:dyDescent="0.25">
      <c r="A650" s="1418">
        <v>107060</v>
      </c>
      <c r="B650" s="690" t="s">
        <v>966</v>
      </c>
      <c r="C650" s="1419">
        <f>SUM(C651:C669)</f>
        <v>335379</v>
      </c>
    </row>
    <row r="651" spans="1:3" ht="13.8" x14ac:dyDescent="0.25">
      <c r="A651" s="1416">
        <v>3081</v>
      </c>
      <c r="B651" s="689" t="s">
        <v>63</v>
      </c>
      <c r="C651" s="1417">
        <f>SUM('3 mell. 2. pont'!E91)</f>
        <v>32858</v>
      </c>
    </row>
    <row r="652" spans="1:3" ht="13.8" x14ac:dyDescent="0.25">
      <c r="A652" s="1416">
        <v>3141</v>
      </c>
      <c r="B652" s="689" t="s">
        <v>1093</v>
      </c>
      <c r="C652" s="1417">
        <f>SUM('3 mell. 2. pont'!E205)</f>
        <v>17000</v>
      </c>
    </row>
    <row r="653" spans="1:3" ht="13.8" x14ac:dyDescent="0.25">
      <c r="A653" s="1416">
        <v>3142</v>
      </c>
      <c r="B653" s="689" t="s">
        <v>6</v>
      </c>
      <c r="C653" s="1417">
        <f>SUM('3 mell. 2. pont'!E215)</f>
        <v>7500</v>
      </c>
    </row>
    <row r="654" spans="1:3" ht="13.8" x14ac:dyDescent="0.25">
      <c r="A654" s="1416">
        <v>3143</v>
      </c>
      <c r="B654" s="689" t="s">
        <v>1092</v>
      </c>
      <c r="C654" s="1417">
        <f>SUM('3 mell. 2. pont'!E225)</f>
        <v>6000</v>
      </c>
    </row>
    <row r="655" spans="1:3" ht="13.8" x14ac:dyDescent="0.25">
      <c r="A655" s="1416">
        <v>3304</v>
      </c>
      <c r="B655" s="689" t="s">
        <v>1091</v>
      </c>
      <c r="C655" s="1417">
        <f>SUM('3 mell. 2. pont'!E515)</f>
        <v>0</v>
      </c>
    </row>
    <row r="656" spans="1:3" ht="13.8" x14ac:dyDescent="0.25">
      <c r="A656" s="1416">
        <v>3306</v>
      </c>
      <c r="B656" s="689" t="s">
        <v>1090</v>
      </c>
      <c r="C656" s="1417">
        <f>SUM('3 mell. 2. pont'!E525)</f>
        <v>40005</v>
      </c>
    </row>
    <row r="657" spans="1:3" ht="13.8" x14ac:dyDescent="0.25">
      <c r="A657" s="1416">
        <v>3307</v>
      </c>
      <c r="B657" s="689" t="s">
        <v>1089</v>
      </c>
      <c r="C657" s="1417">
        <f>SUM('3 mell. 2. pont'!E535)</f>
        <v>2500</v>
      </c>
    </row>
    <row r="658" spans="1:3" ht="13.8" x14ac:dyDescent="0.25">
      <c r="A658" s="1416">
        <v>3308</v>
      </c>
      <c r="B658" s="689" t="s">
        <v>255</v>
      </c>
      <c r="C658" s="1417">
        <f>SUM('3 mell. 2. pont'!E545)</f>
        <v>16791</v>
      </c>
    </row>
    <row r="659" spans="1:3" ht="13.8" x14ac:dyDescent="0.25">
      <c r="A659" s="1416">
        <v>3309</v>
      </c>
      <c r="B659" s="689" t="s">
        <v>1088</v>
      </c>
      <c r="C659" s="1417">
        <f>SUM('3 mell. 2. pont'!E555)</f>
        <v>50000</v>
      </c>
    </row>
    <row r="660" spans="1:3" ht="13.8" x14ac:dyDescent="0.25">
      <c r="A660" s="1416">
        <v>3311</v>
      </c>
      <c r="B660" s="689" t="s">
        <v>1087</v>
      </c>
      <c r="C660" s="1417">
        <f>SUM('3 mell. 2. pont'!E565)</f>
        <v>15000</v>
      </c>
    </row>
    <row r="661" spans="1:3" ht="13.8" x14ac:dyDescent="0.25">
      <c r="A661" s="1416">
        <v>3312</v>
      </c>
      <c r="B661" s="689" t="s">
        <v>1086</v>
      </c>
      <c r="C661" s="1417">
        <f>SUM('3 mell. 2. pont'!E575)</f>
        <v>35107</v>
      </c>
    </row>
    <row r="662" spans="1:3" ht="13.8" x14ac:dyDescent="0.25">
      <c r="A662" s="1416">
        <v>3313</v>
      </c>
      <c r="B662" s="689" t="s">
        <v>1085</v>
      </c>
      <c r="C662" s="1417">
        <f>SUM('3 mell. 2. pont'!E585)</f>
        <v>13075</v>
      </c>
    </row>
    <row r="663" spans="1:3" ht="13.8" x14ac:dyDescent="0.25">
      <c r="A663" s="1416">
        <v>3316</v>
      </c>
      <c r="B663" s="689" t="s">
        <v>1084</v>
      </c>
      <c r="C663" s="1417">
        <f>SUM('3 mell. 2. pont'!E595)</f>
        <v>3000</v>
      </c>
    </row>
    <row r="664" spans="1:3" ht="13.8" x14ac:dyDescent="0.25">
      <c r="A664" s="1416">
        <v>3317</v>
      </c>
      <c r="B664" s="689" t="s">
        <v>1083</v>
      </c>
      <c r="C664" s="1417">
        <f>SUM('3 mell. 2. pont'!E605)</f>
        <v>35074</v>
      </c>
    </row>
    <row r="665" spans="1:3" ht="13.8" x14ac:dyDescent="0.25">
      <c r="A665" s="1416">
        <v>3323</v>
      </c>
      <c r="B665" s="689" t="s">
        <v>135</v>
      </c>
      <c r="C665" s="1417">
        <f>SUM('3 mell. 2. pont'!E615)</f>
        <v>12000</v>
      </c>
    </row>
    <row r="666" spans="1:3" ht="13.8" x14ac:dyDescent="0.25">
      <c r="A666" s="1416">
        <v>3325</v>
      </c>
      <c r="B666" s="689" t="s">
        <v>1082</v>
      </c>
      <c r="C666" s="1417">
        <f>SUM('3 mell. 2. pont'!E625)</f>
        <v>10000</v>
      </c>
    </row>
    <row r="667" spans="1:3" ht="13.8" x14ac:dyDescent="0.25">
      <c r="A667" s="1416">
        <v>3352</v>
      </c>
      <c r="B667" s="689" t="s">
        <v>1081</v>
      </c>
      <c r="C667" s="1417">
        <f>SUM('3 mell. 2. pont'!E745)</f>
        <v>38469</v>
      </c>
    </row>
    <row r="668" spans="1:3" ht="13.8" x14ac:dyDescent="0.25">
      <c r="A668" s="1416">
        <v>3943</v>
      </c>
      <c r="B668" s="689" t="s">
        <v>1080</v>
      </c>
      <c r="C668" s="1417">
        <f>SUM('3 mell 3. pont'!E33)</f>
        <v>1000</v>
      </c>
    </row>
    <row r="669" spans="1:3" ht="13.8" x14ac:dyDescent="0.25">
      <c r="A669" s="1416"/>
      <c r="B669" s="689"/>
      <c r="C669" s="1417"/>
    </row>
    <row r="670" spans="1:3" s="688" customFormat="1" ht="45" customHeight="1" x14ac:dyDescent="0.25">
      <c r="A670" s="1418">
        <v>107090</v>
      </c>
      <c r="B670" s="690" t="s">
        <v>967</v>
      </c>
      <c r="C670" s="1419">
        <f>SUM(C671:C675)</f>
        <v>9580</v>
      </c>
    </row>
    <row r="671" spans="1:3" ht="13.8" x14ac:dyDescent="0.25">
      <c r="A671" s="1416">
        <v>3202</v>
      </c>
      <c r="B671" s="689" t="s">
        <v>215</v>
      </c>
      <c r="C671" s="1417">
        <f>SUM('3 mell. 2. pont'!E299)</f>
        <v>9580</v>
      </c>
    </row>
    <row r="672" spans="1:3" ht="13.8" hidden="1" x14ac:dyDescent="0.25">
      <c r="A672" s="1416"/>
      <c r="B672" s="689"/>
      <c r="C672" s="1417"/>
    </row>
    <row r="673" spans="1:3" ht="13.8" hidden="1" x14ac:dyDescent="0.25">
      <c r="A673" s="1416"/>
      <c r="B673" s="689"/>
      <c r="C673" s="1417"/>
    </row>
    <row r="674" spans="1:3" ht="13.8" hidden="1" x14ac:dyDescent="0.25">
      <c r="A674" s="1416"/>
      <c r="B674" s="689"/>
      <c r="C674" s="1417"/>
    </row>
    <row r="675" spans="1:3" ht="13.8" x14ac:dyDescent="0.25">
      <c r="A675" s="1416"/>
      <c r="B675" s="689"/>
      <c r="C675" s="1417"/>
    </row>
    <row r="676" spans="1:3" s="688" customFormat="1" ht="45" customHeight="1" x14ac:dyDescent="0.25">
      <c r="A676" s="1418">
        <v>109010</v>
      </c>
      <c r="B676" s="690" t="s">
        <v>1079</v>
      </c>
      <c r="C676" s="1419">
        <f>SUM(C677:C681)</f>
        <v>295552</v>
      </c>
    </row>
    <row r="677" spans="1:3" ht="13.8" x14ac:dyDescent="0.25">
      <c r="A677" s="1420">
        <v>2795</v>
      </c>
      <c r="B677" s="689" t="s">
        <v>360</v>
      </c>
      <c r="C677" s="1417">
        <v>3703</v>
      </c>
    </row>
    <row r="678" spans="1:3" ht="13.8" x14ac:dyDescent="0.25">
      <c r="A678" s="1416">
        <v>2875</v>
      </c>
      <c r="B678" s="689" t="s">
        <v>350</v>
      </c>
      <c r="C678" s="1417">
        <f>95251+19060+3634</f>
        <v>117945</v>
      </c>
    </row>
    <row r="679" spans="1:3" ht="13.8" x14ac:dyDescent="0.25">
      <c r="A679" s="1416">
        <v>1710</v>
      </c>
      <c r="B679" s="689" t="s">
        <v>1078</v>
      </c>
      <c r="C679" s="1417">
        <v>173904</v>
      </c>
    </row>
    <row r="680" spans="1:3" ht="13.8" hidden="1" x14ac:dyDescent="0.25">
      <c r="A680" s="1416"/>
      <c r="B680" s="689"/>
      <c r="C680" s="1417"/>
    </row>
    <row r="681" spans="1:3" ht="13.8" x14ac:dyDescent="0.25">
      <c r="A681" s="1416"/>
      <c r="B681" s="689"/>
      <c r="C681" s="1417"/>
    </row>
    <row r="682" spans="1:3" s="688" customFormat="1" ht="45" customHeight="1" x14ac:dyDescent="0.25">
      <c r="A682" s="1418">
        <v>109030</v>
      </c>
      <c r="B682" s="690" t="s">
        <v>1077</v>
      </c>
      <c r="C682" s="1419">
        <f>SUM(C683:C687)</f>
        <v>19933</v>
      </c>
    </row>
    <row r="683" spans="1:3" ht="13.8" x14ac:dyDescent="0.25">
      <c r="A683" s="1420">
        <v>2795</v>
      </c>
      <c r="B683" s="689" t="s">
        <v>360</v>
      </c>
      <c r="C683" s="1417">
        <v>298</v>
      </c>
    </row>
    <row r="684" spans="1:3" ht="13.8" x14ac:dyDescent="0.25">
      <c r="A684" s="1416">
        <v>2875</v>
      </c>
      <c r="B684" s="689" t="s">
        <v>350</v>
      </c>
      <c r="C684" s="1417">
        <v>19635</v>
      </c>
    </row>
    <row r="685" spans="1:3" ht="13.8" hidden="1" x14ac:dyDescent="0.25">
      <c r="A685" s="1416"/>
      <c r="B685" s="689"/>
      <c r="C685" s="1417"/>
    </row>
    <row r="686" spans="1:3" ht="13.8" hidden="1" x14ac:dyDescent="0.25">
      <c r="A686" s="1416"/>
      <c r="B686" s="689"/>
      <c r="C686" s="1417"/>
    </row>
    <row r="687" spans="1:3" ht="13.8" x14ac:dyDescent="0.25">
      <c r="A687" s="1416"/>
      <c r="B687" s="689"/>
      <c r="C687" s="1417"/>
    </row>
    <row r="688" spans="1:3" s="688" customFormat="1" ht="45" hidden="1" customHeight="1" x14ac:dyDescent="0.25">
      <c r="A688" s="1418">
        <v>900020</v>
      </c>
      <c r="B688" s="690" t="s">
        <v>974</v>
      </c>
      <c r="C688" s="1419">
        <f>SUM(C689:C693)</f>
        <v>0</v>
      </c>
    </row>
    <row r="689" spans="1:3" ht="13.8" hidden="1" x14ac:dyDescent="0.25">
      <c r="A689" s="1416"/>
      <c r="B689" s="689"/>
      <c r="C689" s="1417"/>
    </row>
    <row r="690" spans="1:3" ht="13.8" hidden="1" x14ac:dyDescent="0.25">
      <c r="A690" s="1416"/>
      <c r="B690" s="689"/>
      <c r="C690" s="1417"/>
    </row>
    <row r="691" spans="1:3" ht="13.8" hidden="1" x14ac:dyDescent="0.25">
      <c r="A691" s="1416"/>
      <c r="B691" s="689"/>
      <c r="C691" s="1417"/>
    </row>
    <row r="692" spans="1:3" ht="13.8" hidden="1" x14ac:dyDescent="0.25">
      <c r="A692" s="1416"/>
      <c r="B692" s="689"/>
      <c r="C692" s="1417"/>
    </row>
    <row r="693" spans="1:3" ht="13.8" hidden="1" x14ac:dyDescent="0.25">
      <c r="A693" s="1416"/>
      <c r="B693" s="689"/>
      <c r="C693" s="1417"/>
    </row>
    <row r="694" spans="1:3" s="688" customFormat="1" ht="45" customHeight="1" x14ac:dyDescent="0.25">
      <c r="A694" s="1418">
        <v>900060</v>
      </c>
      <c r="B694" s="690" t="s">
        <v>968</v>
      </c>
      <c r="C694" s="1419">
        <f>SUM(C695:C699)</f>
        <v>0</v>
      </c>
    </row>
    <row r="695" spans="1:3" ht="13.8" x14ac:dyDescent="0.25">
      <c r="A695" s="1416">
        <v>1844</v>
      </c>
      <c r="B695" s="689" t="s">
        <v>542</v>
      </c>
      <c r="C695" s="1417">
        <f>SUM('1. mell 3. pont '!D105)</f>
        <v>0</v>
      </c>
    </row>
    <row r="696" spans="1:3" ht="13.8" hidden="1" x14ac:dyDescent="0.25">
      <c r="A696" s="1416"/>
      <c r="B696" s="689"/>
      <c r="C696" s="1417"/>
    </row>
    <row r="697" spans="1:3" ht="13.8" hidden="1" x14ac:dyDescent="0.25">
      <c r="A697" s="1416"/>
      <c r="B697" s="689"/>
      <c r="C697" s="1417"/>
    </row>
    <row r="698" spans="1:3" ht="13.8" hidden="1" x14ac:dyDescent="0.25">
      <c r="A698" s="1416"/>
      <c r="B698" s="689"/>
      <c r="C698" s="1417"/>
    </row>
    <row r="699" spans="1:3" ht="13.8" x14ac:dyDescent="0.25">
      <c r="A699" s="1416"/>
      <c r="B699" s="689"/>
      <c r="C699" s="1417"/>
    </row>
    <row r="700" spans="1:3" s="688" customFormat="1" ht="45" customHeight="1" x14ac:dyDescent="0.25">
      <c r="A700" s="1418">
        <v>900090</v>
      </c>
      <c r="B700" s="690" t="s">
        <v>1076</v>
      </c>
      <c r="C700" s="1419">
        <f>SUM(C701:C705)</f>
        <v>12174</v>
      </c>
    </row>
    <row r="701" spans="1:3" ht="13.8" x14ac:dyDescent="0.25">
      <c r="A701" s="1416">
        <v>2850</v>
      </c>
      <c r="B701" s="689" t="s">
        <v>352</v>
      </c>
      <c r="C701" s="1417">
        <f>10312+1862</f>
        <v>12174</v>
      </c>
    </row>
    <row r="702" spans="1:3" ht="13.8" hidden="1" x14ac:dyDescent="0.25">
      <c r="A702" s="1416"/>
      <c r="B702" s="689"/>
      <c r="C702" s="1417"/>
    </row>
    <row r="703" spans="1:3" ht="13.8" hidden="1" x14ac:dyDescent="0.25">
      <c r="A703" s="1416"/>
      <c r="B703" s="689"/>
      <c r="C703" s="1417"/>
    </row>
    <row r="704" spans="1:3" ht="13.8" hidden="1" x14ac:dyDescent="0.25">
      <c r="A704" s="1416"/>
      <c r="B704" s="689"/>
      <c r="C704" s="1417"/>
    </row>
    <row r="705" spans="1:4" ht="13.8" hidden="1" x14ac:dyDescent="0.25">
      <c r="A705" s="1416"/>
      <c r="B705" s="689"/>
      <c r="C705" s="1417"/>
    </row>
    <row r="706" spans="1:4" ht="14.4" thickBot="1" x14ac:dyDescent="0.3">
      <c r="A706" s="1422"/>
      <c r="B706" s="1423"/>
      <c r="C706" s="1424"/>
    </row>
    <row r="707" spans="1:4" s="688" customFormat="1" ht="31.2" customHeight="1" thickBot="1" x14ac:dyDescent="0.3">
      <c r="A707" s="1783" t="s">
        <v>1075</v>
      </c>
      <c r="B707" s="1784"/>
      <c r="C707" s="1425">
        <f>SUM(C700+C694+C688+C682+C676+C670+C650+C644+C638+C632+C626+C620+C614+C608+C602+C596+C590+C584+C578+C572+C566+C560+C554+C548+C542+C536+C530+C524+C518+C512+C506+C500+C494+C488+C482+C476+C470+C464+C458+C452+C446+C440+C433+C427+C421+C415+C409+C403+C392+C386+C380+C374+C368+C362+C356+C350+C344+C338+C332+C326+C320+C314+C308+C302+C296+C290+C284+C278+C272+C266+C260+C254+C248+C242+C236+C205+C196+C190+C184+C178+C172+C166+C160+C155+C149+C143+C137+C131+C125+C119+C113+C107+C93+C87+C81+C75+C69+C63+C57+C33+C27+C21+C5)</f>
        <v>48895795</v>
      </c>
      <c r="D707" s="963"/>
    </row>
  </sheetData>
  <mergeCells count="4">
    <mergeCell ref="A707:B707"/>
    <mergeCell ref="A1:C1"/>
    <mergeCell ref="A2:C2"/>
    <mergeCell ref="A3:C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firstPageNumber="75" orientation="portrait" useFirstPageNumber="1" r:id="rId1"/>
  <headerFooter>
    <oddFooter>&amp;C&amp;P.oldal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4"/>
  <sheetViews>
    <sheetView topLeftCell="A621" zoomScaleNormal="100" zoomScaleSheetLayoutView="120" workbookViewId="0">
      <selection activeCell="F637" sqref="F637"/>
    </sheetView>
  </sheetViews>
  <sheetFormatPr defaultRowHeight="13.2" x14ac:dyDescent="0.25"/>
  <cols>
    <col min="1" max="1" width="13.6640625" style="130" customWidth="1"/>
    <col min="2" max="2" width="63" style="687" customWidth="1"/>
    <col min="3" max="3" width="13.5546875" style="671" customWidth="1"/>
  </cols>
  <sheetData>
    <row r="1" spans="1:3" x14ac:dyDescent="0.25">
      <c r="A1" s="1739" t="s">
        <v>1418</v>
      </c>
      <c r="B1" s="1739"/>
      <c r="C1" s="1739"/>
    </row>
    <row r="2" spans="1:3" x14ac:dyDescent="0.25">
      <c r="A2" s="1739" t="s">
        <v>1304</v>
      </c>
      <c r="B2" s="1739"/>
      <c r="C2" s="1739"/>
    </row>
    <row r="3" spans="1:3" x14ac:dyDescent="0.25">
      <c r="A3" s="1739" t="s">
        <v>987</v>
      </c>
      <c r="B3" s="1739"/>
      <c r="C3" s="1739"/>
    </row>
    <row r="4" spans="1:3" ht="13.8" thickBot="1" x14ac:dyDescent="0.3">
      <c r="C4" s="1412" t="s">
        <v>87</v>
      </c>
    </row>
    <row r="5" spans="1:3" s="688" customFormat="1" ht="45" customHeight="1" x14ac:dyDescent="0.25">
      <c r="A5" s="1413" t="s">
        <v>885</v>
      </c>
      <c r="B5" s="1414" t="s">
        <v>886</v>
      </c>
      <c r="C5" s="1415">
        <f>SUM(C6:C19)</f>
        <v>220430</v>
      </c>
    </row>
    <row r="6" spans="1:3" ht="13.8" x14ac:dyDescent="0.25">
      <c r="A6" s="1416">
        <v>1241</v>
      </c>
      <c r="B6" s="689" t="s">
        <v>1303</v>
      </c>
      <c r="C6" s="1417">
        <f>SUM('1. mell 2 pont '!D148)</f>
        <v>10000</v>
      </c>
    </row>
    <row r="7" spans="1:3" ht="13.8" x14ac:dyDescent="0.25">
      <c r="A7" s="1416">
        <v>1250</v>
      </c>
      <c r="B7" s="689" t="s">
        <v>1302</v>
      </c>
      <c r="C7" s="1417">
        <f>SUM('1. mell 2 pont '!D150)</f>
        <v>25000</v>
      </c>
    </row>
    <row r="8" spans="1:3" ht="13.8" x14ac:dyDescent="0.25">
      <c r="A8" s="1416">
        <v>1260</v>
      </c>
      <c r="B8" s="689" t="s">
        <v>1301</v>
      </c>
      <c r="C8" s="1417">
        <f>SUM('1. mell 2 pont '!D152)</f>
        <v>9450</v>
      </c>
    </row>
    <row r="9" spans="1:3" ht="13.8" x14ac:dyDescent="0.25">
      <c r="A9" s="1416">
        <v>1030</v>
      </c>
      <c r="B9" s="689" t="s">
        <v>405</v>
      </c>
      <c r="C9" s="1417">
        <v>8000</v>
      </c>
    </row>
    <row r="10" spans="1:3" ht="13.8" x14ac:dyDescent="0.25">
      <c r="A10" s="1416">
        <v>1071</v>
      </c>
      <c r="B10" s="689" t="s">
        <v>1300</v>
      </c>
      <c r="C10" s="1417">
        <f>SUM('1. mell 2 pont '!D32)</f>
        <v>250</v>
      </c>
    </row>
    <row r="11" spans="1:3" ht="13.8" x14ac:dyDescent="0.25">
      <c r="A11" s="1416">
        <v>1073</v>
      </c>
      <c r="B11" s="689" t="s">
        <v>971</v>
      </c>
      <c r="C11" s="1417">
        <f>SUM('1. mell 2 pont '!D34)</f>
        <v>0</v>
      </c>
    </row>
    <row r="12" spans="1:3" ht="13.8" x14ac:dyDescent="0.25">
      <c r="A12" s="1416">
        <v>1093</v>
      </c>
      <c r="B12" s="689" t="s">
        <v>1299</v>
      </c>
      <c r="C12" s="1417">
        <f>SUM('1. mell 2 pont '!D48)</f>
        <v>4000</v>
      </c>
    </row>
    <row r="13" spans="1:3" ht="13.8" x14ac:dyDescent="0.25">
      <c r="A13" s="1416">
        <v>1121</v>
      </c>
      <c r="B13" s="689" t="s">
        <v>973</v>
      </c>
      <c r="C13" s="1417">
        <f>SUM('1. mell 2 pont '!D62)</f>
        <v>13230</v>
      </c>
    </row>
    <row r="14" spans="1:3" ht="13.8" x14ac:dyDescent="0.25">
      <c r="A14" s="1416">
        <v>1130</v>
      </c>
      <c r="B14" s="689" t="s">
        <v>393</v>
      </c>
      <c r="C14" s="1417">
        <f>SUM('1. mell 2 pont '!D65)</f>
        <v>0</v>
      </c>
    </row>
    <row r="15" spans="1:3" ht="13.8" x14ac:dyDescent="0.25">
      <c r="A15" s="1416">
        <v>1141</v>
      </c>
      <c r="B15" s="689" t="s">
        <v>1298</v>
      </c>
      <c r="C15" s="1417">
        <f>SUM('1. mell 2 pont '!D67)</f>
        <v>150000</v>
      </c>
    </row>
    <row r="16" spans="1:3" ht="13.8" x14ac:dyDescent="0.25">
      <c r="A16" s="1416">
        <v>1150</v>
      </c>
      <c r="B16" s="689" t="s">
        <v>390</v>
      </c>
      <c r="C16" s="1417">
        <f>SUM('1. mell 2 pont '!D69)</f>
        <v>500</v>
      </c>
    </row>
    <row r="17" spans="1:3" ht="13.8" x14ac:dyDescent="0.25">
      <c r="A17" s="1416">
        <v>1163</v>
      </c>
      <c r="B17" s="689" t="s">
        <v>440</v>
      </c>
      <c r="C17" s="1417">
        <f>SUM('1. mell 2 pont '!D77)</f>
        <v>0</v>
      </c>
    </row>
    <row r="18" spans="1:3" ht="13.8" x14ac:dyDescent="0.25">
      <c r="A18" s="1416">
        <v>1164</v>
      </c>
      <c r="B18" s="689" t="s">
        <v>282</v>
      </c>
      <c r="C18" s="1417">
        <f>SUM('1. mell 2 pont '!D78)</f>
        <v>0</v>
      </c>
    </row>
    <row r="19" spans="1:3" ht="13.8" x14ac:dyDescent="0.25">
      <c r="A19" s="1416"/>
      <c r="B19" s="689"/>
      <c r="C19" s="1417"/>
    </row>
    <row r="20" spans="1:3" s="688" customFormat="1" ht="45" hidden="1" customHeight="1" x14ac:dyDescent="0.25">
      <c r="A20" s="1418" t="s">
        <v>1269</v>
      </c>
      <c r="B20" s="690" t="s">
        <v>1268</v>
      </c>
      <c r="C20" s="1419">
        <f>SUM(C21:C25)</f>
        <v>0</v>
      </c>
    </row>
    <row r="21" spans="1:3" ht="13.8" hidden="1" x14ac:dyDescent="0.25">
      <c r="A21" s="1416"/>
      <c r="B21" s="689"/>
      <c r="C21" s="1417"/>
    </row>
    <row r="22" spans="1:3" ht="13.8" hidden="1" x14ac:dyDescent="0.25">
      <c r="A22" s="1416"/>
      <c r="B22" s="689"/>
      <c r="C22" s="1417"/>
    </row>
    <row r="23" spans="1:3" ht="13.8" hidden="1" x14ac:dyDescent="0.25">
      <c r="A23" s="1416"/>
      <c r="B23" s="689"/>
      <c r="C23" s="1417"/>
    </row>
    <row r="24" spans="1:3" ht="13.8" hidden="1" x14ac:dyDescent="0.25">
      <c r="A24" s="1416"/>
      <c r="B24" s="689"/>
      <c r="C24" s="1417"/>
    </row>
    <row r="25" spans="1:3" ht="13.8" hidden="1" x14ac:dyDescent="0.25">
      <c r="A25" s="1416"/>
      <c r="B25" s="689"/>
      <c r="C25" s="1417"/>
    </row>
    <row r="26" spans="1:3" s="688" customFormat="1" ht="45" hidden="1" customHeight="1" x14ac:dyDescent="0.25">
      <c r="A26" s="1418" t="s">
        <v>1267</v>
      </c>
      <c r="B26" s="690" t="s">
        <v>1266</v>
      </c>
      <c r="C26" s="1419">
        <f>SUM(C27:C31)</f>
        <v>0</v>
      </c>
    </row>
    <row r="27" spans="1:3" ht="13.8" hidden="1" x14ac:dyDescent="0.25">
      <c r="A27" s="1416"/>
      <c r="B27" s="689"/>
      <c r="C27" s="1417"/>
    </row>
    <row r="28" spans="1:3" ht="13.8" hidden="1" x14ac:dyDescent="0.25">
      <c r="A28" s="1416"/>
      <c r="B28" s="689"/>
      <c r="C28" s="1417"/>
    </row>
    <row r="29" spans="1:3" ht="13.8" hidden="1" x14ac:dyDescent="0.25">
      <c r="A29" s="1416"/>
      <c r="B29" s="689"/>
      <c r="C29" s="1417"/>
    </row>
    <row r="30" spans="1:3" ht="13.8" hidden="1" x14ac:dyDescent="0.25">
      <c r="A30" s="1416"/>
      <c r="B30" s="689"/>
      <c r="C30" s="1417"/>
    </row>
    <row r="31" spans="1:3" ht="13.8" hidden="1" x14ac:dyDescent="0.25">
      <c r="A31" s="1416"/>
      <c r="B31" s="689"/>
      <c r="C31" s="1417"/>
    </row>
    <row r="32" spans="1:3" s="688" customFormat="1" ht="45" customHeight="1" x14ac:dyDescent="0.25">
      <c r="A32" s="1418" t="s">
        <v>887</v>
      </c>
      <c r="B32" s="690" t="s">
        <v>888</v>
      </c>
      <c r="C32" s="1419">
        <f>SUM(C33:C49)</f>
        <v>2541587</v>
      </c>
    </row>
    <row r="33" spans="1:3" ht="13.8" x14ac:dyDescent="0.25">
      <c r="A33" s="1420">
        <v>2795</v>
      </c>
      <c r="B33" s="689" t="s">
        <v>360</v>
      </c>
      <c r="C33" s="1417">
        <v>95256</v>
      </c>
    </row>
    <row r="34" spans="1:3" ht="13.8" x14ac:dyDescent="0.25">
      <c r="A34" s="1416">
        <v>1094</v>
      </c>
      <c r="B34" s="689" t="s">
        <v>1297</v>
      </c>
      <c r="C34" s="1417">
        <f>SUM('1. mell 2 pont '!D49)</f>
        <v>14000</v>
      </c>
    </row>
    <row r="35" spans="1:3" ht="13.8" x14ac:dyDescent="0.25">
      <c r="A35" s="1416">
        <v>1095</v>
      </c>
      <c r="B35" s="689" t="s">
        <v>1296</v>
      </c>
      <c r="C35" s="1417">
        <f>SUM('1. mell 2 pont '!D50)</f>
        <v>500000</v>
      </c>
    </row>
    <row r="36" spans="1:3" ht="13.8" x14ac:dyDescent="0.25">
      <c r="A36" s="1416">
        <v>1096</v>
      </c>
      <c r="B36" s="689" t="s">
        <v>978</v>
      </c>
      <c r="C36" s="1417">
        <f>SUM('1. mell 2 pont '!D51)</f>
        <v>370000</v>
      </c>
    </row>
    <row r="37" spans="1:3" ht="13.8" x14ac:dyDescent="0.25">
      <c r="A37" s="1416">
        <v>1097</v>
      </c>
      <c r="B37" s="689" t="s">
        <v>1295</v>
      </c>
      <c r="C37" s="1417">
        <f>SUM('1. mell 2 pont '!D52)</f>
        <v>0</v>
      </c>
    </row>
    <row r="38" spans="1:3" ht="13.8" x14ac:dyDescent="0.25">
      <c r="A38" s="1416">
        <v>1098</v>
      </c>
      <c r="B38" s="689" t="s">
        <v>985</v>
      </c>
      <c r="C38" s="1417">
        <f>SUM('1. mell 2 pont '!D53)</f>
        <v>0</v>
      </c>
    </row>
    <row r="39" spans="1:3" ht="13.8" x14ac:dyDescent="0.25">
      <c r="A39" s="1416">
        <v>1099</v>
      </c>
      <c r="B39" s="689" t="s">
        <v>979</v>
      </c>
      <c r="C39" s="1417">
        <f>SUM('1. mell 2 pont '!D54)</f>
        <v>40000</v>
      </c>
    </row>
    <row r="40" spans="1:3" ht="13.8" x14ac:dyDescent="0.25">
      <c r="A40" s="1416">
        <v>1101</v>
      </c>
      <c r="B40" s="689" t="s">
        <v>1294</v>
      </c>
      <c r="C40" s="1417">
        <f>SUM('1. mell 2 pont '!D56)</f>
        <v>11200</v>
      </c>
    </row>
    <row r="41" spans="1:3" ht="13.8" x14ac:dyDescent="0.25">
      <c r="A41" s="1416">
        <v>1102</v>
      </c>
      <c r="B41" s="689" t="s">
        <v>1293</v>
      </c>
      <c r="C41" s="1417">
        <f>SUM('1. mell 2 pont '!D57)</f>
        <v>90000</v>
      </c>
    </row>
    <row r="42" spans="1:3" ht="13.8" x14ac:dyDescent="0.25">
      <c r="A42" s="1416">
        <v>1105</v>
      </c>
      <c r="B42" s="689" t="s">
        <v>396</v>
      </c>
      <c r="C42" s="1417">
        <f>SUM('1. mell 2 pont '!D59)</f>
        <v>0</v>
      </c>
    </row>
    <row r="43" spans="1:3" ht="13.8" x14ac:dyDescent="0.25">
      <c r="A43" s="1416">
        <v>1122</v>
      </c>
      <c r="B43" s="689" t="s">
        <v>1292</v>
      </c>
      <c r="C43" s="1417">
        <f>SUM('1. mell 2 pont '!D63)</f>
        <v>259000</v>
      </c>
    </row>
    <row r="44" spans="1:3" ht="13.8" x14ac:dyDescent="0.25">
      <c r="A44" s="1421">
        <v>1152</v>
      </c>
      <c r="B44" s="689" t="s">
        <v>391</v>
      </c>
      <c r="C44" s="1417">
        <f>SUM('1. mell 2 pont '!D68)</f>
        <v>0</v>
      </c>
    </row>
    <row r="45" spans="1:3" ht="13.8" x14ac:dyDescent="0.25">
      <c r="A45" s="1421">
        <v>1160</v>
      </c>
      <c r="B45" s="689" t="s">
        <v>321</v>
      </c>
      <c r="C45" s="1417">
        <f>SUM('1. mell 2 pont '!D74)</f>
        <v>0</v>
      </c>
    </row>
    <row r="46" spans="1:3" ht="13.8" x14ac:dyDescent="0.25">
      <c r="A46" s="1421">
        <v>1191</v>
      </c>
      <c r="B46" s="689" t="s">
        <v>1291</v>
      </c>
      <c r="C46" s="1417">
        <f>SUM('1. mell 2 pont '!D105)</f>
        <v>650000</v>
      </c>
    </row>
    <row r="47" spans="1:3" ht="13.8" x14ac:dyDescent="0.25">
      <c r="A47" s="1421">
        <v>1194</v>
      </c>
      <c r="B47" s="689" t="s">
        <v>980</v>
      </c>
      <c r="C47" s="1417">
        <f>SUM('1. mell 2 pont '!D106)</f>
        <v>100000</v>
      </c>
    </row>
    <row r="48" spans="1:3" ht="13.8" x14ac:dyDescent="0.25">
      <c r="A48" s="1421">
        <v>1195</v>
      </c>
      <c r="B48" s="689" t="s">
        <v>981</v>
      </c>
      <c r="C48" s="1417">
        <f>SUM('1. mell 2 pont '!D107)</f>
        <v>200000</v>
      </c>
    </row>
    <row r="49" spans="1:3" ht="13.8" x14ac:dyDescent="0.25">
      <c r="A49" s="1416">
        <v>1030</v>
      </c>
      <c r="B49" s="689" t="s">
        <v>405</v>
      </c>
      <c r="C49" s="1417">
        <v>212131</v>
      </c>
    </row>
    <row r="50" spans="1:3" s="688" customFormat="1" ht="45" customHeight="1" x14ac:dyDescent="0.25">
      <c r="A50" s="1418" t="s">
        <v>900</v>
      </c>
      <c r="B50" s="690" t="s">
        <v>901</v>
      </c>
      <c r="C50" s="1419">
        <f>SUM(C51:C55)</f>
        <v>48131</v>
      </c>
    </row>
    <row r="51" spans="1:3" ht="13.8" x14ac:dyDescent="0.25">
      <c r="A51" s="1420">
        <v>2795</v>
      </c>
      <c r="B51" s="689" t="s">
        <v>360</v>
      </c>
      <c r="C51" s="1417">
        <v>48131</v>
      </c>
    </row>
    <row r="52" spans="1:3" ht="13.8" hidden="1" x14ac:dyDescent="0.25">
      <c r="A52" s="1416"/>
      <c r="B52" s="689"/>
      <c r="C52" s="1417"/>
    </row>
    <row r="53" spans="1:3" ht="13.8" hidden="1" x14ac:dyDescent="0.25">
      <c r="A53" s="1416"/>
      <c r="B53" s="689"/>
      <c r="C53" s="1417"/>
    </row>
    <row r="54" spans="1:3" ht="13.8" hidden="1" x14ac:dyDescent="0.25">
      <c r="A54" s="1416"/>
      <c r="B54" s="689"/>
      <c r="C54" s="1417"/>
    </row>
    <row r="55" spans="1:3" ht="13.8" x14ac:dyDescent="0.25">
      <c r="A55" s="1416"/>
      <c r="B55" s="689"/>
      <c r="C55" s="1417"/>
    </row>
    <row r="56" spans="1:3" s="688" customFormat="1" ht="45" customHeight="1" x14ac:dyDescent="0.25">
      <c r="A56" s="1418" t="s">
        <v>1250</v>
      </c>
      <c r="B56" s="690" t="s">
        <v>1249</v>
      </c>
      <c r="C56" s="1419">
        <f>SUM(C57:C61)</f>
        <v>34350</v>
      </c>
    </row>
    <row r="57" spans="1:3" ht="13.8" x14ac:dyDescent="0.25">
      <c r="A57" s="1416">
        <v>1231</v>
      </c>
      <c r="B57" s="689" t="s">
        <v>405</v>
      </c>
      <c r="C57" s="1417">
        <f>SUM('1. mell 2 pont '!E137)</f>
        <v>34350</v>
      </c>
    </row>
    <row r="58" spans="1:3" ht="13.8" hidden="1" x14ac:dyDescent="0.25">
      <c r="A58" s="1416"/>
      <c r="B58" s="689"/>
      <c r="C58" s="1417"/>
    </row>
    <row r="59" spans="1:3" ht="13.8" hidden="1" x14ac:dyDescent="0.25">
      <c r="A59" s="1416"/>
      <c r="B59" s="689"/>
      <c r="C59" s="1417"/>
    </row>
    <row r="60" spans="1:3" ht="13.8" hidden="1" x14ac:dyDescent="0.25">
      <c r="A60" s="1416"/>
      <c r="B60" s="689"/>
      <c r="C60" s="1417"/>
    </row>
    <row r="61" spans="1:3" ht="13.8" hidden="1" x14ac:dyDescent="0.25">
      <c r="A61" s="1416"/>
      <c r="B61" s="689"/>
      <c r="C61" s="1417"/>
    </row>
    <row r="62" spans="1:3" s="688" customFormat="1" ht="45" hidden="1" customHeight="1" x14ac:dyDescent="0.25">
      <c r="A62" s="1418" t="s">
        <v>1248</v>
      </c>
      <c r="B62" s="690" t="s">
        <v>1247</v>
      </c>
      <c r="C62" s="1419">
        <f>SUM(C63:C67)</f>
        <v>0</v>
      </c>
    </row>
    <row r="63" spans="1:3" ht="13.8" hidden="1" x14ac:dyDescent="0.25">
      <c r="A63" s="1416"/>
      <c r="B63" s="689"/>
      <c r="C63" s="1417"/>
    </row>
    <row r="64" spans="1:3" ht="13.8" hidden="1" x14ac:dyDescent="0.25">
      <c r="A64" s="1416"/>
      <c r="B64" s="689"/>
      <c r="C64" s="1417"/>
    </row>
    <row r="65" spans="1:3" ht="13.8" hidden="1" x14ac:dyDescent="0.25">
      <c r="A65" s="1416"/>
      <c r="B65" s="689"/>
      <c r="C65" s="1417"/>
    </row>
    <row r="66" spans="1:3" ht="13.8" hidden="1" x14ac:dyDescent="0.25">
      <c r="A66" s="1416"/>
      <c r="B66" s="689"/>
      <c r="C66" s="1417"/>
    </row>
    <row r="67" spans="1:3" ht="13.8" hidden="1" x14ac:dyDescent="0.25">
      <c r="A67" s="1416"/>
      <c r="B67" s="689"/>
      <c r="C67" s="1417"/>
    </row>
    <row r="68" spans="1:3" s="688" customFormat="1" ht="45" hidden="1" customHeight="1" x14ac:dyDescent="0.25">
      <c r="A68" s="1418" t="s">
        <v>890</v>
      </c>
      <c r="B68" s="690" t="s">
        <v>891</v>
      </c>
      <c r="C68" s="1419">
        <f>SUM(C69:C73)</f>
        <v>0</v>
      </c>
    </row>
    <row r="69" spans="1:3" ht="13.8" hidden="1" x14ac:dyDescent="0.25">
      <c r="A69" s="1416"/>
      <c r="B69" s="689"/>
      <c r="C69" s="1417"/>
    </row>
    <row r="70" spans="1:3" ht="13.8" hidden="1" x14ac:dyDescent="0.25">
      <c r="A70" s="1416"/>
      <c r="B70" s="689"/>
      <c r="C70" s="1417"/>
    </row>
    <row r="71" spans="1:3" ht="13.8" hidden="1" x14ac:dyDescent="0.25">
      <c r="A71" s="1416"/>
      <c r="B71" s="689"/>
      <c r="C71" s="1417"/>
    </row>
    <row r="72" spans="1:3" ht="13.8" hidden="1" x14ac:dyDescent="0.25">
      <c r="A72" s="1416"/>
      <c r="B72" s="689"/>
      <c r="C72" s="1417"/>
    </row>
    <row r="73" spans="1:3" ht="13.8" hidden="1" x14ac:dyDescent="0.25">
      <c r="A73" s="1416"/>
      <c r="B73" s="689"/>
      <c r="C73" s="1417"/>
    </row>
    <row r="74" spans="1:3" s="688" customFormat="1" ht="45" customHeight="1" x14ac:dyDescent="0.25">
      <c r="A74" s="1418" t="s">
        <v>982</v>
      </c>
      <c r="B74" s="690" t="s">
        <v>1246</v>
      </c>
      <c r="C74" s="1419">
        <f>SUM(C75:C83)</f>
        <v>6611886</v>
      </c>
    </row>
    <row r="75" spans="1:3" ht="13.8" x14ac:dyDescent="0.25">
      <c r="A75" s="1420">
        <v>1011</v>
      </c>
      <c r="B75" s="689" t="s">
        <v>1290</v>
      </c>
      <c r="C75" s="1417">
        <f>SUM('1. mell 2 pont '!E10)</f>
        <v>981006</v>
      </c>
    </row>
    <row r="76" spans="1:3" ht="13.8" x14ac:dyDescent="0.25">
      <c r="A76" s="1420">
        <v>1012</v>
      </c>
      <c r="B76" s="689" t="s">
        <v>1289</v>
      </c>
      <c r="C76" s="1417">
        <f>SUM('1. mell 2 pont '!E11)</f>
        <v>1844131</v>
      </c>
    </row>
    <row r="77" spans="1:3" ht="13.8" x14ac:dyDescent="0.25">
      <c r="A77" s="1420">
        <v>1013</v>
      </c>
      <c r="B77" s="689" t="s">
        <v>1288</v>
      </c>
      <c r="C77" s="1417">
        <f>SUM('1. mell 2 pont '!E12)</f>
        <v>1856754</v>
      </c>
    </row>
    <row r="78" spans="1:3" ht="13.8" x14ac:dyDescent="0.25">
      <c r="A78" s="1420">
        <v>1014</v>
      </c>
      <c r="B78" s="689" t="s">
        <v>1287</v>
      </c>
      <c r="C78" s="1417">
        <f>SUM('1. mell 2 pont '!E13)</f>
        <v>415579</v>
      </c>
    </row>
    <row r="79" spans="1:3" ht="13.8" x14ac:dyDescent="0.25">
      <c r="A79" s="1420">
        <v>1015</v>
      </c>
      <c r="B79" s="689" t="s">
        <v>1286</v>
      </c>
      <c r="C79" s="1417">
        <f>SUM('1. mell 2 pont '!E14)</f>
        <v>0</v>
      </c>
    </row>
    <row r="80" spans="1:3" ht="13.8" x14ac:dyDescent="0.25">
      <c r="A80" s="1420">
        <v>1016</v>
      </c>
      <c r="B80" s="689" t="s">
        <v>970</v>
      </c>
      <c r="C80" s="1417">
        <f>SUM('1. mell 2 pont '!E15)</f>
        <v>14416</v>
      </c>
    </row>
    <row r="81" spans="1:3" ht="13.8" x14ac:dyDescent="0.25">
      <c r="A81" s="1420">
        <v>1218</v>
      </c>
      <c r="B81" s="689" t="s">
        <v>378</v>
      </c>
      <c r="C81" s="1417">
        <f>SUM('1. mell 2 pont '!E124)</f>
        <v>0</v>
      </c>
    </row>
    <row r="82" spans="1:3" ht="13.8" x14ac:dyDescent="0.25">
      <c r="A82" s="1416">
        <v>1165</v>
      </c>
      <c r="B82" s="689" t="s">
        <v>296</v>
      </c>
      <c r="C82" s="1417">
        <f>SUM('1. mell 2 pont '!E88)</f>
        <v>1500000</v>
      </c>
    </row>
    <row r="83" spans="1:3" ht="13.8" x14ac:dyDescent="0.25">
      <c r="A83" s="1416"/>
      <c r="B83" s="689"/>
      <c r="C83" s="1417"/>
    </row>
    <row r="84" spans="1:3" s="688" customFormat="1" ht="45" hidden="1" customHeight="1" x14ac:dyDescent="0.25">
      <c r="A84" s="1418" t="s">
        <v>892</v>
      </c>
      <c r="B84" s="690" t="s">
        <v>893</v>
      </c>
      <c r="C84" s="1419">
        <f>SUM(C85:C89)</f>
        <v>0</v>
      </c>
    </row>
    <row r="85" spans="1:3" ht="13.8" hidden="1" x14ac:dyDescent="0.25">
      <c r="A85" s="1416"/>
      <c r="B85" s="689"/>
      <c r="C85" s="1417"/>
    </row>
    <row r="86" spans="1:3" ht="13.8" hidden="1" x14ac:dyDescent="0.25">
      <c r="A86" s="1416"/>
      <c r="B86" s="689"/>
      <c r="C86" s="1417"/>
    </row>
    <row r="87" spans="1:3" ht="13.8" hidden="1" x14ac:dyDescent="0.25">
      <c r="A87" s="1416"/>
      <c r="B87" s="689"/>
      <c r="C87" s="1417"/>
    </row>
    <row r="88" spans="1:3" ht="13.8" hidden="1" x14ac:dyDescent="0.25">
      <c r="A88" s="1416"/>
      <c r="B88" s="689"/>
      <c r="C88" s="1417"/>
    </row>
    <row r="89" spans="1:3" ht="13.8" hidden="1" x14ac:dyDescent="0.25">
      <c r="A89" s="1416"/>
      <c r="B89" s="689"/>
      <c r="C89" s="1417"/>
    </row>
    <row r="90" spans="1:3" s="688" customFormat="1" ht="45" customHeight="1" x14ac:dyDescent="0.25">
      <c r="A90" s="1418" t="s">
        <v>983</v>
      </c>
      <c r="B90" s="690" t="s">
        <v>1241</v>
      </c>
      <c r="C90" s="1419">
        <f>SUM(C91:C98)</f>
        <v>2885840</v>
      </c>
    </row>
    <row r="91" spans="1:3" ht="15" customHeight="1" x14ac:dyDescent="0.25">
      <c r="A91" s="1420">
        <v>1292</v>
      </c>
      <c r="B91" s="689" t="s">
        <v>1468</v>
      </c>
      <c r="C91" s="1417">
        <f>SUM('1. mell 2 pont '!E180)</f>
        <v>201032</v>
      </c>
    </row>
    <row r="92" spans="1:3" ht="13.8" x14ac:dyDescent="0.25">
      <c r="A92" s="1420">
        <v>1294</v>
      </c>
      <c r="B92" s="689" t="s">
        <v>1469</v>
      </c>
      <c r="C92" s="1417">
        <f>SUM('1. mell 2 pont '!E185)</f>
        <v>46504</v>
      </c>
    </row>
    <row r="93" spans="1:3" ht="27.6" x14ac:dyDescent="0.25">
      <c r="A93" s="1416">
        <v>1215</v>
      </c>
      <c r="B93" s="689" t="s">
        <v>1470</v>
      </c>
      <c r="C93" s="1417">
        <f>SUM('1. mell 2 pont '!E122)</f>
        <v>1576934</v>
      </c>
    </row>
    <row r="94" spans="1:3" ht="27.6" x14ac:dyDescent="0.25">
      <c r="A94" s="1416">
        <v>1221</v>
      </c>
      <c r="B94" s="689" t="s">
        <v>1471</v>
      </c>
      <c r="C94" s="1417">
        <f>SUM('1. mell 2 pont '!E128)</f>
        <v>604963</v>
      </c>
    </row>
    <row r="95" spans="1:3" ht="27.6" x14ac:dyDescent="0.25">
      <c r="A95" s="1416">
        <v>1450</v>
      </c>
      <c r="B95" s="689" t="s">
        <v>1472</v>
      </c>
      <c r="C95" s="1417">
        <f>SUM('1. mell 2 pont '!E232)</f>
        <v>447970</v>
      </c>
    </row>
    <row r="96" spans="1:3" ht="27.6" x14ac:dyDescent="0.25">
      <c r="A96" s="1416">
        <v>1455</v>
      </c>
      <c r="B96" s="689" t="s">
        <v>1473</v>
      </c>
      <c r="C96" s="1417">
        <f>SUM('1. mell 2 pont '!E237)</f>
        <v>3294</v>
      </c>
    </row>
    <row r="97" spans="1:3" ht="13.8" x14ac:dyDescent="0.25">
      <c r="A97" s="1416">
        <v>1459</v>
      </c>
      <c r="B97" s="689" t="s">
        <v>1474</v>
      </c>
      <c r="C97" s="1417">
        <f>SUM('1. mell 2 pont '!E231)</f>
        <v>1862</v>
      </c>
    </row>
    <row r="98" spans="1:3" ht="13.8" x14ac:dyDescent="0.25">
      <c r="A98" s="1416">
        <v>1020</v>
      </c>
      <c r="B98" s="689" t="s">
        <v>406</v>
      </c>
      <c r="C98" s="1417">
        <v>3281</v>
      </c>
    </row>
    <row r="99" spans="1:3" s="688" customFormat="1" ht="45" customHeight="1" x14ac:dyDescent="0.25">
      <c r="A99" s="1418" t="s">
        <v>895</v>
      </c>
      <c r="B99" s="690" t="s">
        <v>1229</v>
      </c>
      <c r="C99" s="1419">
        <f>SUM(C100:C106)</f>
        <v>476000</v>
      </c>
    </row>
    <row r="100" spans="1:3" ht="13.8" x14ac:dyDescent="0.25">
      <c r="A100" s="1420">
        <v>1205</v>
      </c>
      <c r="B100" s="689" t="s">
        <v>1285</v>
      </c>
      <c r="C100" s="1417">
        <f>SUM('1. mell 2 pont '!D142)</f>
        <v>3000</v>
      </c>
    </row>
    <row r="101" spans="1:3" ht="13.8" x14ac:dyDescent="0.25">
      <c r="A101" s="1420">
        <v>1206</v>
      </c>
      <c r="B101" s="689" t="s">
        <v>1284</v>
      </c>
      <c r="C101" s="1417">
        <f>SUM('1. mell 2 pont '!D143)</f>
        <v>30000</v>
      </c>
    </row>
    <row r="102" spans="1:3" ht="13.8" x14ac:dyDescent="0.25">
      <c r="A102" s="1416">
        <v>1074</v>
      </c>
      <c r="B102" s="689" t="s">
        <v>972</v>
      </c>
      <c r="C102" s="1417">
        <f>SUM('1. mell 2 pont '!D35)</f>
        <v>0</v>
      </c>
    </row>
    <row r="103" spans="1:3" ht="13.8" x14ac:dyDescent="0.25">
      <c r="A103" s="1416">
        <v>1079</v>
      </c>
      <c r="B103" s="689" t="s">
        <v>1307</v>
      </c>
      <c r="C103" s="1417">
        <f>SUM('1. mell 2 pont '!D40)</f>
        <v>23000</v>
      </c>
    </row>
    <row r="104" spans="1:3" ht="13.8" x14ac:dyDescent="0.25">
      <c r="A104" s="1416">
        <v>1081</v>
      </c>
      <c r="B104" s="689" t="s">
        <v>1308</v>
      </c>
      <c r="C104" s="1417">
        <f>SUM('1. mell 2 pont '!D41)</f>
        <v>420000</v>
      </c>
    </row>
    <row r="105" spans="1:3" ht="13.8" x14ac:dyDescent="0.25">
      <c r="A105" s="1416">
        <v>1091</v>
      </c>
      <c r="B105" s="689" t="s">
        <v>1308</v>
      </c>
      <c r="C105" s="1417">
        <f>SUM('1. mell 2 pont '!D46)</f>
        <v>0</v>
      </c>
    </row>
    <row r="106" spans="1:3" ht="13.8" x14ac:dyDescent="0.25">
      <c r="A106" s="1416"/>
      <c r="B106" s="689"/>
      <c r="C106" s="1417"/>
    </row>
    <row r="107" spans="1:3" s="688" customFormat="1" ht="45" hidden="1" customHeight="1" x14ac:dyDescent="0.25">
      <c r="A107" s="1418" t="s">
        <v>896</v>
      </c>
      <c r="B107" s="690" t="s">
        <v>897</v>
      </c>
      <c r="C107" s="1419">
        <f>SUM(C108:C112)</f>
        <v>0</v>
      </c>
    </row>
    <row r="108" spans="1:3" ht="13.8" hidden="1" x14ac:dyDescent="0.25">
      <c r="A108" s="1416"/>
      <c r="B108" s="689"/>
      <c r="C108" s="1417"/>
    </row>
    <row r="109" spans="1:3" ht="13.8" hidden="1" x14ac:dyDescent="0.25">
      <c r="A109" s="1416"/>
      <c r="B109" s="689"/>
      <c r="C109" s="1417"/>
    </row>
    <row r="110" spans="1:3" ht="13.8" hidden="1" x14ac:dyDescent="0.25">
      <c r="A110" s="1416"/>
      <c r="B110" s="689"/>
      <c r="C110" s="1417"/>
    </row>
    <row r="111" spans="1:3" ht="13.8" hidden="1" x14ac:dyDescent="0.25">
      <c r="A111" s="1416"/>
      <c r="B111" s="689"/>
      <c r="C111" s="1417"/>
    </row>
    <row r="112" spans="1:3" ht="13.8" hidden="1" x14ac:dyDescent="0.25">
      <c r="A112" s="1416"/>
      <c r="B112" s="689"/>
      <c r="C112" s="1417"/>
    </row>
    <row r="113" spans="1:3" s="688" customFormat="1" ht="45" hidden="1" customHeight="1" x14ac:dyDescent="0.25">
      <c r="A113" s="1418" t="s">
        <v>899</v>
      </c>
      <c r="B113" s="690" t="s">
        <v>1226</v>
      </c>
      <c r="C113" s="1419">
        <f>SUM(C114:C118)</f>
        <v>0</v>
      </c>
    </row>
    <row r="114" spans="1:3" ht="13.8" hidden="1" x14ac:dyDescent="0.25">
      <c r="A114" s="1416"/>
      <c r="B114" s="689"/>
      <c r="C114" s="1417"/>
    </row>
    <row r="115" spans="1:3" ht="13.8" hidden="1" x14ac:dyDescent="0.25">
      <c r="A115" s="1416"/>
      <c r="B115" s="689"/>
      <c r="C115" s="1417"/>
    </row>
    <row r="116" spans="1:3" ht="13.8" hidden="1" x14ac:dyDescent="0.25">
      <c r="A116" s="1416"/>
      <c r="B116" s="689"/>
      <c r="C116" s="1417"/>
    </row>
    <row r="117" spans="1:3" ht="13.8" hidden="1" x14ac:dyDescent="0.25">
      <c r="A117" s="1416"/>
      <c r="B117" s="689"/>
      <c r="C117" s="1417"/>
    </row>
    <row r="118" spans="1:3" ht="13.8" hidden="1" x14ac:dyDescent="0.25">
      <c r="A118" s="1416"/>
      <c r="B118" s="689"/>
      <c r="C118" s="1417"/>
    </row>
    <row r="119" spans="1:3" s="688" customFormat="1" ht="45" hidden="1" customHeight="1" x14ac:dyDescent="0.25">
      <c r="A119" s="1418" t="s">
        <v>1225</v>
      </c>
      <c r="B119" s="690" t="s">
        <v>1224</v>
      </c>
      <c r="C119" s="1419">
        <f>SUM(C120:C124)</f>
        <v>0</v>
      </c>
    </row>
    <row r="120" spans="1:3" ht="13.8" hidden="1" x14ac:dyDescent="0.25">
      <c r="A120" s="1416"/>
      <c r="B120" s="689"/>
      <c r="C120" s="1417"/>
    </row>
    <row r="121" spans="1:3" ht="13.8" hidden="1" x14ac:dyDescent="0.25">
      <c r="A121" s="1416"/>
      <c r="B121" s="689"/>
      <c r="C121" s="1417"/>
    </row>
    <row r="122" spans="1:3" ht="13.8" hidden="1" x14ac:dyDescent="0.25">
      <c r="A122" s="1416"/>
      <c r="B122" s="689"/>
      <c r="C122" s="1417"/>
    </row>
    <row r="123" spans="1:3" ht="13.8" hidden="1" x14ac:dyDescent="0.25">
      <c r="A123" s="1416"/>
      <c r="B123" s="689"/>
      <c r="C123" s="1417"/>
    </row>
    <row r="124" spans="1:3" ht="13.8" hidden="1" x14ac:dyDescent="0.25">
      <c r="A124" s="1416"/>
      <c r="B124" s="689"/>
      <c r="C124" s="1417"/>
    </row>
    <row r="125" spans="1:3" s="688" customFormat="1" ht="45" hidden="1" customHeight="1" x14ac:dyDescent="0.25">
      <c r="A125" s="1418" t="s">
        <v>1223</v>
      </c>
      <c r="B125" s="690" t="s">
        <v>1222</v>
      </c>
      <c r="C125" s="1419">
        <f>SUM(C126:C130)</f>
        <v>0</v>
      </c>
    </row>
    <row r="126" spans="1:3" ht="13.8" hidden="1" x14ac:dyDescent="0.25">
      <c r="A126" s="1416"/>
      <c r="B126" s="689"/>
      <c r="C126" s="1417"/>
    </row>
    <row r="127" spans="1:3" ht="13.8" hidden="1" x14ac:dyDescent="0.25">
      <c r="A127" s="1416"/>
      <c r="B127" s="689"/>
      <c r="C127" s="1417"/>
    </row>
    <row r="128" spans="1:3" ht="13.8" hidden="1" x14ac:dyDescent="0.25">
      <c r="A128" s="1416"/>
      <c r="B128" s="689"/>
      <c r="C128" s="1417"/>
    </row>
    <row r="129" spans="1:3" ht="13.8" hidden="1" x14ac:dyDescent="0.25">
      <c r="A129" s="1416"/>
      <c r="B129" s="689"/>
      <c r="C129" s="1417"/>
    </row>
    <row r="130" spans="1:3" ht="13.8" hidden="1" x14ac:dyDescent="0.25">
      <c r="A130" s="1416"/>
      <c r="B130" s="689"/>
      <c r="C130" s="1417"/>
    </row>
    <row r="131" spans="1:3" s="688" customFormat="1" ht="45" hidden="1" customHeight="1" x14ac:dyDescent="0.25">
      <c r="A131" s="1418" t="s">
        <v>902</v>
      </c>
      <c r="B131" s="690" t="s">
        <v>903</v>
      </c>
      <c r="C131" s="1419">
        <f>SUM(C132:C136)</f>
        <v>0</v>
      </c>
    </row>
    <row r="132" spans="1:3" ht="13.8" hidden="1" x14ac:dyDescent="0.25">
      <c r="A132" s="1416"/>
      <c r="B132" s="689"/>
      <c r="C132" s="1417"/>
    </row>
    <row r="133" spans="1:3" ht="13.8" hidden="1" x14ac:dyDescent="0.25">
      <c r="A133" s="1416"/>
      <c r="B133" s="689"/>
      <c r="C133" s="1417"/>
    </row>
    <row r="134" spans="1:3" ht="13.8" hidden="1" x14ac:dyDescent="0.25">
      <c r="A134" s="1416"/>
      <c r="B134" s="689"/>
      <c r="C134" s="1417"/>
    </row>
    <row r="135" spans="1:3" ht="13.8" hidden="1" x14ac:dyDescent="0.25">
      <c r="A135" s="1416"/>
      <c r="B135" s="689"/>
      <c r="C135" s="1417"/>
    </row>
    <row r="136" spans="1:3" ht="13.8" hidden="1" x14ac:dyDescent="0.25">
      <c r="A136" s="1416"/>
      <c r="B136" s="689"/>
      <c r="C136" s="1417"/>
    </row>
    <row r="137" spans="1:3" s="688" customFormat="1" ht="45" hidden="1" customHeight="1" x14ac:dyDescent="0.25">
      <c r="A137" s="1418" t="s">
        <v>1221</v>
      </c>
      <c r="B137" s="690" t="s">
        <v>1220</v>
      </c>
      <c r="C137" s="1419">
        <f>SUM(C138:C142)</f>
        <v>0</v>
      </c>
    </row>
    <row r="138" spans="1:3" ht="13.8" hidden="1" x14ac:dyDescent="0.25">
      <c r="A138" s="1416"/>
      <c r="B138" s="689"/>
      <c r="C138" s="1417"/>
    </row>
    <row r="139" spans="1:3" ht="13.8" hidden="1" x14ac:dyDescent="0.25">
      <c r="A139" s="1416"/>
      <c r="B139" s="689"/>
      <c r="C139" s="1417"/>
    </row>
    <row r="140" spans="1:3" ht="13.8" hidden="1" x14ac:dyDescent="0.25">
      <c r="A140" s="1416"/>
      <c r="B140" s="689"/>
      <c r="C140" s="1417"/>
    </row>
    <row r="141" spans="1:3" ht="13.8" hidden="1" x14ac:dyDescent="0.25">
      <c r="A141" s="1416"/>
      <c r="B141" s="689"/>
      <c r="C141" s="1417"/>
    </row>
    <row r="142" spans="1:3" ht="13.8" hidden="1" x14ac:dyDescent="0.25">
      <c r="A142" s="1416"/>
      <c r="B142" s="689"/>
      <c r="C142" s="1417"/>
    </row>
    <row r="143" spans="1:3" s="688" customFormat="1" ht="45" hidden="1" customHeight="1" x14ac:dyDescent="0.25">
      <c r="A143" s="1418" t="s">
        <v>1219</v>
      </c>
      <c r="B143" s="690" t="s">
        <v>1218</v>
      </c>
      <c r="C143" s="1419">
        <f>SUM(C144:C148)</f>
        <v>0</v>
      </c>
    </row>
    <row r="144" spans="1:3" ht="13.8" hidden="1" x14ac:dyDescent="0.25">
      <c r="A144" s="1416"/>
      <c r="B144" s="689"/>
      <c r="C144" s="1417"/>
    </row>
    <row r="145" spans="1:3" ht="13.8" hidden="1" x14ac:dyDescent="0.25">
      <c r="A145" s="1416"/>
      <c r="B145" s="689"/>
      <c r="C145" s="1417"/>
    </row>
    <row r="146" spans="1:3" ht="13.8" hidden="1" x14ac:dyDescent="0.25">
      <c r="A146" s="1416"/>
      <c r="B146" s="689"/>
      <c r="C146" s="1417"/>
    </row>
    <row r="147" spans="1:3" ht="13.8" hidden="1" x14ac:dyDescent="0.25">
      <c r="A147" s="1416"/>
      <c r="B147" s="689"/>
      <c r="C147" s="1417"/>
    </row>
    <row r="148" spans="1:3" ht="13.8" hidden="1" x14ac:dyDescent="0.25">
      <c r="A148" s="1416"/>
      <c r="B148" s="689"/>
      <c r="C148" s="1417"/>
    </row>
    <row r="149" spans="1:3" s="688" customFormat="1" ht="45" customHeight="1" x14ac:dyDescent="0.25">
      <c r="A149" s="1418" t="s">
        <v>904</v>
      </c>
      <c r="B149" s="690" t="s">
        <v>1215</v>
      </c>
      <c r="C149" s="1419">
        <f>SUM(C150:C157)</f>
        <v>2935589</v>
      </c>
    </row>
    <row r="150" spans="1:3" ht="13.8" x14ac:dyDescent="0.25">
      <c r="A150" s="1421">
        <v>1211</v>
      </c>
      <c r="B150" s="689" t="s">
        <v>380</v>
      </c>
      <c r="C150" s="1417">
        <f>SUM('1. mell 2 pont '!D116)</f>
        <v>0</v>
      </c>
    </row>
    <row r="151" spans="1:3" ht="13.8" x14ac:dyDescent="0.25">
      <c r="A151" s="1421">
        <v>1077</v>
      </c>
      <c r="B151" s="689" t="s">
        <v>1305</v>
      </c>
      <c r="C151" s="1417">
        <f>SUM('1. mell 2 pont '!D38)</f>
        <v>633877</v>
      </c>
    </row>
    <row r="152" spans="1:3" ht="13.8" x14ac:dyDescent="0.25">
      <c r="A152" s="1416">
        <v>1092</v>
      </c>
      <c r="B152" s="689" t="s">
        <v>984</v>
      </c>
      <c r="C152" s="1417">
        <f>SUM('1. mell 2 pont '!D47)</f>
        <v>1673262</v>
      </c>
    </row>
    <row r="153" spans="1:3" ht="13.8" x14ac:dyDescent="0.25">
      <c r="A153" s="1416">
        <v>1103</v>
      </c>
      <c r="B153" s="689" t="s">
        <v>986</v>
      </c>
      <c r="C153" s="1417">
        <f>SUM('1. mell 2 pont '!D58)</f>
        <v>97924</v>
      </c>
    </row>
    <row r="154" spans="1:3" ht="13.8" x14ac:dyDescent="0.25">
      <c r="A154" s="1416">
        <v>1123</v>
      </c>
      <c r="B154" s="689" t="s">
        <v>1283</v>
      </c>
      <c r="C154" s="1417">
        <f>SUM('1. mell 2 pont '!D64)</f>
        <v>478220</v>
      </c>
    </row>
    <row r="155" spans="1:3" ht="13.8" x14ac:dyDescent="0.25">
      <c r="A155" s="1416">
        <v>1151</v>
      </c>
      <c r="B155" s="689" t="s">
        <v>442</v>
      </c>
      <c r="C155" s="1417">
        <f>SUM('1. mell 2 pont '!D70)</f>
        <v>38531</v>
      </c>
    </row>
    <row r="156" spans="1:3" ht="13.8" x14ac:dyDescent="0.25">
      <c r="A156" s="1416">
        <v>1162</v>
      </c>
      <c r="B156" s="689" t="s">
        <v>264</v>
      </c>
      <c r="C156" s="1417">
        <f>SUM('1. mell 2 pont '!D76)</f>
        <v>13775</v>
      </c>
    </row>
    <row r="157" spans="1:3" ht="13.8" x14ac:dyDescent="0.25">
      <c r="A157" s="1416"/>
      <c r="B157" s="689"/>
      <c r="C157" s="1417"/>
    </row>
    <row r="158" spans="1:3" s="688" customFormat="1" ht="45" hidden="1" customHeight="1" x14ac:dyDescent="0.25">
      <c r="A158" s="1418" t="s">
        <v>1214</v>
      </c>
      <c r="B158" s="690" t="s">
        <v>1213</v>
      </c>
      <c r="C158" s="1419">
        <f>SUM(C159:C163)</f>
        <v>0</v>
      </c>
    </row>
    <row r="159" spans="1:3" ht="13.8" hidden="1" x14ac:dyDescent="0.25">
      <c r="A159" s="1416"/>
      <c r="B159" s="689"/>
      <c r="C159" s="1417"/>
    </row>
    <row r="160" spans="1:3" ht="13.8" hidden="1" x14ac:dyDescent="0.25">
      <c r="A160" s="1416"/>
      <c r="B160" s="689"/>
      <c r="C160" s="1417"/>
    </row>
    <row r="161" spans="1:3" ht="13.8" hidden="1" x14ac:dyDescent="0.25">
      <c r="A161" s="1416"/>
      <c r="B161" s="689"/>
      <c r="C161" s="1417"/>
    </row>
    <row r="162" spans="1:3" ht="13.8" hidden="1" x14ac:dyDescent="0.25">
      <c r="A162" s="1416"/>
      <c r="B162" s="689"/>
      <c r="C162" s="1417"/>
    </row>
    <row r="163" spans="1:3" ht="13.8" hidden="1" x14ac:dyDescent="0.25">
      <c r="A163" s="1416"/>
      <c r="B163" s="689"/>
      <c r="C163" s="1417"/>
    </row>
    <row r="164" spans="1:3" s="688" customFormat="1" ht="45" hidden="1" customHeight="1" x14ac:dyDescent="0.25">
      <c r="A164" s="1418" t="s">
        <v>1212</v>
      </c>
      <c r="B164" s="690" t="s">
        <v>1211</v>
      </c>
      <c r="C164" s="1419">
        <f>SUM(C165:C169)</f>
        <v>0</v>
      </c>
    </row>
    <row r="165" spans="1:3" ht="13.8" hidden="1" x14ac:dyDescent="0.25">
      <c r="A165" s="1416"/>
      <c r="B165" s="689"/>
      <c r="C165" s="1417"/>
    </row>
    <row r="166" spans="1:3" ht="13.8" hidden="1" x14ac:dyDescent="0.25">
      <c r="A166" s="1416"/>
      <c r="B166" s="689"/>
      <c r="C166" s="1417"/>
    </row>
    <row r="167" spans="1:3" ht="13.8" hidden="1" x14ac:dyDescent="0.25">
      <c r="A167" s="1416"/>
      <c r="B167" s="689"/>
      <c r="C167" s="1417"/>
    </row>
    <row r="168" spans="1:3" ht="13.8" hidden="1" x14ac:dyDescent="0.25">
      <c r="A168" s="1416"/>
      <c r="B168" s="689"/>
      <c r="C168" s="1417"/>
    </row>
    <row r="169" spans="1:3" ht="13.8" hidden="1" x14ac:dyDescent="0.25">
      <c r="A169" s="1416"/>
      <c r="B169" s="689"/>
      <c r="C169" s="1417"/>
    </row>
    <row r="170" spans="1:3" s="688" customFormat="1" ht="45" hidden="1" customHeight="1" x14ac:dyDescent="0.25">
      <c r="A170" s="1418" t="s">
        <v>905</v>
      </c>
      <c r="B170" s="690" t="s">
        <v>906</v>
      </c>
      <c r="C170" s="1419">
        <f>SUM(C171:C175)</f>
        <v>0</v>
      </c>
    </row>
    <row r="171" spans="1:3" ht="13.8" hidden="1" x14ac:dyDescent="0.25">
      <c r="A171" s="1416"/>
      <c r="B171" s="689"/>
      <c r="C171" s="1417"/>
    </row>
    <row r="172" spans="1:3" ht="13.8" hidden="1" x14ac:dyDescent="0.25">
      <c r="A172" s="1416"/>
      <c r="B172" s="689"/>
      <c r="C172" s="1417"/>
    </row>
    <row r="173" spans="1:3" ht="13.8" hidden="1" x14ac:dyDescent="0.25">
      <c r="A173" s="1416"/>
      <c r="B173" s="689"/>
      <c r="C173" s="1417"/>
    </row>
    <row r="174" spans="1:3" ht="13.8" hidden="1" x14ac:dyDescent="0.25">
      <c r="A174" s="1416"/>
      <c r="B174" s="689"/>
      <c r="C174" s="1417"/>
    </row>
    <row r="175" spans="1:3" ht="13.8" hidden="1" x14ac:dyDescent="0.25">
      <c r="A175" s="1416"/>
      <c r="B175" s="689"/>
      <c r="C175" s="1417"/>
    </row>
    <row r="176" spans="1:3" s="688" customFormat="1" ht="45" customHeight="1" x14ac:dyDescent="0.25">
      <c r="A176" s="1418" t="s">
        <v>1207</v>
      </c>
      <c r="B176" s="690" t="s">
        <v>1206</v>
      </c>
      <c r="C176" s="1419">
        <f>SUM(C177:C181)</f>
        <v>17000</v>
      </c>
    </row>
    <row r="177" spans="1:3" ht="13.8" x14ac:dyDescent="0.25">
      <c r="A177" s="1416"/>
      <c r="B177" s="689" t="s">
        <v>1282</v>
      </c>
      <c r="C177" s="1417">
        <f>SUM('1. mell 2 pont '!D176)</f>
        <v>2000</v>
      </c>
    </row>
    <row r="178" spans="1:3" ht="13.8" x14ac:dyDescent="0.25">
      <c r="A178" s="1416">
        <v>1201</v>
      </c>
      <c r="B178" s="689" t="s">
        <v>1281</v>
      </c>
      <c r="C178" s="1417">
        <f>SUM('1. mell 2 pont '!D112)</f>
        <v>0</v>
      </c>
    </row>
    <row r="179" spans="1:3" ht="13.8" x14ac:dyDescent="0.25">
      <c r="A179" s="1416">
        <v>1202</v>
      </c>
      <c r="B179" s="689" t="s">
        <v>1280</v>
      </c>
      <c r="C179" s="1417">
        <f>SUM('1. mell 2 pont '!D113)</f>
        <v>15000</v>
      </c>
    </row>
    <row r="180" spans="1:3" ht="13.8" x14ac:dyDescent="0.25">
      <c r="A180" s="1416"/>
      <c r="B180" s="689"/>
      <c r="C180" s="1417"/>
    </row>
    <row r="181" spans="1:3" ht="13.8" x14ac:dyDescent="0.25">
      <c r="A181" s="1416"/>
      <c r="B181" s="689"/>
      <c r="C181" s="1417"/>
    </row>
    <row r="182" spans="1:3" s="688" customFormat="1" ht="45" customHeight="1" x14ac:dyDescent="0.25">
      <c r="A182" s="1418" t="s">
        <v>1203</v>
      </c>
      <c r="B182" s="690" t="s">
        <v>1202</v>
      </c>
      <c r="C182" s="1419">
        <f>SUM(C183:C187)</f>
        <v>213158</v>
      </c>
    </row>
    <row r="183" spans="1:3" ht="13.8" x14ac:dyDescent="0.25">
      <c r="A183" s="1416">
        <v>1166</v>
      </c>
      <c r="B183" s="689" t="s">
        <v>284</v>
      </c>
      <c r="C183" s="1417">
        <f>SUM('1. mell 2 pont '!D95)</f>
        <v>69767</v>
      </c>
    </row>
    <row r="184" spans="1:3" ht="13.8" x14ac:dyDescent="0.25">
      <c r="A184" s="1416">
        <v>1167</v>
      </c>
      <c r="B184" s="689" t="s">
        <v>285</v>
      </c>
      <c r="C184" s="1417">
        <f>SUM('1. mell 2 pont '!D96)</f>
        <v>62704</v>
      </c>
    </row>
    <row r="185" spans="1:3" ht="13.8" x14ac:dyDescent="0.25">
      <c r="A185" s="1416">
        <v>1168</v>
      </c>
      <c r="B185" s="689" t="s">
        <v>286</v>
      </c>
      <c r="C185" s="1417">
        <f>SUM('1. mell 2 pont '!D97)</f>
        <v>52136</v>
      </c>
    </row>
    <row r="186" spans="1:3" ht="13.8" x14ac:dyDescent="0.25">
      <c r="A186" s="1416">
        <v>1169</v>
      </c>
      <c r="B186" s="689" t="s">
        <v>430</v>
      </c>
      <c r="C186" s="1417">
        <f>SUM('1. mell 2 pont '!D98)</f>
        <v>28551</v>
      </c>
    </row>
    <row r="187" spans="1:3" ht="13.8" x14ac:dyDescent="0.25">
      <c r="A187" s="1416"/>
      <c r="B187" s="689"/>
      <c r="C187" s="1417"/>
    </row>
    <row r="188" spans="1:3" s="688" customFormat="1" ht="45" hidden="1" customHeight="1" x14ac:dyDescent="0.25">
      <c r="A188" s="1418" t="s">
        <v>909</v>
      </c>
      <c r="B188" s="690" t="s">
        <v>910</v>
      </c>
      <c r="C188" s="1419">
        <f>SUM(C189:C193)</f>
        <v>0</v>
      </c>
    </row>
    <row r="189" spans="1:3" ht="13.8" hidden="1" x14ac:dyDescent="0.25">
      <c r="A189" s="1416"/>
      <c r="B189" s="689"/>
      <c r="C189" s="1417"/>
    </row>
    <row r="190" spans="1:3" ht="13.8" hidden="1" x14ac:dyDescent="0.25">
      <c r="A190" s="1416"/>
      <c r="B190" s="689"/>
      <c r="C190" s="1417"/>
    </row>
    <row r="191" spans="1:3" ht="13.8" hidden="1" x14ac:dyDescent="0.25">
      <c r="A191" s="1416"/>
      <c r="B191" s="689"/>
      <c r="C191" s="1417"/>
    </row>
    <row r="192" spans="1:3" ht="13.8" hidden="1" x14ac:dyDescent="0.25">
      <c r="A192" s="1416"/>
      <c r="B192" s="689"/>
      <c r="C192" s="1417"/>
    </row>
    <row r="193" spans="1:3" ht="13.8" hidden="1" x14ac:dyDescent="0.25">
      <c r="A193" s="1416"/>
      <c r="B193" s="689"/>
      <c r="C193" s="1417"/>
    </row>
    <row r="194" spans="1:3" s="688" customFormat="1" ht="45" hidden="1" customHeight="1" x14ac:dyDescent="0.25">
      <c r="A194" s="1418" t="s">
        <v>911</v>
      </c>
      <c r="B194" s="690" t="s">
        <v>912</v>
      </c>
      <c r="C194" s="1419">
        <f>SUM(C195:C199)</f>
        <v>0</v>
      </c>
    </row>
    <row r="195" spans="1:3" ht="13.8" hidden="1" x14ac:dyDescent="0.25">
      <c r="A195" s="1416"/>
      <c r="B195" s="689"/>
      <c r="C195" s="1417"/>
    </row>
    <row r="196" spans="1:3" ht="13.8" hidden="1" x14ac:dyDescent="0.25">
      <c r="A196" s="1416"/>
      <c r="B196" s="689"/>
      <c r="C196" s="1417"/>
    </row>
    <row r="197" spans="1:3" ht="13.8" hidden="1" x14ac:dyDescent="0.25">
      <c r="A197" s="1416"/>
      <c r="B197" s="689"/>
      <c r="C197" s="1417"/>
    </row>
    <row r="198" spans="1:3" ht="13.8" hidden="1" x14ac:dyDescent="0.25">
      <c r="A198" s="1416"/>
      <c r="B198" s="689"/>
      <c r="C198" s="1417"/>
    </row>
    <row r="199" spans="1:3" ht="13.8" hidden="1" x14ac:dyDescent="0.25">
      <c r="A199" s="1416"/>
      <c r="B199" s="689"/>
      <c r="C199" s="1417"/>
    </row>
    <row r="200" spans="1:3" s="688" customFormat="1" ht="45" customHeight="1" x14ac:dyDescent="0.25">
      <c r="A200" s="1418" t="s">
        <v>1179</v>
      </c>
      <c r="B200" s="690" t="s">
        <v>1178</v>
      </c>
      <c r="C200" s="1419">
        <f>SUM(C201:C205)</f>
        <v>168775</v>
      </c>
    </row>
    <row r="201" spans="1:3" ht="13.8" x14ac:dyDescent="0.25">
      <c r="A201" s="1420">
        <v>2987</v>
      </c>
      <c r="B201" s="689" t="s">
        <v>343</v>
      </c>
      <c r="C201" s="1417">
        <v>168775</v>
      </c>
    </row>
    <row r="202" spans="1:3" ht="13.8" hidden="1" x14ac:dyDescent="0.25">
      <c r="A202" s="1416"/>
      <c r="B202" s="689"/>
      <c r="C202" s="1417"/>
    </row>
    <row r="203" spans="1:3" ht="13.8" hidden="1" x14ac:dyDescent="0.25">
      <c r="A203" s="1416"/>
      <c r="B203" s="689"/>
      <c r="C203" s="1417"/>
    </row>
    <row r="204" spans="1:3" ht="13.8" hidden="1" x14ac:dyDescent="0.25">
      <c r="A204" s="1416"/>
      <c r="B204" s="689"/>
      <c r="C204" s="1417"/>
    </row>
    <row r="205" spans="1:3" ht="13.8" x14ac:dyDescent="0.25">
      <c r="A205" s="1416"/>
      <c r="B205" s="689"/>
      <c r="C205" s="1417"/>
    </row>
    <row r="206" spans="1:3" s="688" customFormat="1" ht="45" customHeight="1" x14ac:dyDescent="0.25">
      <c r="A206" s="1418" t="s">
        <v>913</v>
      </c>
      <c r="B206" s="690" t="s">
        <v>914</v>
      </c>
      <c r="C206" s="1419">
        <f>SUM(C207:C211)</f>
        <v>1756817</v>
      </c>
    </row>
    <row r="207" spans="1:3" ht="13.8" x14ac:dyDescent="0.25">
      <c r="A207" s="1420">
        <v>2987</v>
      </c>
      <c r="B207" s="689" t="s">
        <v>343</v>
      </c>
      <c r="C207" s="1417">
        <v>1756817</v>
      </c>
    </row>
    <row r="208" spans="1:3" ht="13.8" hidden="1" x14ac:dyDescent="0.25">
      <c r="A208" s="1416"/>
      <c r="B208" s="689"/>
      <c r="C208" s="1417"/>
    </row>
    <row r="209" spans="1:3" ht="13.8" hidden="1" x14ac:dyDescent="0.25">
      <c r="A209" s="1416"/>
      <c r="B209" s="689"/>
      <c r="C209" s="1417"/>
    </row>
    <row r="210" spans="1:3" ht="13.8" hidden="1" x14ac:dyDescent="0.25">
      <c r="A210" s="1416"/>
      <c r="B210" s="689"/>
      <c r="C210" s="1417"/>
    </row>
    <row r="211" spans="1:3" ht="13.8" x14ac:dyDescent="0.25">
      <c r="A211" s="1416"/>
      <c r="B211" s="689"/>
      <c r="C211" s="1417"/>
    </row>
    <row r="212" spans="1:3" s="688" customFormat="1" ht="45" customHeight="1" x14ac:dyDescent="0.25">
      <c r="A212" s="1418" t="s">
        <v>1176</v>
      </c>
      <c r="B212" s="690" t="s">
        <v>1175</v>
      </c>
      <c r="C212" s="1419">
        <f>SUM(C213:C217)</f>
        <v>208751</v>
      </c>
    </row>
    <row r="213" spans="1:3" ht="13.8" x14ac:dyDescent="0.25">
      <c r="A213" s="1420">
        <v>2987</v>
      </c>
      <c r="B213" s="689" t="s">
        <v>343</v>
      </c>
      <c r="C213" s="1417">
        <v>208751</v>
      </c>
    </row>
    <row r="214" spans="1:3" ht="13.8" hidden="1" x14ac:dyDescent="0.25">
      <c r="A214" s="1416"/>
      <c r="B214" s="689"/>
      <c r="C214" s="1417"/>
    </row>
    <row r="215" spans="1:3" ht="13.8" hidden="1" x14ac:dyDescent="0.25">
      <c r="A215" s="1416"/>
      <c r="B215" s="689"/>
      <c r="C215" s="1417"/>
    </row>
    <row r="216" spans="1:3" ht="13.8" hidden="1" x14ac:dyDescent="0.25">
      <c r="A216" s="1416"/>
      <c r="B216" s="689"/>
      <c r="C216" s="1417"/>
    </row>
    <row r="217" spans="1:3" ht="13.8" x14ac:dyDescent="0.25">
      <c r="A217" s="1416"/>
      <c r="B217" s="689"/>
      <c r="C217" s="1417"/>
    </row>
    <row r="218" spans="1:3" s="688" customFormat="1" ht="45" hidden="1" customHeight="1" x14ac:dyDescent="0.25">
      <c r="A218" s="1418" t="s">
        <v>1174</v>
      </c>
      <c r="B218" s="690" t="s">
        <v>1173</v>
      </c>
      <c r="C218" s="1419">
        <f>SUM(C219:C223)</f>
        <v>0</v>
      </c>
    </row>
    <row r="219" spans="1:3" ht="13.8" hidden="1" x14ac:dyDescent="0.25">
      <c r="A219" s="1416"/>
      <c r="B219" s="689"/>
      <c r="C219" s="1417"/>
    </row>
    <row r="220" spans="1:3" ht="13.8" hidden="1" x14ac:dyDescent="0.25">
      <c r="A220" s="1416"/>
      <c r="B220" s="689"/>
      <c r="C220" s="1417"/>
    </row>
    <row r="221" spans="1:3" ht="13.8" hidden="1" x14ac:dyDescent="0.25">
      <c r="A221" s="1416"/>
      <c r="B221" s="689"/>
      <c r="C221" s="1417"/>
    </row>
    <row r="222" spans="1:3" ht="13.8" hidden="1" x14ac:dyDescent="0.25">
      <c r="A222" s="1416"/>
      <c r="B222" s="689"/>
      <c r="C222" s="1417"/>
    </row>
    <row r="223" spans="1:3" ht="13.8" hidden="1" x14ac:dyDescent="0.25">
      <c r="A223" s="1416"/>
      <c r="B223" s="689"/>
      <c r="C223" s="1417"/>
    </row>
    <row r="224" spans="1:3" s="688" customFormat="1" ht="45" customHeight="1" x14ac:dyDescent="0.25">
      <c r="A224" s="1418" t="s">
        <v>1172</v>
      </c>
      <c r="B224" s="690" t="s">
        <v>1171</v>
      </c>
      <c r="C224" s="1419">
        <f>SUM(C225:C229)</f>
        <v>195791</v>
      </c>
    </row>
    <row r="225" spans="1:3" ht="13.8" x14ac:dyDescent="0.25">
      <c r="A225" s="1420">
        <v>2987</v>
      </c>
      <c r="B225" s="689" t="s">
        <v>343</v>
      </c>
      <c r="C225" s="1417">
        <v>195791</v>
      </c>
    </row>
    <row r="226" spans="1:3" ht="13.8" hidden="1" x14ac:dyDescent="0.25">
      <c r="A226" s="1416"/>
      <c r="B226" s="689"/>
      <c r="C226" s="1417"/>
    </row>
    <row r="227" spans="1:3" ht="13.8" hidden="1" x14ac:dyDescent="0.25">
      <c r="A227" s="1416"/>
      <c r="B227" s="689"/>
      <c r="C227" s="1417"/>
    </row>
    <row r="228" spans="1:3" ht="13.8" hidden="1" x14ac:dyDescent="0.25">
      <c r="A228" s="1416"/>
      <c r="B228" s="689"/>
      <c r="C228" s="1417"/>
    </row>
    <row r="229" spans="1:3" ht="13.8" x14ac:dyDescent="0.25">
      <c r="A229" s="1416"/>
      <c r="B229" s="689"/>
      <c r="C229" s="1417"/>
    </row>
    <row r="230" spans="1:3" s="688" customFormat="1" ht="45" customHeight="1" x14ac:dyDescent="0.25">
      <c r="A230" s="1418" t="s">
        <v>1170</v>
      </c>
      <c r="B230" s="690" t="s">
        <v>1169</v>
      </c>
      <c r="C230" s="1419">
        <f>SUM(C231:C235)</f>
        <v>24987</v>
      </c>
    </row>
    <row r="231" spans="1:3" ht="13.8" x14ac:dyDescent="0.25">
      <c r="A231" s="1420">
        <v>2987</v>
      </c>
      <c r="B231" s="689" t="s">
        <v>343</v>
      </c>
      <c r="C231" s="1417">
        <v>24987</v>
      </c>
    </row>
    <row r="232" spans="1:3" ht="13.8" hidden="1" x14ac:dyDescent="0.25">
      <c r="A232" s="1416"/>
      <c r="B232" s="689"/>
      <c r="C232" s="1417"/>
    </row>
    <row r="233" spans="1:3" ht="13.8" hidden="1" x14ac:dyDescent="0.25">
      <c r="A233" s="1416"/>
      <c r="B233" s="689"/>
      <c r="C233" s="1417"/>
    </row>
    <row r="234" spans="1:3" ht="13.8" hidden="1" x14ac:dyDescent="0.25">
      <c r="A234" s="1416"/>
      <c r="B234" s="689"/>
      <c r="C234" s="1417"/>
    </row>
    <row r="235" spans="1:3" ht="13.8" x14ac:dyDescent="0.25">
      <c r="A235" s="1416"/>
      <c r="B235" s="689"/>
      <c r="C235" s="1417"/>
    </row>
    <row r="236" spans="1:3" s="688" customFormat="1" ht="45" hidden="1" customHeight="1" x14ac:dyDescent="0.25">
      <c r="A236" s="1418" t="s">
        <v>1168</v>
      </c>
      <c r="B236" s="690" t="s">
        <v>1167</v>
      </c>
      <c r="C236" s="1419">
        <f>SUM(C237:C241)</f>
        <v>0</v>
      </c>
    </row>
    <row r="237" spans="1:3" ht="13.8" hidden="1" x14ac:dyDescent="0.25">
      <c r="A237" s="1416"/>
      <c r="B237" s="689"/>
      <c r="C237" s="1417"/>
    </row>
    <row r="238" spans="1:3" ht="13.8" hidden="1" x14ac:dyDescent="0.25">
      <c r="A238" s="1416"/>
      <c r="B238" s="689"/>
      <c r="C238" s="1417"/>
    </row>
    <row r="239" spans="1:3" ht="13.8" hidden="1" x14ac:dyDescent="0.25">
      <c r="A239" s="1416"/>
      <c r="B239" s="689"/>
      <c r="C239" s="1417"/>
    </row>
    <row r="240" spans="1:3" ht="13.8" hidden="1" x14ac:dyDescent="0.25">
      <c r="A240" s="1416"/>
      <c r="B240" s="689"/>
      <c r="C240" s="1417"/>
    </row>
    <row r="241" spans="1:3" ht="13.8" hidden="1" x14ac:dyDescent="0.25">
      <c r="A241" s="1416"/>
      <c r="B241" s="689"/>
      <c r="C241" s="1417"/>
    </row>
    <row r="242" spans="1:3" s="688" customFormat="1" ht="45" hidden="1" customHeight="1" x14ac:dyDescent="0.25">
      <c r="A242" s="1418" t="s">
        <v>1166</v>
      </c>
      <c r="B242" s="690" t="s">
        <v>1165</v>
      </c>
      <c r="C242" s="1419">
        <f>SUM(C243:C247)</f>
        <v>0</v>
      </c>
    </row>
    <row r="243" spans="1:3" ht="13.8" hidden="1" x14ac:dyDescent="0.25">
      <c r="A243" s="1416"/>
      <c r="B243" s="689"/>
      <c r="C243" s="1417"/>
    </row>
    <row r="244" spans="1:3" ht="13.8" hidden="1" x14ac:dyDescent="0.25">
      <c r="A244" s="1416"/>
      <c r="B244" s="689"/>
      <c r="C244" s="1417"/>
    </row>
    <row r="245" spans="1:3" ht="13.8" hidden="1" x14ac:dyDescent="0.25">
      <c r="A245" s="1416"/>
      <c r="B245" s="689"/>
      <c r="C245" s="1417"/>
    </row>
    <row r="246" spans="1:3" ht="13.8" hidden="1" x14ac:dyDescent="0.25">
      <c r="A246" s="1416"/>
      <c r="B246" s="689"/>
      <c r="C246" s="1417"/>
    </row>
    <row r="247" spans="1:3" ht="13.8" hidden="1" x14ac:dyDescent="0.25">
      <c r="A247" s="1416"/>
      <c r="B247" s="689"/>
      <c r="C247" s="1417"/>
    </row>
    <row r="248" spans="1:3" s="688" customFormat="1" ht="45" customHeight="1" x14ac:dyDescent="0.25">
      <c r="A248" s="1418" t="s">
        <v>1164</v>
      </c>
      <c r="B248" s="690" t="s">
        <v>1163</v>
      </c>
      <c r="C248" s="1419">
        <f>SUM(C249:C253)</f>
        <v>44107</v>
      </c>
    </row>
    <row r="249" spans="1:3" ht="13.8" x14ac:dyDescent="0.25">
      <c r="A249" s="1420">
        <v>2987</v>
      </c>
      <c r="B249" s="689" t="s">
        <v>343</v>
      </c>
      <c r="C249" s="1417">
        <v>44107</v>
      </c>
    </row>
    <row r="250" spans="1:3" ht="13.8" hidden="1" x14ac:dyDescent="0.25">
      <c r="A250" s="1416"/>
      <c r="B250" s="689"/>
      <c r="C250" s="1417"/>
    </row>
    <row r="251" spans="1:3" ht="13.8" hidden="1" x14ac:dyDescent="0.25">
      <c r="A251" s="1416"/>
      <c r="B251" s="689"/>
      <c r="C251" s="1417"/>
    </row>
    <row r="252" spans="1:3" ht="13.8" hidden="1" x14ac:dyDescent="0.25">
      <c r="A252" s="1416"/>
      <c r="B252" s="689"/>
      <c r="C252" s="1417"/>
    </row>
    <row r="253" spans="1:3" ht="13.8" x14ac:dyDescent="0.25">
      <c r="A253" s="1416"/>
      <c r="B253" s="689"/>
      <c r="C253" s="1417"/>
    </row>
    <row r="254" spans="1:3" s="688" customFormat="1" ht="45" customHeight="1" x14ac:dyDescent="0.25">
      <c r="A254" s="1418" t="s">
        <v>1162</v>
      </c>
      <c r="B254" s="690" t="s">
        <v>1161</v>
      </c>
      <c r="C254" s="1419">
        <f>SUM(C255:C259)</f>
        <v>8227</v>
      </c>
    </row>
    <row r="255" spans="1:3" ht="13.8" x14ac:dyDescent="0.25">
      <c r="A255" s="1420">
        <v>2987</v>
      </c>
      <c r="B255" s="689" t="s">
        <v>343</v>
      </c>
      <c r="C255" s="1417">
        <v>8227</v>
      </c>
    </row>
    <row r="256" spans="1:3" ht="13.8" hidden="1" x14ac:dyDescent="0.25">
      <c r="A256" s="1416"/>
      <c r="B256" s="689"/>
      <c r="C256" s="1417"/>
    </row>
    <row r="257" spans="1:3" ht="13.8" hidden="1" x14ac:dyDescent="0.25">
      <c r="A257" s="1416"/>
      <c r="B257" s="689"/>
      <c r="C257" s="1417"/>
    </row>
    <row r="258" spans="1:3" ht="13.8" hidden="1" x14ac:dyDescent="0.25">
      <c r="A258" s="1416"/>
      <c r="B258" s="689"/>
      <c r="C258" s="1417"/>
    </row>
    <row r="259" spans="1:3" ht="13.8" x14ac:dyDescent="0.25">
      <c r="A259" s="1416"/>
      <c r="B259" s="689"/>
      <c r="C259" s="1417"/>
    </row>
    <row r="260" spans="1:3" s="688" customFormat="1" ht="45" customHeight="1" x14ac:dyDescent="0.25">
      <c r="A260" s="1418" t="s">
        <v>1160</v>
      </c>
      <c r="B260" s="690" t="s">
        <v>1159</v>
      </c>
      <c r="C260" s="1419">
        <f>SUM(C261:C265)</f>
        <v>220414</v>
      </c>
    </row>
    <row r="261" spans="1:3" ht="13.8" x14ac:dyDescent="0.25">
      <c r="A261" s="1420">
        <v>2987</v>
      </c>
      <c r="B261" s="689" t="s">
        <v>343</v>
      </c>
      <c r="C261" s="1417">
        <v>220414</v>
      </c>
    </row>
    <row r="262" spans="1:3" ht="13.8" hidden="1" x14ac:dyDescent="0.25">
      <c r="A262" s="1416"/>
      <c r="B262" s="689"/>
      <c r="C262" s="1417"/>
    </row>
    <row r="263" spans="1:3" ht="13.8" hidden="1" x14ac:dyDescent="0.25">
      <c r="A263" s="1416"/>
      <c r="B263" s="689"/>
      <c r="C263" s="1417"/>
    </row>
    <row r="264" spans="1:3" ht="13.8" hidden="1" x14ac:dyDescent="0.25">
      <c r="A264" s="1416"/>
      <c r="B264" s="689"/>
      <c r="C264" s="1417"/>
    </row>
    <row r="265" spans="1:3" ht="13.8" x14ac:dyDescent="0.25">
      <c r="A265" s="1416"/>
      <c r="B265" s="689"/>
      <c r="C265" s="1417"/>
    </row>
    <row r="266" spans="1:3" s="688" customFormat="1" ht="45" hidden="1" customHeight="1" x14ac:dyDescent="0.25">
      <c r="A266" s="1418" t="s">
        <v>916</v>
      </c>
      <c r="B266" s="690" t="s">
        <v>1158</v>
      </c>
      <c r="C266" s="1419">
        <f>SUM(C267:C271)</f>
        <v>0</v>
      </c>
    </row>
    <row r="267" spans="1:3" ht="13.8" hidden="1" x14ac:dyDescent="0.25">
      <c r="A267" s="1416"/>
      <c r="B267" s="689"/>
      <c r="C267" s="1417"/>
    </row>
    <row r="268" spans="1:3" ht="13.8" hidden="1" x14ac:dyDescent="0.25">
      <c r="A268" s="1416"/>
      <c r="B268" s="689"/>
      <c r="C268" s="1417"/>
    </row>
    <row r="269" spans="1:3" ht="13.8" hidden="1" x14ac:dyDescent="0.25">
      <c r="A269" s="1416"/>
      <c r="B269" s="689"/>
      <c r="C269" s="1417"/>
    </row>
    <row r="270" spans="1:3" ht="13.8" hidden="1" x14ac:dyDescent="0.25">
      <c r="A270" s="1416"/>
      <c r="B270" s="689"/>
      <c r="C270" s="1417"/>
    </row>
    <row r="271" spans="1:3" ht="13.8" hidden="1" x14ac:dyDescent="0.25">
      <c r="A271" s="1416"/>
      <c r="B271" s="689"/>
      <c r="C271" s="1417"/>
    </row>
    <row r="272" spans="1:3" s="688" customFormat="1" ht="45" hidden="1" customHeight="1" x14ac:dyDescent="0.25">
      <c r="A272" s="1418" t="s">
        <v>917</v>
      </c>
      <c r="B272" s="690" t="s">
        <v>918</v>
      </c>
      <c r="C272" s="1419">
        <f>SUM(C273:C277)</f>
        <v>0</v>
      </c>
    </row>
    <row r="273" spans="1:3" ht="13.8" hidden="1" x14ac:dyDescent="0.25">
      <c r="A273" s="1416"/>
      <c r="B273" s="689"/>
      <c r="C273" s="1417"/>
    </row>
    <row r="274" spans="1:3" ht="13.8" hidden="1" x14ac:dyDescent="0.25">
      <c r="A274" s="1416"/>
      <c r="B274" s="689"/>
      <c r="C274" s="1417"/>
    </row>
    <row r="275" spans="1:3" ht="13.8" hidden="1" x14ac:dyDescent="0.25">
      <c r="A275" s="1416"/>
      <c r="B275" s="689"/>
      <c r="C275" s="1417"/>
    </row>
    <row r="276" spans="1:3" ht="13.8" hidden="1" x14ac:dyDescent="0.25">
      <c r="A276" s="1416"/>
      <c r="B276" s="689"/>
      <c r="C276" s="1417"/>
    </row>
    <row r="277" spans="1:3" ht="13.8" hidden="1" x14ac:dyDescent="0.25">
      <c r="A277" s="1416"/>
      <c r="B277" s="689"/>
      <c r="C277" s="1417"/>
    </row>
    <row r="278" spans="1:3" s="688" customFormat="1" ht="45" hidden="1" customHeight="1" x14ac:dyDescent="0.25">
      <c r="A278" s="1418" t="s">
        <v>1157</v>
      </c>
      <c r="B278" s="690" t="s">
        <v>1156</v>
      </c>
      <c r="C278" s="1419">
        <f>SUM(C279:C283)</f>
        <v>0</v>
      </c>
    </row>
    <row r="279" spans="1:3" ht="13.8" hidden="1" x14ac:dyDescent="0.25">
      <c r="A279" s="1416"/>
      <c r="B279" s="689"/>
      <c r="C279" s="1417"/>
    </row>
    <row r="280" spans="1:3" ht="13.8" hidden="1" x14ac:dyDescent="0.25">
      <c r="A280" s="1416"/>
      <c r="B280" s="689"/>
      <c r="C280" s="1417"/>
    </row>
    <row r="281" spans="1:3" ht="13.8" hidden="1" x14ac:dyDescent="0.25">
      <c r="A281" s="1416"/>
      <c r="B281" s="689"/>
      <c r="C281" s="1417"/>
    </row>
    <row r="282" spans="1:3" ht="13.8" hidden="1" x14ac:dyDescent="0.25">
      <c r="A282" s="1416"/>
      <c r="B282" s="689"/>
      <c r="C282" s="1417"/>
    </row>
    <row r="283" spans="1:3" ht="13.8" hidden="1" x14ac:dyDescent="0.25">
      <c r="A283" s="1416"/>
      <c r="B283" s="689"/>
      <c r="C283" s="1417"/>
    </row>
    <row r="284" spans="1:3" s="688" customFormat="1" ht="45" hidden="1" customHeight="1" x14ac:dyDescent="0.25">
      <c r="A284" s="1418" t="s">
        <v>1155</v>
      </c>
      <c r="B284" s="690" t="s">
        <v>1154</v>
      </c>
      <c r="C284" s="1419">
        <f>SUM(C285:C289)</f>
        <v>0</v>
      </c>
    </row>
    <row r="285" spans="1:3" ht="13.8" hidden="1" x14ac:dyDescent="0.25">
      <c r="A285" s="1416"/>
      <c r="B285" s="689"/>
      <c r="C285" s="1417"/>
    </row>
    <row r="286" spans="1:3" ht="13.8" hidden="1" x14ac:dyDescent="0.25">
      <c r="A286" s="1416"/>
      <c r="B286" s="689"/>
      <c r="C286" s="1417"/>
    </row>
    <row r="287" spans="1:3" ht="13.8" hidden="1" x14ac:dyDescent="0.25">
      <c r="A287" s="1416"/>
      <c r="B287" s="689"/>
      <c r="C287" s="1417"/>
    </row>
    <row r="288" spans="1:3" ht="13.8" hidden="1" x14ac:dyDescent="0.25">
      <c r="A288" s="1416"/>
      <c r="B288" s="689"/>
      <c r="C288" s="1417"/>
    </row>
    <row r="289" spans="1:3" ht="13.8" hidden="1" x14ac:dyDescent="0.25">
      <c r="A289" s="1416"/>
      <c r="B289" s="689"/>
      <c r="C289" s="1417"/>
    </row>
    <row r="290" spans="1:3" s="688" customFormat="1" ht="45" hidden="1" customHeight="1" x14ac:dyDescent="0.25">
      <c r="A290" s="1418" t="s">
        <v>1153</v>
      </c>
      <c r="B290" s="690" t="s">
        <v>1152</v>
      </c>
      <c r="C290" s="1419">
        <f>SUM(C291:C295)</f>
        <v>0</v>
      </c>
    </row>
    <row r="291" spans="1:3" ht="13.8" hidden="1" x14ac:dyDescent="0.25">
      <c r="A291" s="1416"/>
      <c r="B291" s="689"/>
      <c r="C291" s="1417"/>
    </row>
    <row r="292" spans="1:3" ht="13.8" hidden="1" x14ac:dyDescent="0.25">
      <c r="A292" s="1416"/>
      <c r="B292" s="689"/>
      <c r="C292" s="1417"/>
    </row>
    <row r="293" spans="1:3" ht="13.8" hidden="1" x14ac:dyDescent="0.25">
      <c r="A293" s="1416"/>
      <c r="B293" s="689"/>
      <c r="C293" s="1417"/>
    </row>
    <row r="294" spans="1:3" ht="13.8" hidden="1" x14ac:dyDescent="0.25">
      <c r="A294" s="1416"/>
      <c r="B294" s="689"/>
      <c r="C294" s="1417"/>
    </row>
    <row r="295" spans="1:3" ht="13.8" hidden="1" x14ac:dyDescent="0.25">
      <c r="A295" s="1416"/>
      <c r="B295" s="689"/>
      <c r="C295" s="1417"/>
    </row>
    <row r="296" spans="1:3" s="688" customFormat="1" ht="45" hidden="1" customHeight="1" x14ac:dyDescent="0.25">
      <c r="A296" s="1418" t="s">
        <v>919</v>
      </c>
      <c r="B296" s="690" t="s">
        <v>920</v>
      </c>
      <c r="C296" s="1419">
        <f>SUM(C297:C301)</f>
        <v>0</v>
      </c>
    </row>
    <row r="297" spans="1:3" ht="13.8" hidden="1" x14ac:dyDescent="0.25">
      <c r="A297" s="1416"/>
      <c r="B297" s="689"/>
      <c r="C297" s="1417"/>
    </row>
    <row r="298" spans="1:3" ht="13.8" hidden="1" x14ac:dyDescent="0.25">
      <c r="A298" s="1416"/>
      <c r="B298" s="689"/>
      <c r="C298" s="1417"/>
    </row>
    <row r="299" spans="1:3" ht="13.8" hidden="1" x14ac:dyDescent="0.25">
      <c r="A299" s="1416"/>
      <c r="B299" s="689"/>
      <c r="C299" s="1417"/>
    </row>
    <row r="300" spans="1:3" ht="13.8" hidden="1" x14ac:dyDescent="0.25">
      <c r="A300" s="1416"/>
      <c r="B300" s="689"/>
      <c r="C300" s="1417"/>
    </row>
    <row r="301" spans="1:3" ht="13.8" hidden="1" x14ac:dyDescent="0.25">
      <c r="A301" s="1416"/>
      <c r="B301" s="689"/>
      <c r="C301" s="1417"/>
    </row>
    <row r="302" spans="1:3" s="688" customFormat="1" ht="45" hidden="1" customHeight="1" x14ac:dyDescent="0.25">
      <c r="A302" s="1418" t="s">
        <v>921</v>
      </c>
      <c r="B302" s="690" t="s">
        <v>922</v>
      </c>
      <c r="C302" s="1419">
        <f>SUM(C303:C307)</f>
        <v>0</v>
      </c>
    </row>
    <row r="303" spans="1:3" ht="13.8" hidden="1" x14ac:dyDescent="0.25">
      <c r="A303" s="1416"/>
      <c r="B303" s="689"/>
      <c r="C303" s="1417"/>
    </row>
    <row r="304" spans="1:3" ht="13.8" hidden="1" x14ac:dyDescent="0.25">
      <c r="A304" s="1416"/>
      <c r="B304" s="689"/>
      <c r="C304" s="1417"/>
    </row>
    <row r="305" spans="1:3" ht="13.8" hidden="1" x14ac:dyDescent="0.25">
      <c r="A305" s="1416"/>
      <c r="B305" s="689"/>
      <c r="C305" s="1417"/>
    </row>
    <row r="306" spans="1:3" ht="13.8" hidden="1" x14ac:dyDescent="0.25">
      <c r="A306" s="1416"/>
      <c r="B306" s="689"/>
      <c r="C306" s="1417"/>
    </row>
    <row r="307" spans="1:3" ht="13.8" hidden="1" x14ac:dyDescent="0.25">
      <c r="A307" s="1416"/>
      <c r="B307" s="689"/>
      <c r="C307" s="1417"/>
    </row>
    <row r="308" spans="1:3" s="688" customFormat="1" ht="45" hidden="1" customHeight="1" x14ac:dyDescent="0.25">
      <c r="A308" s="1418" t="s">
        <v>923</v>
      </c>
      <c r="B308" s="690" t="s">
        <v>924</v>
      </c>
      <c r="C308" s="1419">
        <f>SUM(C309:C313)</f>
        <v>0</v>
      </c>
    </row>
    <row r="309" spans="1:3" ht="13.8" hidden="1" x14ac:dyDescent="0.25">
      <c r="A309" s="1416"/>
      <c r="B309" s="689"/>
      <c r="C309" s="1417"/>
    </row>
    <row r="310" spans="1:3" ht="13.8" hidden="1" x14ac:dyDescent="0.25">
      <c r="A310" s="1416"/>
      <c r="B310" s="689"/>
      <c r="C310" s="1417"/>
    </row>
    <row r="311" spans="1:3" ht="13.8" hidden="1" x14ac:dyDescent="0.25">
      <c r="A311" s="1416"/>
      <c r="B311" s="689"/>
      <c r="C311" s="1417"/>
    </row>
    <row r="312" spans="1:3" ht="13.8" hidden="1" x14ac:dyDescent="0.25">
      <c r="A312" s="1416"/>
      <c r="B312" s="689"/>
      <c r="C312" s="1417"/>
    </row>
    <row r="313" spans="1:3" ht="13.8" hidden="1" x14ac:dyDescent="0.25">
      <c r="A313" s="1416"/>
      <c r="B313" s="689"/>
      <c r="C313" s="1417"/>
    </row>
    <row r="314" spans="1:3" s="688" customFormat="1" ht="45" customHeight="1" x14ac:dyDescent="0.25">
      <c r="A314" s="1418" t="s">
        <v>925</v>
      </c>
      <c r="B314" s="690" t="s">
        <v>1146</v>
      </c>
      <c r="C314" s="1419">
        <f>SUM(C315:C319)</f>
        <v>29210</v>
      </c>
    </row>
    <row r="315" spans="1:3" ht="13.8" x14ac:dyDescent="0.25">
      <c r="A315" s="1420">
        <v>2795</v>
      </c>
      <c r="B315" s="689" t="s">
        <v>360</v>
      </c>
      <c r="C315" s="1417">
        <v>29210</v>
      </c>
    </row>
    <row r="316" spans="1:3" ht="13.8" hidden="1" x14ac:dyDescent="0.25">
      <c r="A316" s="1416"/>
      <c r="B316" s="689"/>
      <c r="C316" s="1417"/>
    </row>
    <row r="317" spans="1:3" ht="13.8" hidden="1" x14ac:dyDescent="0.25">
      <c r="A317" s="1416"/>
      <c r="B317" s="689"/>
      <c r="C317" s="1417"/>
    </row>
    <row r="318" spans="1:3" ht="13.8" hidden="1" x14ac:dyDescent="0.25">
      <c r="A318" s="1416"/>
      <c r="B318" s="689"/>
      <c r="C318" s="1417"/>
    </row>
    <row r="319" spans="1:3" ht="13.8" x14ac:dyDescent="0.25">
      <c r="A319" s="1416"/>
      <c r="B319" s="689"/>
      <c r="C319" s="1417"/>
    </row>
    <row r="320" spans="1:3" s="688" customFormat="1" ht="45" hidden="1" customHeight="1" x14ac:dyDescent="0.25">
      <c r="A320" s="1418" t="s">
        <v>926</v>
      </c>
      <c r="B320" s="690" t="s">
        <v>927</v>
      </c>
      <c r="C320" s="1419">
        <f>SUM(C321:C325)</f>
        <v>0</v>
      </c>
    </row>
    <row r="321" spans="1:3" ht="13.8" hidden="1" x14ac:dyDescent="0.25">
      <c r="A321" s="1416"/>
      <c r="B321" s="689"/>
      <c r="C321" s="1417"/>
    </row>
    <row r="322" spans="1:3" ht="13.8" hidden="1" x14ac:dyDescent="0.25">
      <c r="A322" s="1416"/>
      <c r="B322" s="689"/>
      <c r="C322" s="1417"/>
    </row>
    <row r="323" spans="1:3" ht="13.8" hidden="1" x14ac:dyDescent="0.25">
      <c r="A323" s="1416"/>
      <c r="B323" s="689"/>
      <c r="C323" s="1417"/>
    </row>
    <row r="324" spans="1:3" ht="13.8" hidden="1" x14ac:dyDescent="0.25">
      <c r="A324" s="1416"/>
      <c r="B324" s="689"/>
      <c r="C324" s="1417"/>
    </row>
    <row r="325" spans="1:3" ht="13.8" hidden="1" x14ac:dyDescent="0.25">
      <c r="A325" s="1416"/>
      <c r="B325" s="689"/>
      <c r="C325" s="1417"/>
    </row>
    <row r="326" spans="1:3" s="688" customFormat="1" ht="45" customHeight="1" x14ac:dyDescent="0.25">
      <c r="A326" s="1418" t="s">
        <v>928</v>
      </c>
      <c r="B326" s="690" t="s">
        <v>1145</v>
      </c>
      <c r="C326" s="1419">
        <f>SUM(C327:C331)</f>
        <v>40560</v>
      </c>
    </row>
    <row r="327" spans="1:3" ht="13.8" x14ac:dyDescent="0.25">
      <c r="A327" s="1420">
        <v>2986</v>
      </c>
      <c r="B327" s="689" t="s">
        <v>344</v>
      </c>
      <c r="C327" s="1417">
        <v>40560</v>
      </c>
    </row>
    <row r="328" spans="1:3" ht="13.8" hidden="1" x14ac:dyDescent="0.25">
      <c r="A328" s="1416"/>
      <c r="B328" s="689"/>
      <c r="C328" s="1417"/>
    </row>
    <row r="329" spans="1:3" ht="13.8" hidden="1" x14ac:dyDescent="0.25">
      <c r="A329" s="1416"/>
      <c r="B329" s="689"/>
      <c r="C329" s="1417"/>
    </row>
    <row r="330" spans="1:3" ht="13.8" hidden="1" x14ac:dyDescent="0.25">
      <c r="A330" s="1416"/>
      <c r="B330" s="689"/>
      <c r="C330" s="1417"/>
    </row>
    <row r="331" spans="1:3" ht="13.8" x14ac:dyDescent="0.25">
      <c r="A331" s="1416"/>
      <c r="B331" s="689"/>
      <c r="C331" s="1417"/>
    </row>
    <row r="332" spans="1:3" s="688" customFormat="1" ht="45" hidden="1" customHeight="1" x14ac:dyDescent="0.25">
      <c r="A332" s="1418" t="s">
        <v>929</v>
      </c>
      <c r="B332" s="690" t="s">
        <v>1144</v>
      </c>
      <c r="C332" s="1419">
        <f>SUM(C333:C337)</f>
        <v>0</v>
      </c>
    </row>
    <row r="333" spans="1:3" ht="13.8" hidden="1" x14ac:dyDescent="0.25">
      <c r="A333" s="1416"/>
      <c r="B333" s="689"/>
      <c r="C333" s="1417"/>
    </row>
    <row r="334" spans="1:3" ht="13.8" hidden="1" x14ac:dyDescent="0.25">
      <c r="A334" s="1416"/>
      <c r="B334" s="689"/>
      <c r="C334" s="1417"/>
    </row>
    <row r="335" spans="1:3" ht="13.8" hidden="1" x14ac:dyDescent="0.25">
      <c r="A335" s="1416"/>
      <c r="B335" s="689"/>
      <c r="C335" s="1417"/>
    </row>
    <row r="336" spans="1:3" ht="13.8" hidden="1" x14ac:dyDescent="0.25">
      <c r="A336" s="1416"/>
      <c r="B336" s="689"/>
      <c r="C336" s="1417"/>
    </row>
    <row r="337" spans="1:3" ht="13.8" hidden="1" x14ac:dyDescent="0.25">
      <c r="A337" s="1416"/>
      <c r="B337" s="689"/>
      <c r="C337" s="1417"/>
    </row>
    <row r="338" spans="1:3" s="688" customFormat="1" ht="45" customHeight="1" x14ac:dyDescent="0.25">
      <c r="A338" s="1418" t="s">
        <v>930</v>
      </c>
      <c r="B338" s="690" t="s">
        <v>1142</v>
      </c>
      <c r="C338" s="1419">
        <f>SUM(C339:C343)</f>
        <v>600</v>
      </c>
    </row>
    <row r="339" spans="1:3" ht="13.8" x14ac:dyDescent="0.25">
      <c r="A339" s="1420">
        <v>2985</v>
      </c>
      <c r="B339" s="689" t="s">
        <v>347</v>
      </c>
      <c r="C339" s="1417">
        <v>600</v>
      </c>
    </row>
    <row r="340" spans="1:3" ht="13.8" hidden="1" x14ac:dyDescent="0.25">
      <c r="A340" s="1416"/>
      <c r="B340" s="689"/>
      <c r="C340" s="1417"/>
    </row>
    <row r="341" spans="1:3" ht="13.8" hidden="1" x14ac:dyDescent="0.25">
      <c r="A341" s="1416"/>
      <c r="B341" s="689"/>
      <c r="C341" s="1417"/>
    </row>
    <row r="342" spans="1:3" ht="13.8" hidden="1" x14ac:dyDescent="0.25">
      <c r="A342" s="1416"/>
      <c r="B342" s="689"/>
      <c r="C342" s="1417"/>
    </row>
    <row r="343" spans="1:3" ht="13.8" x14ac:dyDescent="0.25">
      <c r="A343" s="1416"/>
      <c r="B343" s="689"/>
      <c r="C343" s="1417"/>
    </row>
    <row r="344" spans="1:3" s="688" customFormat="1" ht="45" hidden="1" customHeight="1" x14ac:dyDescent="0.25">
      <c r="A344" s="1418" t="s">
        <v>931</v>
      </c>
      <c r="B344" s="690" t="s">
        <v>932</v>
      </c>
      <c r="C344" s="1419">
        <f>SUM(C345:C349)</f>
        <v>0</v>
      </c>
    </row>
    <row r="345" spans="1:3" ht="13.8" hidden="1" x14ac:dyDescent="0.25">
      <c r="A345" s="1416"/>
      <c r="B345" s="689"/>
      <c r="C345" s="1417"/>
    </row>
    <row r="346" spans="1:3" ht="13.8" hidden="1" x14ac:dyDescent="0.25">
      <c r="A346" s="1416"/>
      <c r="B346" s="689"/>
      <c r="C346" s="1417"/>
    </row>
    <row r="347" spans="1:3" ht="13.8" hidden="1" x14ac:dyDescent="0.25">
      <c r="A347" s="1416"/>
      <c r="B347" s="689"/>
      <c r="C347" s="1417"/>
    </row>
    <row r="348" spans="1:3" ht="13.8" hidden="1" x14ac:dyDescent="0.25">
      <c r="A348" s="1416"/>
      <c r="B348" s="689"/>
      <c r="C348" s="1417"/>
    </row>
    <row r="349" spans="1:3" ht="13.8" hidden="1" x14ac:dyDescent="0.25">
      <c r="A349" s="1416"/>
      <c r="B349" s="689"/>
      <c r="C349" s="1417"/>
    </row>
    <row r="350" spans="1:3" s="688" customFormat="1" ht="45" hidden="1" customHeight="1" x14ac:dyDescent="0.25">
      <c r="A350" s="1418" t="s">
        <v>1140</v>
      </c>
      <c r="B350" s="690" t="s">
        <v>1139</v>
      </c>
      <c r="C350" s="1419">
        <f>SUM(C351:C355)</f>
        <v>0</v>
      </c>
    </row>
    <row r="351" spans="1:3" ht="13.8" hidden="1" x14ac:dyDescent="0.25">
      <c r="A351" s="1416"/>
      <c r="B351" s="689"/>
      <c r="C351" s="1417"/>
    </row>
    <row r="352" spans="1:3" ht="13.8" hidden="1" x14ac:dyDescent="0.25">
      <c r="A352" s="1416"/>
      <c r="B352" s="689"/>
      <c r="C352" s="1417"/>
    </row>
    <row r="353" spans="1:3" ht="13.8" hidden="1" x14ac:dyDescent="0.25">
      <c r="A353" s="1416"/>
      <c r="B353" s="689"/>
      <c r="C353" s="1417"/>
    </row>
    <row r="354" spans="1:3" ht="13.8" hidden="1" x14ac:dyDescent="0.25">
      <c r="A354" s="1416"/>
      <c r="B354" s="689"/>
      <c r="C354" s="1417"/>
    </row>
    <row r="355" spans="1:3" ht="13.8" hidden="1" x14ac:dyDescent="0.25">
      <c r="A355" s="1416"/>
      <c r="B355" s="689"/>
      <c r="C355" s="1417"/>
    </row>
    <row r="356" spans="1:3" s="688" customFormat="1" ht="45" customHeight="1" x14ac:dyDescent="0.25">
      <c r="A356" s="1418" t="s">
        <v>933</v>
      </c>
      <c r="B356" s="690" t="s">
        <v>1137</v>
      </c>
      <c r="C356" s="1419">
        <f>SUM(C357:C361)</f>
        <v>8255</v>
      </c>
    </row>
    <row r="357" spans="1:3" ht="13.8" x14ac:dyDescent="0.25">
      <c r="A357" s="1420">
        <v>2795</v>
      </c>
      <c r="B357" s="689" t="s">
        <v>360</v>
      </c>
      <c r="C357" s="1417">
        <v>8255</v>
      </c>
    </row>
    <row r="358" spans="1:3" ht="13.8" hidden="1" x14ac:dyDescent="0.25">
      <c r="A358" s="1416"/>
      <c r="B358" s="689"/>
      <c r="C358" s="1417"/>
    </row>
    <row r="359" spans="1:3" ht="13.8" hidden="1" x14ac:dyDescent="0.25">
      <c r="A359" s="1416"/>
      <c r="B359" s="689"/>
      <c r="C359" s="1417"/>
    </row>
    <row r="360" spans="1:3" ht="13.8" hidden="1" x14ac:dyDescent="0.25">
      <c r="A360" s="1416"/>
      <c r="B360" s="689"/>
      <c r="C360" s="1417"/>
    </row>
    <row r="361" spans="1:3" ht="13.8" x14ac:dyDescent="0.25">
      <c r="A361" s="1416"/>
      <c r="B361" s="689"/>
      <c r="C361" s="1417"/>
    </row>
    <row r="362" spans="1:3" s="688" customFormat="1" ht="45" hidden="1" customHeight="1" x14ac:dyDescent="0.25">
      <c r="A362" s="1418" t="s">
        <v>1132</v>
      </c>
      <c r="B362" s="690" t="s">
        <v>1131</v>
      </c>
      <c r="C362" s="1419">
        <f>SUM(C363:C367)</f>
        <v>0</v>
      </c>
    </row>
    <row r="363" spans="1:3" ht="13.8" hidden="1" x14ac:dyDescent="0.25">
      <c r="A363" s="1416"/>
      <c r="B363" s="689"/>
      <c r="C363" s="1417"/>
    </row>
    <row r="364" spans="1:3" ht="13.8" hidden="1" x14ac:dyDescent="0.25">
      <c r="A364" s="1416"/>
      <c r="B364" s="689"/>
      <c r="C364" s="1417"/>
    </row>
    <row r="365" spans="1:3" ht="13.8" hidden="1" x14ac:dyDescent="0.25">
      <c r="A365" s="1416"/>
      <c r="B365" s="689"/>
      <c r="C365" s="1417"/>
    </row>
    <row r="366" spans="1:3" ht="13.8" hidden="1" x14ac:dyDescent="0.25">
      <c r="A366" s="1416"/>
      <c r="B366" s="689"/>
      <c r="C366" s="1417"/>
    </row>
    <row r="367" spans="1:3" ht="13.8" hidden="1" x14ac:dyDescent="0.25">
      <c r="A367" s="1416"/>
      <c r="B367" s="689"/>
      <c r="C367" s="1417"/>
    </row>
    <row r="368" spans="1:3" s="688" customFormat="1" ht="45" customHeight="1" x14ac:dyDescent="0.25">
      <c r="A368" s="1418" t="s">
        <v>1130</v>
      </c>
      <c r="B368" s="690" t="s">
        <v>1129</v>
      </c>
      <c r="C368" s="1419">
        <f>SUM(C369:C373)</f>
        <v>24688</v>
      </c>
    </row>
    <row r="369" spans="1:3" ht="13.8" x14ac:dyDescent="0.25">
      <c r="A369" s="1420">
        <v>2985</v>
      </c>
      <c r="B369" s="689" t="s">
        <v>347</v>
      </c>
      <c r="C369" s="1417">
        <f>24388+300</f>
        <v>24688</v>
      </c>
    </row>
    <row r="370" spans="1:3" ht="13.8" hidden="1" x14ac:dyDescent="0.25">
      <c r="A370" s="1416"/>
      <c r="B370" s="689"/>
      <c r="C370" s="1417"/>
    </row>
    <row r="371" spans="1:3" ht="13.8" hidden="1" x14ac:dyDescent="0.25">
      <c r="A371" s="1416"/>
      <c r="B371" s="689"/>
      <c r="C371" s="1417"/>
    </row>
    <row r="372" spans="1:3" ht="13.8" hidden="1" x14ac:dyDescent="0.25">
      <c r="A372" s="1416"/>
      <c r="B372" s="689"/>
      <c r="C372" s="1417"/>
    </row>
    <row r="373" spans="1:3" ht="13.8" x14ac:dyDescent="0.25">
      <c r="A373" s="1416"/>
      <c r="B373" s="689"/>
      <c r="C373" s="1417"/>
    </row>
    <row r="374" spans="1:3" s="688" customFormat="1" ht="45" customHeight="1" x14ac:dyDescent="0.25">
      <c r="A374" s="1418" t="s">
        <v>1128</v>
      </c>
      <c r="B374" s="690" t="s">
        <v>1127</v>
      </c>
      <c r="C374" s="1419">
        <f>SUM(C375:C379)</f>
        <v>3900</v>
      </c>
    </row>
    <row r="375" spans="1:3" s="987" customFormat="1" ht="13.8" x14ac:dyDescent="0.25">
      <c r="A375" s="1420">
        <v>2988</v>
      </c>
      <c r="B375" s="689" t="s">
        <v>1433</v>
      </c>
      <c r="C375" s="1417">
        <f>SUM('2.mell'!D673)</f>
        <v>3900</v>
      </c>
    </row>
    <row r="376" spans="1:3" ht="13.8" x14ac:dyDescent="0.25">
      <c r="A376" s="1416"/>
      <c r="B376" s="689"/>
      <c r="C376" s="1417"/>
    </row>
    <row r="377" spans="1:3" ht="13.8" hidden="1" x14ac:dyDescent="0.25">
      <c r="A377" s="1416"/>
      <c r="B377" s="689"/>
      <c r="C377" s="1417"/>
    </row>
    <row r="378" spans="1:3" ht="13.8" hidden="1" x14ac:dyDescent="0.25">
      <c r="A378" s="1416"/>
      <c r="B378" s="689"/>
      <c r="C378" s="1417"/>
    </row>
    <row r="379" spans="1:3" ht="13.8" hidden="1" x14ac:dyDescent="0.25">
      <c r="A379" s="1416"/>
      <c r="B379" s="689"/>
      <c r="C379" s="1417"/>
    </row>
    <row r="380" spans="1:3" s="688" customFormat="1" ht="45" hidden="1" customHeight="1" x14ac:dyDescent="0.25">
      <c r="A380" s="1418" t="s">
        <v>934</v>
      </c>
      <c r="B380" s="690" t="s">
        <v>1126</v>
      </c>
      <c r="C380" s="1419">
        <f>SUM(C381:C385)</f>
        <v>0</v>
      </c>
    </row>
    <row r="381" spans="1:3" ht="13.8" hidden="1" x14ac:dyDescent="0.25">
      <c r="A381" s="1416"/>
      <c r="B381" s="689"/>
      <c r="C381" s="1417"/>
    </row>
    <row r="382" spans="1:3" ht="13.8" hidden="1" x14ac:dyDescent="0.25">
      <c r="A382" s="1416"/>
      <c r="B382" s="689"/>
      <c r="C382" s="1417"/>
    </row>
    <row r="383" spans="1:3" ht="13.8" hidden="1" x14ac:dyDescent="0.25">
      <c r="A383" s="1416"/>
      <c r="B383" s="689"/>
      <c r="C383" s="1417"/>
    </row>
    <row r="384" spans="1:3" ht="13.8" hidden="1" x14ac:dyDescent="0.25">
      <c r="A384" s="1416"/>
      <c r="B384" s="689"/>
      <c r="C384" s="1417"/>
    </row>
    <row r="385" spans="1:3" ht="13.8" hidden="1" x14ac:dyDescent="0.25">
      <c r="A385" s="1416"/>
      <c r="B385" s="689"/>
      <c r="C385" s="1417"/>
    </row>
    <row r="386" spans="1:3" s="688" customFormat="1" ht="45" hidden="1" customHeight="1" x14ac:dyDescent="0.25">
      <c r="A386" s="1418" t="s">
        <v>935</v>
      </c>
      <c r="B386" s="690" t="s">
        <v>103</v>
      </c>
      <c r="C386" s="1419">
        <f>SUM(C387:C391)</f>
        <v>0</v>
      </c>
    </row>
    <row r="387" spans="1:3" ht="13.8" hidden="1" x14ac:dyDescent="0.25">
      <c r="A387" s="1416"/>
      <c r="B387" s="689"/>
      <c r="C387" s="1417"/>
    </row>
    <row r="388" spans="1:3" ht="13.8" hidden="1" x14ac:dyDescent="0.25">
      <c r="A388" s="1416"/>
      <c r="B388" s="689"/>
      <c r="C388" s="1417"/>
    </row>
    <row r="389" spans="1:3" ht="13.8" hidden="1" x14ac:dyDescent="0.25">
      <c r="A389" s="1416"/>
      <c r="B389" s="689"/>
      <c r="C389" s="1417"/>
    </row>
    <row r="390" spans="1:3" ht="13.8" hidden="1" x14ac:dyDescent="0.25">
      <c r="A390" s="1416"/>
      <c r="B390" s="689"/>
      <c r="C390" s="1417"/>
    </row>
    <row r="391" spans="1:3" ht="13.8" hidden="1" x14ac:dyDescent="0.25">
      <c r="A391" s="1416"/>
      <c r="B391" s="689"/>
      <c r="C391" s="1417"/>
    </row>
    <row r="392" spans="1:3" s="688" customFormat="1" ht="45" hidden="1" customHeight="1" x14ac:dyDescent="0.25">
      <c r="A392" s="1418" t="s">
        <v>936</v>
      </c>
      <c r="B392" s="690" t="s">
        <v>937</v>
      </c>
      <c r="C392" s="1419">
        <f>SUM(C393:C397)</f>
        <v>0</v>
      </c>
    </row>
    <row r="393" spans="1:3" ht="13.8" hidden="1" x14ac:dyDescent="0.25">
      <c r="A393" s="1416"/>
      <c r="B393" s="689"/>
      <c r="C393" s="1417"/>
    </row>
    <row r="394" spans="1:3" ht="13.8" hidden="1" x14ac:dyDescent="0.25">
      <c r="A394" s="1416"/>
      <c r="B394" s="689"/>
      <c r="C394" s="1417"/>
    </row>
    <row r="395" spans="1:3" ht="13.8" hidden="1" x14ac:dyDescent="0.25">
      <c r="A395" s="1416"/>
      <c r="B395" s="689"/>
      <c r="C395" s="1417"/>
    </row>
    <row r="396" spans="1:3" ht="13.8" hidden="1" x14ac:dyDescent="0.25">
      <c r="A396" s="1416"/>
      <c r="B396" s="689"/>
      <c r="C396" s="1417"/>
    </row>
    <row r="397" spans="1:3" ht="13.8" hidden="1" x14ac:dyDescent="0.25">
      <c r="A397" s="1416"/>
      <c r="B397" s="689"/>
      <c r="C397" s="1417"/>
    </row>
    <row r="398" spans="1:3" s="688" customFormat="1" ht="45" hidden="1" customHeight="1" x14ac:dyDescent="0.25">
      <c r="A398" s="1418" t="s">
        <v>938</v>
      </c>
      <c r="B398" s="690" t="s">
        <v>939</v>
      </c>
      <c r="C398" s="1419">
        <f>SUM(C399:C403)</f>
        <v>0</v>
      </c>
    </row>
    <row r="399" spans="1:3" ht="13.8" hidden="1" x14ac:dyDescent="0.25">
      <c r="A399" s="1421"/>
      <c r="B399" s="689"/>
      <c r="C399" s="1417"/>
    </row>
    <row r="400" spans="1:3" ht="13.8" hidden="1" x14ac:dyDescent="0.25">
      <c r="A400" s="1416"/>
      <c r="B400" s="689"/>
      <c r="C400" s="1417"/>
    </row>
    <row r="401" spans="1:3" ht="13.8" hidden="1" x14ac:dyDescent="0.25">
      <c r="A401" s="1416"/>
      <c r="B401" s="689"/>
      <c r="C401" s="1417"/>
    </row>
    <row r="402" spans="1:3" ht="13.8" hidden="1" x14ac:dyDescent="0.25">
      <c r="A402" s="1416"/>
      <c r="B402" s="689"/>
      <c r="C402" s="1417"/>
    </row>
    <row r="403" spans="1:3" ht="13.8" hidden="1" x14ac:dyDescent="0.25">
      <c r="A403" s="1416"/>
      <c r="B403" s="689"/>
      <c r="C403" s="1417"/>
    </row>
    <row r="404" spans="1:3" s="688" customFormat="1" ht="45" hidden="1" customHeight="1" x14ac:dyDescent="0.25">
      <c r="A404" s="1418" t="s">
        <v>940</v>
      </c>
      <c r="B404" s="690" t="s">
        <v>941</v>
      </c>
      <c r="C404" s="1419">
        <f>SUM(C405:C409)</f>
        <v>0</v>
      </c>
    </row>
    <row r="405" spans="1:3" ht="13.8" hidden="1" x14ac:dyDescent="0.25">
      <c r="A405" s="1416"/>
      <c r="B405" s="689"/>
      <c r="C405" s="1417"/>
    </row>
    <row r="406" spans="1:3" ht="13.8" hidden="1" x14ac:dyDescent="0.25">
      <c r="A406" s="1416"/>
      <c r="B406" s="689"/>
      <c r="C406" s="1417"/>
    </row>
    <row r="407" spans="1:3" ht="13.8" hidden="1" x14ac:dyDescent="0.25">
      <c r="A407" s="1416"/>
      <c r="B407" s="689"/>
      <c r="C407" s="1417"/>
    </row>
    <row r="408" spans="1:3" ht="13.8" hidden="1" x14ac:dyDescent="0.25">
      <c r="A408" s="1416"/>
      <c r="B408" s="689"/>
      <c r="C408" s="1417"/>
    </row>
    <row r="409" spans="1:3" ht="13.8" hidden="1" x14ac:dyDescent="0.25">
      <c r="A409" s="1416"/>
      <c r="B409" s="689"/>
      <c r="C409" s="1417"/>
    </row>
    <row r="410" spans="1:3" s="688" customFormat="1" ht="45" hidden="1" customHeight="1" x14ac:dyDescent="0.25">
      <c r="A410" s="1418" t="s">
        <v>942</v>
      </c>
      <c r="B410" s="690" t="s">
        <v>943</v>
      </c>
      <c r="C410" s="1419">
        <f>SUM(C411:C415)</f>
        <v>0</v>
      </c>
    </row>
    <row r="411" spans="1:3" ht="13.8" hidden="1" x14ac:dyDescent="0.25">
      <c r="A411" s="1416"/>
      <c r="B411" s="689"/>
      <c r="C411" s="1417"/>
    </row>
    <row r="412" spans="1:3" ht="13.8" hidden="1" x14ac:dyDescent="0.25">
      <c r="A412" s="1416"/>
      <c r="B412" s="689"/>
      <c r="C412" s="1417"/>
    </row>
    <row r="413" spans="1:3" ht="13.8" hidden="1" x14ac:dyDescent="0.25">
      <c r="A413" s="1416"/>
      <c r="B413" s="689"/>
      <c r="C413" s="1417"/>
    </row>
    <row r="414" spans="1:3" ht="13.8" hidden="1" x14ac:dyDescent="0.25">
      <c r="A414" s="1416"/>
      <c r="B414" s="689"/>
      <c r="C414" s="1417"/>
    </row>
    <row r="415" spans="1:3" ht="13.8" hidden="1" x14ac:dyDescent="0.25">
      <c r="A415" s="1416"/>
      <c r="B415" s="689"/>
      <c r="C415" s="1417"/>
    </row>
    <row r="416" spans="1:3" s="688" customFormat="1" ht="45" hidden="1" customHeight="1" x14ac:dyDescent="0.25">
      <c r="A416" s="1418" t="s">
        <v>944</v>
      </c>
      <c r="B416" s="690" t="s">
        <v>1122</v>
      </c>
      <c r="C416" s="1419">
        <f>SUM(C417:C421)</f>
        <v>0</v>
      </c>
    </row>
    <row r="417" spans="1:3" ht="13.8" hidden="1" x14ac:dyDescent="0.25">
      <c r="A417" s="1416"/>
      <c r="B417" s="689"/>
      <c r="C417" s="1417"/>
    </row>
    <row r="418" spans="1:3" ht="13.8" hidden="1" x14ac:dyDescent="0.25">
      <c r="A418" s="1416"/>
      <c r="B418" s="689"/>
      <c r="C418" s="1417"/>
    </row>
    <row r="419" spans="1:3" ht="13.8" hidden="1" x14ac:dyDescent="0.25">
      <c r="A419" s="1416"/>
      <c r="B419" s="689"/>
      <c r="C419" s="1417"/>
    </row>
    <row r="420" spans="1:3" ht="13.8" hidden="1" x14ac:dyDescent="0.25">
      <c r="A420" s="1416"/>
      <c r="B420" s="689"/>
      <c r="C420" s="1417"/>
    </row>
    <row r="421" spans="1:3" ht="13.8" hidden="1" x14ac:dyDescent="0.25">
      <c r="A421" s="1416"/>
      <c r="B421" s="689"/>
      <c r="C421" s="1417"/>
    </row>
    <row r="422" spans="1:3" s="688" customFormat="1" ht="45" hidden="1" customHeight="1" x14ac:dyDescent="0.25">
      <c r="A422" s="1418" t="s">
        <v>1121</v>
      </c>
      <c r="B422" s="690" t="s">
        <v>1120</v>
      </c>
      <c r="C422" s="1419">
        <f>SUM(C423:C427)</f>
        <v>0</v>
      </c>
    </row>
    <row r="423" spans="1:3" ht="13.8" hidden="1" x14ac:dyDescent="0.25">
      <c r="A423" s="1416"/>
      <c r="B423" s="689"/>
      <c r="C423" s="1417"/>
    </row>
    <row r="424" spans="1:3" ht="13.8" hidden="1" x14ac:dyDescent="0.25">
      <c r="A424" s="1416"/>
      <c r="B424" s="689"/>
      <c r="C424" s="1417"/>
    </row>
    <row r="425" spans="1:3" ht="13.8" hidden="1" x14ac:dyDescent="0.25">
      <c r="A425" s="1416"/>
      <c r="B425" s="689"/>
      <c r="C425" s="1417"/>
    </row>
    <row r="426" spans="1:3" ht="13.8" hidden="1" x14ac:dyDescent="0.25">
      <c r="A426" s="1416"/>
      <c r="B426" s="689"/>
      <c r="C426" s="1417"/>
    </row>
    <row r="427" spans="1:3" ht="13.8" hidden="1" x14ac:dyDescent="0.25">
      <c r="A427" s="1416"/>
      <c r="B427" s="689"/>
      <c r="C427" s="1417"/>
    </row>
    <row r="428" spans="1:3" s="688" customFormat="1" ht="45" hidden="1" customHeight="1" x14ac:dyDescent="0.25">
      <c r="A428" s="1418" t="s">
        <v>1119</v>
      </c>
      <c r="B428" s="690" t="s">
        <v>1118</v>
      </c>
      <c r="C428" s="1419">
        <f>SUM(C429:C433)</f>
        <v>0</v>
      </c>
    </row>
    <row r="429" spans="1:3" ht="13.8" hidden="1" x14ac:dyDescent="0.25">
      <c r="A429" s="1416"/>
      <c r="B429" s="689"/>
      <c r="C429" s="1417"/>
    </row>
    <row r="430" spans="1:3" ht="13.8" hidden="1" x14ac:dyDescent="0.25">
      <c r="A430" s="1416"/>
      <c r="B430" s="689"/>
      <c r="C430" s="1417"/>
    </row>
    <row r="431" spans="1:3" ht="13.8" hidden="1" x14ac:dyDescent="0.25">
      <c r="A431" s="1416"/>
      <c r="B431" s="689"/>
      <c r="C431" s="1417"/>
    </row>
    <row r="432" spans="1:3" ht="13.8" hidden="1" x14ac:dyDescent="0.25">
      <c r="A432" s="1416"/>
      <c r="B432" s="689"/>
      <c r="C432" s="1417"/>
    </row>
    <row r="433" spans="1:3" ht="13.8" hidden="1" x14ac:dyDescent="0.25">
      <c r="A433" s="1416"/>
      <c r="B433" s="689"/>
      <c r="C433" s="1417"/>
    </row>
    <row r="434" spans="1:3" s="688" customFormat="1" ht="45" hidden="1" customHeight="1" x14ac:dyDescent="0.25">
      <c r="A434" s="1418" t="s">
        <v>1116</v>
      </c>
      <c r="B434" s="690" t="s">
        <v>1115</v>
      </c>
      <c r="C434" s="1419">
        <f>SUM(C435:C439)</f>
        <v>0</v>
      </c>
    </row>
    <row r="435" spans="1:3" ht="13.8" hidden="1" x14ac:dyDescent="0.25">
      <c r="A435" s="1416"/>
      <c r="B435" s="689"/>
      <c r="C435" s="1417"/>
    </row>
    <row r="436" spans="1:3" ht="13.8" hidden="1" x14ac:dyDescent="0.25">
      <c r="A436" s="1416"/>
      <c r="B436" s="689"/>
      <c r="C436" s="1417"/>
    </row>
    <row r="437" spans="1:3" ht="13.8" hidden="1" x14ac:dyDescent="0.25">
      <c r="A437" s="1416"/>
      <c r="B437" s="689"/>
      <c r="C437" s="1417"/>
    </row>
    <row r="438" spans="1:3" ht="13.8" hidden="1" x14ac:dyDescent="0.25">
      <c r="A438" s="1416"/>
      <c r="B438" s="689"/>
      <c r="C438" s="1417"/>
    </row>
    <row r="439" spans="1:3" ht="13.8" hidden="1" x14ac:dyDescent="0.25">
      <c r="A439" s="1416"/>
      <c r="B439" s="689"/>
      <c r="C439" s="1417"/>
    </row>
    <row r="440" spans="1:3" s="688" customFormat="1" ht="45" hidden="1" customHeight="1" x14ac:dyDescent="0.25">
      <c r="A440" s="1418" t="s">
        <v>945</v>
      </c>
      <c r="B440" s="690" t="s">
        <v>946</v>
      </c>
      <c r="C440" s="1419">
        <f>SUM(C441:C445)</f>
        <v>0</v>
      </c>
    </row>
    <row r="441" spans="1:3" ht="13.8" hidden="1" x14ac:dyDescent="0.25">
      <c r="A441" s="1416"/>
      <c r="B441" s="689"/>
      <c r="C441" s="1417"/>
    </row>
    <row r="442" spans="1:3" ht="13.8" hidden="1" x14ac:dyDescent="0.25">
      <c r="A442" s="1416"/>
      <c r="B442" s="689"/>
      <c r="C442" s="1417"/>
    </row>
    <row r="443" spans="1:3" ht="13.8" hidden="1" x14ac:dyDescent="0.25">
      <c r="A443" s="1416"/>
      <c r="B443" s="689"/>
      <c r="C443" s="1417"/>
    </row>
    <row r="444" spans="1:3" ht="13.8" hidden="1" x14ac:dyDescent="0.25">
      <c r="A444" s="1416"/>
      <c r="B444" s="689"/>
      <c r="C444" s="1417"/>
    </row>
    <row r="445" spans="1:3" ht="13.8" hidden="1" x14ac:dyDescent="0.25">
      <c r="A445" s="1416"/>
      <c r="B445" s="689"/>
      <c r="C445" s="1417"/>
    </row>
    <row r="446" spans="1:3" s="688" customFormat="1" ht="45" hidden="1" customHeight="1" x14ac:dyDescent="0.25">
      <c r="A446" s="1418" t="s">
        <v>947</v>
      </c>
      <c r="B446" s="690" t="s">
        <v>948</v>
      </c>
      <c r="C446" s="1419">
        <f>SUM(C447:C451)</f>
        <v>0</v>
      </c>
    </row>
    <row r="447" spans="1:3" ht="13.8" hidden="1" x14ac:dyDescent="0.25">
      <c r="A447" s="1416"/>
      <c r="B447" s="689"/>
      <c r="C447" s="1417"/>
    </row>
    <row r="448" spans="1:3" ht="13.8" hidden="1" x14ac:dyDescent="0.25">
      <c r="A448" s="1416"/>
      <c r="B448" s="689"/>
      <c r="C448" s="1417"/>
    </row>
    <row r="449" spans="1:3" ht="13.8" hidden="1" x14ac:dyDescent="0.25">
      <c r="A449" s="1416"/>
      <c r="B449" s="689"/>
      <c r="C449" s="1417"/>
    </row>
    <row r="450" spans="1:3" ht="13.8" hidden="1" x14ac:dyDescent="0.25">
      <c r="A450" s="1416"/>
      <c r="B450" s="689"/>
      <c r="C450" s="1417"/>
    </row>
    <row r="451" spans="1:3" ht="13.8" hidden="1" x14ac:dyDescent="0.25">
      <c r="A451" s="1416"/>
      <c r="B451" s="689"/>
      <c r="C451" s="1417"/>
    </row>
    <row r="452" spans="1:3" s="688" customFormat="1" ht="45" hidden="1" customHeight="1" x14ac:dyDescent="0.25">
      <c r="A452" s="1418" t="s">
        <v>950</v>
      </c>
      <c r="B452" s="690" t="s">
        <v>1113</v>
      </c>
      <c r="C452" s="1419">
        <f>SUM(C453:C457)</f>
        <v>0</v>
      </c>
    </row>
    <row r="453" spans="1:3" ht="13.8" hidden="1" x14ac:dyDescent="0.25">
      <c r="A453" s="1416"/>
      <c r="B453" s="689"/>
      <c r="C453" s="1417"/>
    </row>
    <row r="454" spans="1:3" ht="13.8" hidden="1" x14ac:dyDescent="0.25">
      <c r="A454" s="1416"/>
      <c r="B454" s="689"/>
      <c r="C454" s="1417"/>
    </row>
    <row r="455" spans="1:3" ht="13.8" hidden="1" x14ac:dyDescent="0.25">
      <c r="A455" s="1416"/>
      <c r="B455" s="689"/>
      <c r="C455" s="1417"/>
    </row>
    <row r="456" spans="1:3" ht="13.8" hidden="1" x14ac:dyDescent="0.25">
      <c r="A456" s="1416"/>
      <c r="B456" s="689"/>
      <c r="C456" s="1417"/>
    </row>
    <row r="457" spans="1:3" ht="13.8" hidden="1" x14ac:dyDescent="0.25">
      <c r="A457" s="1416"/>
      <c r="B457" s="689"/>
      <c r="C457" s="1417"/>
    </row>
    <row r="458" spans="1:3" s="688" customFormat="1" ht="45" hidden="1" customHeight="1" x14ac:dyDescent="0.25">
      <c r="A458" s="1418" t="s">
        <v>1112</v>
      </c>
      <c r="B458" s="690" t="s">
        <v>1111</v>
      </c>
      <c r="C458" s="1419">
        <f>SUM(C459:C463)</f>
        <v>0</v>
      </c>
    </row>
    <row r="459" spans="1:3" ht="13.8" hidden="1" x14ac:dyDescent="0.25">
      <c r="A459" s="1416"/>
      <c r="B459" s="689"/>
      <c r="C459" s="1417"/>
    </row>
    <row r="460" spans="1:3" ht="13.8" hidden="1" x14ac:dyDescent="0.25">
      <c r="A460" s="1416"/>
      <c r="B460" s="689"/>
      <c r="C460" s="1417"/>
    </row>
    <row r="461" spans="1:3" ht="13.8" hidden="1" x14ac:dyDescent="0.25">
      <c r="A461" s="1416"/>
      <c r="B461" s="689"/>
      <c r="C461" s="1417"/>
    </row>
    <row r="462" spans="1:3" ht="13.8" hidden="1" x14ac:dyDescent="0.25">
      <c r="A462" s="1416"/>
      <c r="B462" s="689"/>
      <c r="C462" s="1417"/>
    </row>
    <row r="463" spans="1:3" ht="13.8" hidden="1" x14ac:dyDescent="0.25">
      <c r="A463" s="1416"/>
      <c r="B463" s="689"/>
      <c r="C463" s="1417"/>
    </row>
    <row r="464" spans="1:3" s="688" customFormat="1" ht="45" customHeight="1" x14ac:dyDescent="0.25">
      <c r="A464" s="1418" t="s">
        <v>951</v>
      </c>
      <c r="B464" s="690" t="s">
        <v>952</v>
      </c>
      <c r="C464" s="1419">
        <f>SUM(C465:C469)</f>
        <v>268891</v>
      </c>
    </row>
    <row r="465" spans="1:3" ht="13.8" x14ac:dyDescent="0.25">
      <c r="A465" s="1420">
        <v>2795</v>
      </c>
      <c r="B465" s="689" t="s">
        <v>360</v>
      </c>
      <c r="C465" s="1417">
        <v>268891</v>
      </c>
    </row>
    <row r="466" spans="1:3" ht="13.8" hidden="1" x14ac:dyDescent="0.25">
      <c r="A466" s="1416"/>
      <c r="B466" s="689"/>
      <c r="C466" s="1417"/>
    </row>
    <row r="467" spans="1:3" ht="13.8" hidden="1" x14ac:dyDescent="0.25">
      <c r="A467" s="1416"/>
      <c r="B467" s="689"/>
      <c r="C467" s="1417"/>
    </row>
    <row r="468" spans="1:3" ht="13.8" hidden="1" x14ac:dyDescent="0.25">
      <c r="A468" s="1416"/>
      <c r="B468" s="689"/>
      <c r="C468" s="1417"/>
    </row>
    <row r="469" spans="1:3" ht="13.8" x14ac:dyDescent="0.25">
      <c r="A469" s="1416"/>
      <c r="B469" s="689"/>
      <c r="C469" s="1417"/>
    </row>
    <row r="470" spans="1:3" s="688" customFormat="1" ht="45" customHeight="1" x14ac:dyDescent="0.25">
      <c r="A470" s="1418" t="s">
        <v>1108</v>
      </c>
      <c r="B470" s="690" t="s">
        <v>1107</v>
      </c>
      <c r="C470" s="1419">
        <f>SUM(C471:C475)</f>
        <v>12700</v>
      </c>
    </row>
    <row r="471" spans="1:3" ht="13.8" x14ac:dyDescent="0.25">
      <c r="A471" s="1420">
        <v>2795</v>
      </c>
      <c r="B471" s="689" t="s">
        <v>360</v>
      </c>
      <c r="C471" s="1417">
        <v>12700</v>
      </c>
    </row>
    <row r="472" spans="1:3" ht="13.8" hidden="1" x14ac:dyDescent="0.25">
      <c r="A472" s="1416"/>
      <c r="B472" s="689"/>
      <c r="C472" s="1417"/>
    </row>
    <row r="473" spans="1:3" ht="13.8" hidden="1" x14ac:dyDescent="0.25">
      <c r="A473" s="1416"/>
      <c r="B473" s="689"/>
      <c r="C473" s="1417"/>
    </row>
    <row r="474" spans="1:3" ht="13.8" hidden="1" x14ac:dyDescent="0.25">
      <c r="A474" s="1416"/>
      <c r="B474" s="689"/>
      <c r="C474" s="1417"/>
    </row>
    <row r="475" spans="1:3" ht="13.8" x14ac:dyDescent="0.25">
      <c r="A475" s="1416"/>
      <c r="B475" s="689"/>
      <c r="C475" s="1417"/>
    </row>
    <row r="476" spans="1:3" s="688" customFormat="1" ht="45" hidden="1" customHeight="1" x14ac:dyDescent="0.25">
      <c r="A476" s="1418" t="s">
        <v>953</v>
      </c>
      <c r="B476" s="690" t="s">
        <v>954</v>
      </c>
      <c r="C476" s="1419">
        <f>SUM(C477:C481)</f>
        <v>0</v>
      </c>
    </row>
    <row r="477" spans="1:3" ht="13.8" hidden="1" x14ac:dyDescent="0.25">
      <c r="A477" s="1416"/>
      <c r="B477" s="689"/>
      <c r="C477" s="1417"/>
    </row>
    <row r="478" spans="1:3" ht="13.8" hidden="1" x14ac:dyDescent="0.25">
      <c r="A478" s="1416"/>
      <c r="B478" s="689"/>
      <c r="C478" s="1417"/>
    </row>
    <row r="479" spans="1:3" ht="13.8" hidden="1" x14ac:dyDescent="0.25">
      <c r="A479" s="1416"/>
      <c r="B479" s="689"/>
      <c r="C479" s="1417"/>
    </row>
    <row r="480" spans="1:3" ht="13.8" hidden="1" x14ac:dyDescent="0.25">
      <c r="A480" s="1416"/>
      <c r="B480" s="689"/>
      <c r="C480" s="1417"/>
    </row>
    <row r="481" spans="1:3" ht="13.8" hidden="1" x14ac:dyDescent="0.25">
      <c r="A481" s="1416"/>
      <c r="B481" s="689"/>
      <c r="C481" s="1417"/>
    </row>
    <row r="482" spans="1:3" s="688" customFormat="1" ht="45" hidden="1" customHeight="1" x14ac:dyDescent="0.25">
      <c r="A482" s="1418">
        <v>101141</v>
      </c>
      <c r="B482" s="690" t="s">
        <v>1106</v>
      </c>
      <c r="C482" s="1419">
        <f>SUM(C483:C487)</f>
        <v>0</v>
      </c>
    </row>
    <row r="483" spans="1:3" ht="13.8" hidden="1" x14ac:dyDescent="0.25">
      <c r="A483" s="1416"/>
      <c r="B483" s="689"/>
      <c r="C483" s="1417"/>
    </row>
    <row r="484" spans="1:3" ht="13.8" hidden="1" x14ac:dyDescent="0.25">
      <c r="A484" s="1416"/>
      <c r="B484" s="689"/>
      <c r="C484" s="1417"/>
    </row>
    <row r="485" spans="1:3" ht="13.8" hidden="1" x14ac:dyDescent="0.25">
      <c r="A485" s="1416"/>
      <c r="B485" s="689"/>
      <c r="C485" s="1417"/>
    </row>
    <row r="486" spans="1:3" ht="13.8" hidden="1" x14ac:dyDescent="0.25">
      <c r="A486" s="1416"/>
      <c r="B486" s="689"/>
      <c r="C486" s="1417"/>
    </row>
    <row r="487" spans="1:3" ht="13.8" hidden="1" x14ac:dyDescent="0.25">
      <c r="A487" s="1416"/>
      <c r="B487" s="689"/>
      <c r="C487" s="1417"/>
    </row>
    <row r="488" spans="1:3" s="688" customFormat="1" ht="45" hidden="1" customHeight="1" x14ac:dyDescent="0.25">
      <c r="A488" s="1418">
        <v>101142</v>
      </c>
      <c r="B488" s="690" t="s">
        <v>955</v>
      </c>
      <c r="C488" s="1419">
        <f>SUM(C489:C493)</f>
        <v>0</v>
      </c>
    </row>
    <row r="489" spans="1:3" ht="13.8" hidden="1" x14ac:dyDescent="0.25">
      <c r="A489" s="1416"/>
      <c r="B489" s="689"/>
      <c r="C489" s="1417"/>
    </row>
    <row r="490" spans="1:3" ht="13.8" hidden="1" x14ac:dyDescent="0.25">
      <c r="A490" s="1416"/>
      <c r="B490" s="689"/>
      <c r="C490" s="1417"/>
    </row>
    <row r="491" spans="1:3" ht="13.8" hidden="1" x14ac:dyDescent="0.25">
      <c r="A491" s="1416"/>
      <c r="B491" s="689"/>
      <c r="C491" s="1417"/>
    </row>
    <row r="492" spans="1:3" ht="13.8" hidden="1" x14ac:dyDescent="0.25">
      <c r="A492" s="1416"/>
      <c r="B492" s="689"/>
      <c r="C492" s="1417"/>
    </row>
    <row r="493" spans="1:3" ht="13.8" hidden="1" x14ac:dyDescent="0.25">
      <c r="A493" s="1416"/>
      <c r="B493" s="689"/>
      <c r="C493" s="1417"/>
    </row>
    <row r="494" spans="1:3" s="688" customFormat="1" ht="45" hidden="1" customHeight="1" x14ac:dyDescent="0.25">
      <c r="A494" s="1418">
        <v>101221</v>
      </c>
      <c r="B494" s="690" t="s">
        <v>956</v>
      </c>
      <c r="C494" s="1419">
        <f>SUM(C495:C499)</f>
        <v>0</v>
      </c>
    </row>
    <row r="495" spans="1:3" ht="13.8" hidden="1" x14ac:dyDescent="0.25">
      <c r="A495" s="1416"/>
      <c r="B495" s="689"/>
      <c r="C495" s="1417"/>
    </row>
    <row r="496" spans="1:3" ht="13.8" hidden="1" x14ac:dyDescent="0.25">
      <c r="A496" s="1416"/>
      <c r="B496" s="689"/>
      <c r="C496" s="1417"/>
    </row>
    <row r="497" spans="1:3" ht="13.8" hidden="1" x14ac:dyDescent="0.25">
      <c r="A497" s="1416"/>
      <c r="B497" s="689"/>
      <c r="C497" s="1417"/>
    </row>
    <row r="498" spans="1:3" ht="13.8" hidden="1" x14ac:dyDescent="0.25">
      <c r="A498" s="1416"/>
      <c r="B498" s="689"/>
      <c r="C498" s="1417"/>
    </row>
    <row r="499" spans="1:3" ht="13.8" hidden="1" x14ac:dyDescent="0.25">
      <c r="A499" s="1416"/>
      <c r="B499" s="689"/>
      <c r="C499" s="1417"/>
    </row>
    <row r="500" spans="1:3" s="688" customFormat="1" ht="45" hidden="1" customHeight="1" x14ac:dyDescent="0.25">
      <c r="A500" s="1418">
        <v>101222</v>
      </c>
      <c r="B500" s="690" t="s">
        <v>957</v>
      </c>
      <c r="C500" s="1419">
        <f>SUM(C501:C505)</f>
        <v>0</v>
      </c>
    </row>
    <row r="501" spans="1:3" ht="13.8" hidden="1" x14ac:dyDescent="0.25">
      <c r="A501" s="1416"/>
      <c r="B501" s="689"/>
      <c r="C501" s="1417"/>
    </row>
    <row r="502" spans="1:3" ht="13.8" hidden="1" x14ac:dyDescent="0.25">
      <c r="A502" s="1416"/>
      <c r="B502" s="689"/>
      <c r="C502" s="1417"/>
    </row>
    <row r="503" spans="1:3" ht="13.8" hidden="1" x14ac:dyDescent="0.25">
      <c r="A503" s="1416"/>
      <c r="B503" s="689"/>
      <c r="C503" s="1417"/>
    </row>
    <row r="504" spans="1:3" ht="13.8" hidden="1" x14ac:dyDescent="0.25">
      <c r="A504" s="1416"/>
      <c r="B504" s="689"/>
      <c r="C504" s="1417"/>
    </row>
    <row r="505" spans="1:3" ht="13.8" hidden="1" x14ac:dyDescent="0.25">
      <c r="A505" s="1416"/>
      <c r="B505" s="689"/>
      <c r="C505" s="1417"/>
    </row>
    <row r="506" spans="1:3" s="688" customFormat="1" ht="45" customHeight="1" x14ac:dyDescent="0.25">
      <c r="A506" s="1418">
        <v>102025</v>
      </c>
      <c r="B506" s="690" t="s">
        <v>1102</v>
      </c>
      <c r="C506" s="1419">
        <f>SUM(C507:C511)</f>
        <v>6830</v>
      </c>
    </row>
    <row r="507" spans="1:3" ht="13.8" x14ac:dyDescent="0.25">
      <c r="A507" s="1416">
        <v>2850</v>
      </c>
      <c r="B507" s="689" t="s">
        <v>352</v>
      </c>
      <c r="C507" s="1417">
        <v>6830</v>
      </c>
    </row>
    <row r="508" spans="1:3" ht="13.8" hidden="1" x14ac:dyDescent="0.25">
      <c r="A508" s="1416"/>
      <c r="B508" s="689"/>
      <c r="C508" s="1417"/>
    </row>
    <row r="509" spans="1:3" ht="13.8" hidden="1" x14ac:dyDescent="0.25">
      <c r="A509" s="1416"/>
      <c r="B509" s="689"/>
      <c r="C509" s="1417"/>
    </row>
    <row r="510" spans="1:3" ht="13.8" hidden="1" x14ac:dyDescent="0.25">
      <c r="A510" s="1416"/>
      <c r="B510" s="689"/>
      <c r="C510" s="1417"/>
    </row>
    <row r="511" spans="1:3" ht="13.8" x14ac:dyDescent="0.25">
      <c r="A511" s="1416"/>
      <c r="B511" s="689"/>
      <c r="C511" s="1417"/>
    </row>
    <row r="512" spans="1:3" s="688" customFormat="1" ht="45" hidden="1" customHeight="1" x14ac:dyDescent="0.25">
      <c r="A512" s="1418">
        <v>102031</v>
      </c>
      <c r="B512" s="690" t="s">
        <v>958</v>
      </c>
      <c r="C512" s="1419">
        <f>SUM(C513:C517)</f>
        <v>0</v>
      </c>
    </row>
    <row r="513" spans="1:3" ht="13.8" hidden="1" x14ac:dyDescent="0.25">
      <c r="A513" s="1416"/>
      <c r="B513" s="689"/>
      <c r="C513" s="1417"/>
    </row>
    <row r="514" spans="1:3" ht="13.8" hidden="1" x14ac:dyDescent="0.25">
      <c r="A514" s="1416"/>
      <c r="B514" s="689"/>
      <c r="C514" s="1417"/>
    </row>
    <row r="515" spans="1:3" ht="13.8" hidden="1" x14ac:dyDescent="0.25">
      <c r="A515" s="1416"/>
      <c r="B515" s="689"/>
      <c r="C515" s="1417"/>
    </row>
    <row r="516" spans="1:3" ht="13.8" hidden="1" x14ac:dyDescent="0.25">
      <c r="A516" s="1416"/>
      <c r="B516" s="689"/>
      <c r="C516" s="1417"/>
    </row>
    <row r="517" spans="1:3" ht="13.8" hidden="1" x14ac:dyDescent="0.25">
      <c r="A517" s="1416"/>
      <c r="B517" s="689"/>
      <c r="C517" s="1417"/>
    </row>
    <row r="518" spans="1:3" s="688" customFormat="1" ht="45" hidden="1" customHeight="1" x14ac:dyDescent="0.25">
      <c r="A518" s="1418">
        <v>102032</v>
      </c>
      <c r="B518" s="690" t="s">
        <v>1101</v>
      </c>
      <c r="C518" s="1419">
        <f>SUM(C519:C523)</f>
        <v>0</v>
      </c>
    </row>
    <row r="519" spans="1:3" ht="13.8" hidden="1" x14ac:dyDescent="0.25">
      <c r="A519" s="1416"/>
      <c r="B519" s="689"/>
      <c r="C519" s="1417"/>
    </row>
    <row r="520" spans="1:3" ht="13.8" hidden="1" x14ac:dyDescent="0.25">
      <c r="A520" s="1416"/>
      <c r="B520" s="689"/>
      <c r="C520" s="1417"/>
    </row>
    <row r="521" spans="1:3" ht="13.8" hidden="1" x14ac:dyDescent="0.25">
      <c r="A521" s="1416"/>
      <c r="B521" s="689"/>
      <c r="C521" s="1417"/>
    </row>
    <row r="522" spans="1:3" ht="13.8" hidden="1" x14ac:dyDescent="0.25">
      <c r="A522" s="1416"/>
      <c r="B522" s="689"/>
      <c r="C522" s="1417"/>
    </row>
    <row r="523" spans="1:3" ht="13.8" hidden="1" x14ac:dyDescent="0.25">
      <c r="A523" s="1416"/>
      <c r="B523" s="689"/>
      <c r="C523" s="1417"/>
    </row>
    <row r="524" spans="1:3" s="688" customFormat="1" ht="45" hidden="1" customHeight="1" x14ac:dyDescent="0.25">
      <c r="A524" s="1418">
        <v>102050</v>
      </c>
      <c r="B524" s="690" t="s">
        <v>959</v>
      </c>
      <c r="C524" s="1419">
        <f>SUM(C525:C529)</f>
        <v>0</v>
      </c>
    </row>
    <row r="525" spans="1:3" ht="13.8" hidden="1" x14ac:dyDescent="0.25">
      <c r="A525" s="1416"/>
      <c r="B525" s="689"/>
      <c r="C525" s="1417"/>
    </row>
    <row r="526" spans="1:3" ht="13.8" hidden="1" x14ac:dyDescent="0.25">
      <c r="A526" s="1416"/>
      <c r="B526" s="689"/>
      <c r="C526" s="1417"/>
    </row>
    <row r="527" spans="1:3" ht="13.8" hidden="1" x14ac:dyDescent="0.25">
      <c r="A527" s="1416"/>
      <c r="B527" s="689"/>
      <c r="C527" s="1417"/>
    </row>
    <row r="528" spans="1:3" ht="13.8" hidden="1" x14ac:dyDescent="0.25">
      <c r="A528" s="1416"/>
      <c r="B528" s="689"/>
      <c r="C528" s="1417"/>
    </row>
    <row r="529" spans="1:3" ht="13.8" hidden="1" x14ac:dyDescent="0.25">
      <c r="A529" s="1416"/>
      <c r="B529" s="689"/>
      <c r="C529" s="1417"/>
    </row>
    <row r="530" spans="1:3" s="688" customFormat="1" ht="45" customHeight="1" x14ac:dyDescent="0.25">
      <c r="A530" s="1418">
        <v>104012</v>
      </c>
      <c r="B530" s="690" t="s">
        <v>1100</v>
      </c>
      <c r="C530" s="1419">
        <f>SUM(C531:C535)</f>
        <v>400</v>
      </c>
    </row>
    <row r="531" spans="1:3" ht="13.8" x14ac:dyDescent="0.25">
      <c r="A531" s="1416">
        <v>2850</v>
      </c>
      <c r="B531" s="689" t="s">
        <v>352</v>
      </c>
      <c r="C531" s="1417">
        <v>400</v>
      </c>
    </row>
    <row r="532" spans="1:3" ht="13.8" hidden="1" x14ac:dyDescent="0.25">
      <c r="A532" s="1416"/>
      <c r="B532" s="689"/>
      <c r="C532" s="1417"/>
    </row>
    <row r="533" spans="1:3" ht="13.8" hidden="1" x14ac:dyDescent="0.25">
      <c r="A533" s="1416"/>
      <c r="B533" s="689"/>
      <c r="C533" s="1417"/>
    </row>
    <row r="534" spans="1:3" ht="13.8" hidden="1" x14ac:dyDescent="0.25">
      <c r="A534" s="1416"/>
      <c r="B534" s="689"/>
      <c r="C534" s="1417"/>
    </row>
    <row r="535" spans="1:3" ht="13.8" x14ac:dyDescent="0.25">
      <c r="A535" s="1416"/>
      <c r="B535" s="689"/>
      <c r="C535" s="1417"/>
    </row>
    <row r="536" spans="1:3" s="688" customFormat="1" ht="45" hidden="1" customHeight="1" x14ac:dyDescent="0.25">
      <c r="A536" s="1418">
        <v>104030</v>
      </c>
      <c r="B536" s="690" t="s">
        <v>1098</v>
      </c>
      <c r="C536" s="1419">
        <f>SUM(C537:C541)</f>
        <v>0</v>
      </c>
    </row>
    <row r="537" spans="1:3" ht="13.8" hidden="1" x14ac:dyDescent="0.25">
      <c r="A537" s="1416"/>
      <c r="B537" s="689"/>
      <c r="C537" s="1417"/>
    </row>
    <row r="538" spans="1:3" ht="13.8" hidden="1" x14ac:dyDescent="0.25">
      <c r="A538" s="1416"/>
      <c r="B538" s="689"/>
      <c r="C538" s="1417"/>
    </row>
    <row r="539" spans="1:3" ht="13.8" hidden="1" x14ac:dyDescent="0.25">
      <c r="A539" s="1416"/>
      <c r="B539" s="689"/>
      <c r="C539" s="1417"/>
    </row>
    <row r="540" spans="1:3" ht="13.8" hidden="1" x14ac:dyDescent="0.25">
      <c r="A540" s="1416"/>
      <c r="B540" s="689"/>
      <c r="C540" s="1417"/>
    </row>
    <row r="541" spans="1:3" ht="13.8" hidden="1" x14ac:dyDescent="0.25">
      <c r="A541" s="1416"/>
      <c r="B541" s="689"/>
      <c r="C541" s="1417"/>
    </row>
    <row r="542" spans="1:3" s="688" customFormat="1" ht="45" customHeight="1" x14ac:dyDescent="0.25">
      <c r="A542" s="1418">
        <v>104031</v>
      </c>
      <c r="B542" s="690" t="s">
        <v>960</v>
      </c>
      <c r="C542" s="1419">
        <f>SUM(C543:C547)</f>
        <v>3600</v>
      </c>
    </row>
    <row r="543" spans="1:3" ht="13.8" x14ac:dyDescent="0.25">
      <c r="A543" s="1416">
        <v>2850</v>
      </c>
      <c r="B543" s="689" t="s">
        <v>352</v>
      </c>
      <c r="C543" s="1417">
        <v>3600</v>
      </c>
    </row>
    <row r="544" spans="1:3" ht="13.8" hidden="1" x14ac:dyDescent="0.25">
      <c r="A544" s="1416"/>
      <c r="B544" s="689"/>
      <c r="C544" s="1417"/>
    </row>
    <row r="545" spans="1:3" ht="13.8" hidden="1" x14ac:dyDescent="0.25">
      <c r="A545" s="1416"/>
      <c r="B545" s="689"/>
      <c r="C545" s="1417"/>
    </row>
    <row r="546" spans="1:3" ht="13.8" hidden="1" x14ac:dyDescent="0.25">
      <c r="A546" s="1416"/>
      <c r="B546" s="689"/>
      <c r="C546" s="1417"/>
    </row>
    <row r="547" spans="1:3" ht="13.8" x14ac:dyDescent="0.25">
      <c r="A547" s="1416"/>
      <c r="B547" s="689"/>
      <c r="C547" s="1417"/>
    </row>
    <row r="548" spans="1:3" s="688" customFormat="1" ht="45" customHeight="1" x14ac:dyDescent="0.25">
      <c r="A548" s="1418">
        <v>104035</v>
      </c>
      <c r="B548" s="690" t="s">
        <v>961</v>
      </c>
      <c r="C548" s="1419">
        <f>SUM(C549:C553)</f>
        <v>23908</v>
      </c>
    </row>
    <row r="549" spans="1:3" ht="13.8" x14ac:dyDescent="0.25">
      <c r="A549" s="1416">
        <v>2850</v>
      </c>
      <c r="B549" s="689" t="s">
        <v>352</v>
      </c>
      <c r="C549" s="1417">
        <v>23908</v>
      </c>
    </row>
    <row r="550" spans="1:3" ht="13.8" hidden="1" x14ac:dyDescent="0.25">
      <c r="A550" s="1416"/>
      <c r="B550" s="689"/>
      <c r="C550" s="1417"/>
    </row>
    <row r="551" spans="1:3" ht="13.8" hidden="1" x14ac:dyDescent="0.25">
      <c r="A551" s="1416"/>
      <c r="B551" s="689"/>
      <c r="C551" s="1417"/>
    </row>
    <row r="552" spans="1:3" ht="13.8" hidden="1" x14ac:dyDescent="0.25">
      <c r="A552" s="1416"/>
      <c r="B552" s="689"/>
      <c r="C552" s="1417"/>
    </row>
    <row r="553" spans="1:3" ht="13.8" x14ac:dyDescent="0.25">
      <c r="A553" s="1416"/>
      <c r="B553" s="689"/>
      <c r="C553" s="1417"/>
    </row>
    <row r="554" spans="1:3" s="688" customFormat="1" ht="45" customHeight="1" x14ac:dyDescent="0.25">
      <c r="A554" s="1418">
        <v>104036</v>
      </c>
      <c r="B554" s="690" t="s">
        <v>1097</v>
      </c>
      <c r="C554" s="1419">
        <f>SUM(C555:C559)</f>
        <v>7970</v>
      </c>
    </row>
    <row r="555" spans="1:3" ht="13.8" x14ac:dyDescent="0.25">
      <c r="A555" s="1416">
        <v>2850</v>
      </c>
      <c r="B555" s="689" t="s">
        <v>352</v>
      </c>
      <c r="C555" s="1417">
        <v>7970</v>
      </c>
    </row>
    <row r="556" spans="1:3" ht="13.8" hidden="1" x14ac:dyDescent="0.25">
      <c r="A556" s="1416"/>
      <c r="B556" s="689"/>
      <c r="C556" s="1417"/>
    </row>
    <row r="557" spans="1:3" ht="13.8" hidden="1" x14ac:dyDescent="0.25">
      <c r="A557" s="1416"/>
      <c r="B557" s="689"/>
      <c r="C557" s="1417"/>
    </row>
    <row r="558" spans="1:3" ht="13.8" hidden="1" x14ac:dyDescent="0.25">
      <c r="A558" s="1416"/>
      <c r="B558" s="689"/>
      <c r="C558" s="1417"/>
    </row>
    <row r="559" spans="1:3" ht="13.8" x14ac:dyDescent="0.25">
      <c r="A559" s="1416"/>
      <c r="B559" s="689"/>
      <c r="C559" s="1417"/>
    </row>
    <row r="560" spans="1:3" s="688" customFormat="1" ht="45" hidden="1" customHeight="1" x14ac:dyDescent="0.25">
      <c r="A560" s="1418">
        <v>104042</v>
      </c>
      <c r="B560" s="690" t="s">
        <v>1096</v>
      </c>
      <c r="C560" s="1419">
        <f>SUM(C561:C565)</f>
        <v>0</v>
      </c>
    </row>
    <row r="561" spans="1:3" ht="13.8" hidden="1" x14ac:dyDescent="0.25">
      <c r="A561" s="1416"/>
      <c r="B561" s="689"/>
      <c r="C561" s="1417"/>
    </row>
    <row r="562" spans="1:3" ht="13.8" hidden="1" x14ac:dyDescent="0.25">
      <c r="A562" s="1416"/>
      <c r="B562" s="689"/>
      <c r="C562" s="1417"/>
    </row>
    <row r="563" spans="1:3" ht="13.8" hidden="1" x14ac:dyDescent="0.25">
      <c r="A563" s="1416"/>
      <c r="B563" s="689"/>
      <c r="C563" s="1417"/>
    </row>
    <row r="564" spans="1:3" ht="13.8" hidden="1" x14ac:dyDescent="0.25">
      <c r="A564" s="1416"/>
      <c r="B564" s="689"/>
      <c r="C564" s="1417"/>
    </row>
    <row r="565" spans="1:3" ht="13.8" hidden="1" x14ac:dyDescent="0.25">
      <c r="A565" s="1416"/>
      <c r="B565" s="689"/>
      <c r="C565" s="1417"/>
    </row>
    <row r="566" spans="1:3" s="688" customFormat="1" ht="45" hidden="1" customHeight="1" x14ac:dyDescent="0.25">
      <c r="A566" s="1418">
        <v>104043</v>
      </c>
      <c r="B566" s="690" t="s">
        <v>1095</v>
      </c>
      <c r="C566" s="1419">
        <f>SUM(C567:C571)</f>
        <v>0</v>
      </c>
    </row>
    <row r="567" spans="1:3" ht="13.8" hidden="1" x14ac:dyDescent="0.25">
      <c r="A567" s="1416"/>
      <c r="B567" s="689"/>
      <c r="C567" s="1417"/>
    </row>
    <row r="568" spans="1:3" ht="13.8" hidden="1" x14ac:dyDescent="0.25">
      <c r="A568" s="1416"/>
      <c r="B568" s="689"/>
      <c r="C568" s="1417"/>
    </row>
    <row r="569" spans="1:3" ht="13.8" hidden="1" x14ac:dyDescent="0.25">
      <c r="A569" s="1416"/>
      <c r="B569" s="689"/>
      <c r="C569" s="1417"/>
    </row>
    <row r="570" spans="1:3" ht="13.8" hidden="1" x14ac:dyDescent="0.25">
      <c r="A570" s="1416"/>
      <c r="B570" s="689"/>
      <c r="C570" s="1417"/>
    </row>
    <row r="571" spans="1:3" ht="13.8" hidden="1" x14ac:dyDescent="0.25">
      <c r="A571" s="1416"/>
      <c r="B571" s="689"/>
      <c r="C571" s="1417"/>
    </row>
    <row r="572" spans="1:3" s="688" customFormat="1" ht="45" hidden="1" customHeight="1" x14ac:dyDescent="0.25">
      <c r="A572" s="1418">
        <v>106020</v>
      </c>
      <c r="B572" s="690" t="s">
        <v>962</v>
      </c>
      <c r="C572" s="1419">
        <f>SUM(C573:C577)</f>
        <v>0</v>
      </c>
    </row>
    <row r="573" spans="1:3" ht="13.8" hidden="1" x14ac:dyDescent="0.25">
      <c r="A573" s="1416"/>
      <c r="B573" s="689"/>
      <c r="C573" s="1417"/>
    </row>
    <row r="574" spans="1:3" ht="13.8" hidden="1" x14ac:dyDescent="0.25">
      <c r="A574" s="1416"/>
      <c r="B574" s="689"/>
      <c r="C574" s="1417"/>
    </row>
    <row r="575" spans="1:3" ht="13.8" hidden="1" x14ac:dyDescent="0.25">
      <c r="A575" s="1416"/>
      <c r="B575" s="689"/>
      <c r="C575" s="1417"/>
    </row>
    <row r="576" spans="1:3" ht="13.8" hidden="1" x14ac:dyDescent="0.25">
      <c r="A576" s="1416"/>
      <c r="B576" s="689"/>
      <c r="C576" s="1417"/>
    </row>
    <row r="577" spans="1:3" ht="13.8" hidden="1" x14ac:dyDescent="0.25">
      <c r="A577" s="1416"/>
      <c r="B577" s="689"/>
      <c r="C577" s="1417"/>
    </row>
    <row r="578" spans="1:3" s="688" customFormat="1" ht="45" hidden="1" customHeight="1" x14ac:dyDescent="0.25">
      <c r="A578" s="1418">
        <v>107015</v>
      </c>
      <c r="B578" s="690" t="s">
        <v>963</v>
      </c>
      <c r="C578" s="1419">
        <f>SUM(C579:C583)</f>
        <v>0</v>
      </c>
    </row>
    <row r="579" spans="1:3" ht="13.8" hidden="1" x14ac:dyDescent="0.25">
      <c r="A579" s="1416"/>
      <c r="B579" s="689"/>
      <c r="C579" s="1417"/>
    </row>
    <row r="580" spans="1:3" ht="13.8" hidden="1" x14ac:dyDescent="0.25">
      <c r="A580" s="1416"/>
      <c r="B580" s="689"/>
      <c r="C580" s="1417"/>
    </row>
    <row r="581" spans="1:3" ht="13.8" hidden="1" x14ac:dyDescent="0.25">
      <c r="A581" s="1416"/>
      <c r="B581" s="689"/>
      <c r="C581" s="1417"/>
    </row>
    <row r="582" spans="1:3" ht="13.8" hidden="1" x14ac:dyDescent="0.25">
      <c r="A582" s="1416"/>
      <c r="B582" s="689"/>
      <c r="C582" s="1417"/>
    </row>
    <row r="583" spans="1:3" ht="13.8" hidden="1" x14ac:dyDescent="0.25">
      <c r="A583" s="1416"/>
      <c r="B583" s="689"/>
      <c r="C583" s="1417"/>
    </row>
    <row r="584" spans="1:3" s="688" customFormat="1" ht="45" hidden="1" customHeight="1" x14ac:dyDescent="0.25">
      <c r="A584" s="1418">
        <v>107016</v>
      </c>
      <c r="B584" s="690" t="s">
        <v>964</v>
      </c>
      <c r="C584" s="1419">
        <f>SUM(C585:C589)</f>
        <v>0</v>
      </c>
    </row>
    <row r="585" spans="1:3" ht="13.8" hidden="1" x14ac:dyDescent="0.25">
      <c r="A585" s="1416"/>
      <c r="B585" s="689"/>
      <c r="C585" s="1417"/>
    </row>
    <row r="586" spans="1:3" ht="13.8" hidden="1" x14ac:dyDescent="0.25">
      <c r="A586" s="1416"/>
      <c r="B586" s="689"/>
      <c r="C586" s="1417"/>
    </row>
    <row r="587" spans="1:3" ht="13.8" hidden="1" x14ac:dyDescent="0.25">
      <c r="A587" s="1416"/>
      <c r="B587" s="689"/>
      <c r="C587" s="1417"/>
    </row>
    <row r="588" spans="1:3" ht="13.8" hidden="1" x14ac:dyDescent="0.25">
      <c r="A588" s="1416"/>
      <c r="B588" s="689"/>
      <c r="C588" s="1417"/>
    </row>
    <row r="589" spans="1:3" ht="13.8" hidden="1" x14ac:dyDescent="0.25">
      <c r="A589" s="1416"/>
      <c r="B589" s="689"/>
      <c r="C589" s="1417"/>
    </row>
    <row r="590" spans="1:3" s="688" customFormat="1" ht="45" customHeight="1" x14ac:dyDescent="0.25">
      <c r="A590" s="1418">
        <v>107051</v>
      </c>
      <c r="B590" s="690" t="s">
        <v>1094</v>
      </c>
      <c r="C590" s="1419">
        <f>SUM(C591:C595)</f>
        <v>53575</v>
      </c>
    </row>
    <row r="591" spans="1:3" ht="13.8" x14ac:dyDescent="0.25">
      <c r="A591" s="1416">
        <v>2850</v>
      </c>
      <c r="B591" s="689" t="s">
        <v>352</v>
      </c>
      <c r="C591" s="1417">
        <v>53575</v>
      </c>
    </row>
    <row r="592" spans="1:3" ht="13.8" hidden="1" x14ac:dyDescent="0.25">
      <c r="A592" s="1416"/>
      <c r="B592" s="689"/>
      <c r="C592" s="1417"/>
    </row>
    <row r="593" spans="1:3" ht="13.8" hidden="1" x14ac:dyDescent="0.25">
      <c r="A593" s="1416"/>
      <c r="B593" s="689"/>
      <c r="C593" s="1417"/>
    </row>
    <row r="594" spans="1:3" ht="13.8" hidden="1" x14ac:dyDescent="0.25">
      <c r="A594" s="1416"/>
      <c r="B594" s="689"/>
      <c r="C594" s="1417"/>
    </row>
    <row r="595" spans="1:3" ht="13.8" x14ac:dyDescent="0.25">
      <c r="A595" s="1416"/>
      <c r="B595" s="689"/>
      <c r="C595" s="1417"/>
    </row>
    <row r="596" spans="1:3" s="688" customFormat="1" ht="45" customHeight="1" x14ac:dyDescent="0.25">
      <c r="A596" s="1418">
        <v>107052</v>
      </c>
      <c r="B596" s="690" t="s">
        <v>965</v>
      </c>
      <c r="C596" s="1419">
        <f>SUM(C597:C601)</f>
        <v>8500</v>
      </c>
    </row>
    <row r="597" spans="1:3" ht="13.8" x14ac:dyDescent="0.25">
      <c r="A597" s="1416">
        <v>2850</v>
      </c>
      <c r="B597" s="689" t="s">
        <v>352</v>
      </c>
      <c r="C597" s="1417">
        <v>8500</v>
      </c>
    </row>
    <row r="598" spans="1:3" ht="13.8" hidden="1" x14ac:dyDescent="0.25">
      <c r="A598" s="1416"/>
      <c r="B598" s="689"/>
      <c r="C598" s="1417"/>
    </row>
    <row r="599" spans="1:3" ht="13.8" hidden="1" x14ac:dyDescent="0.25">
      <c r="A599" s="1416"/>
      <c r="B599" s="689"/>
      <c r="C599" s="1417"/>
    </row>
    <row r="600" spans="1:3" ht="13.8" hidden="1" x14ac:dyDescent="0.25">
      <c r="A600" s="1416"/>
      <c r="B600" s="689"/>
      <c r="C600" s="1417"/>
    </row>
    <row r="601" spans="1:3" ht="13.8" x14ac:dyDescent="0.25">
      <c r="A601" s="1416"/>
      <c r="B601" s="689"/>
      <c r="C601" s="1417"/>
    </row>
    <row r="602" spans="1:3" s="688" customFormat="1" ht="45" hidden="1" customHeight="1" x14ac:dyDescent="0.25">
      <c r="A602" s="1418">
        <v>107053</v>
      </c>
      <c r="B602" s="690" t="s">
        <v>162</v>
      </c>
      <c r="C602" s="1419">
        <f>SUM(C603:C607)</f>
        <v>0</v>
      </c>
    </row>
    <row r="603" spans="1:3" ht="13.8" hidden="1" x14ac:dyDescent="0.25">
      <c r="A603" s="1416"/>
      <c r="B603" s="689"/>
      <c r="C603" s="1417"/>
    </row>
    <row r="604" spans="1:3" ht="13.8" hidden="1" x14ac:dyDescent="0.25">
      <c r="A604" s="1416"/>
      <c r="B604" s="689"/>
      <c r="C604" s="1417"/>
    </row>
    <row r="605" spans="1:3" ht="13.8" hidden="1" x14ac:dyDescent="0.25">
      <c r="A605" s="1416"/>
      <c r="B605" s="689"/>
      <c r="C605" s="1417"/>
    </row>
    <row r="606" spans="1:3" ht="13.8" hidden="1" x14ac:dyDescent="0.25">
      <c r="A606" s="1416"/>
      <c r="B606" s="689"/>
      <c r="C606" s="1417"/>
    </row>
    <row r="607" spans="1:3" ht="13.8" hidden="1" x14ac:dyDescent="0.25">
      <c r="A607" s="1416"/>
      <c r="B607" s="689"/>
      <c r="C607" s="1417"/>
    </row>
    <row r="608" spans="1:3" s="688" customFormat="1" ht="45" hidden="1" customHeight="1" x14ac:dyDescent="0.25">
      <c r="A608" s="1418">
        <v>107090</v>
      </c>
      <c r="B608" s="690" t="s">
        <v>967</v>
      </c>
      <c r="C608" s="1419">
        <f>SUM(C609:C613)</f>
        <v>0</v>
      </c>
    </row>
    <row r="609" spans="1:3" ht="13.8" hidden="1" x14ac:dyDescent="0.25">
      <c r="A609" s="1416"/>
      <c r="B609" s="689"/>
      <c r="C609" s="1417"/>
    </row>
    <row r="610" spans="1:3" ht="13.8" hidden="1" x14ac:dyDescent="0.25">
      <c r="A610" s="1416"/>
      <c r="B610" s="689"/>
      <c r="C610" s="1417"/>
    </row>
    <row r="611" spans="1:3" ht="13.8" hidden="1" x14ac:dyDescent="0.25">
      <c r="A611" s="1416"/>
      <c r="B611" s="689"/>
      <c r="C611" s="1417"/>
    </row>
    <row r="612" spans="1:3" ht="13.8" hidden="1" x14ac:dyDescent="0.25">
      <c r="A612" s="1416"/>
      <c r="B612" s="689"/>
      <c r="C612" s="1417"/>
    </row>
    <row r="613" spans="1:3" ht="13.8" hidden="1" x14ac:dyDescent="0.25">
      <c r="A613" s="1416"/>
      <c r="B613" s="689"/>
      <c r="C613" s="1417"/>
    </row>
    <row r="614" spans="1:3" s="688" customFormat="1" ht="45" customHeight="1" x14ac:dyDescent="0.25">
      <c r="A614" s="1418">
        <v>109010</v>
      </c>
      <c r="B614" s="690" t="s">
        <v>1079</v>
      </c>
      <c r="C614" s="1419">
        <f>SUM(C615:C619)</f>
        <v>18000</v>
      </c>
    </row>
    <row r="615" spans="1:3" ht="13.8" x14ac:dyDescent="0.25">
      <c r="A615" s="1416">
        <v>2850</v>
      </c>
      <c r="B615" s="689" t="s">
        <v>352</v>
      </c>
      <c r="C615" s="1417">
        <v>18000</v>
      </c>
    </row>
    <row r="616" spans="1:3" ht="13.8" hidden="1" x14ac:dyDescent="0.25">
      <c r="A616" s="1416"/>
      <c r="B616" s="689"/>
      <c r="C616" s="1417"/>
    </row>
    <row r="617" spans="1:3" ht="13.8" hidden="1" x14ac:dyDescent="0.25">
      <c r="A617" s="1416"/>
      <c r="B617" s="689"/>
      <c r="C617" s="1417"/>
    </row>
    <row r="618" spans="1:3" ht="13.8" hidden="1" x14ac:dyDescent="0.25">
      <c r="A618" s="1416"/>
      <c r="B618" s="689"/>
      <c r="C618" s="1417"/>
    </row>
    <row r="619" spans="1:3" ht="13.8" x14ac:dyDescent="0.25">
      <c r="A619" s="1416"/>
      <c r="B619" s="689"/>
      <c r="C619" s="1417"/>
    </row>
    <row r="620" spans="1:3" s="688" customFormat="1" ht="45" customHeight="1" x14ac:dyDescent="0.25">
      <c r="A620" s="1418">
        <v>900020</v>
      </c>
      <c r="B620" s="690" t="s">
        <v>974</v>
      </c>
      <c r="C620" s="1419">
        <f>SUM(C621:C630)</f>
        <v>18262056</v>
      </c>
    </row>
    <row r="621" spans="1:3" ht="13.8" x14ac:dyDescent="0.25">
      <c r="A621" s="1416">
        <v>1041</v>
      </c>
      <c r="B621" s="689" t="s">
        <v>674</v>
      </c>
      <c r="C621" s="1417">
        <f>SUM('1. mell 2 pont '!D25)</f>
        <v>6800000</v>
      </c>
    </row>
    <row r="622" spans="1:3" ht="13.8" x14ac:dyDescent="0.25">
      <c r="A622" s="1416">
        <v>1042</v>
      </c>
      <c r="B622" s="689" t="s">
        <v>677</v>
      </c>
      <c r="C622" s="1417">
        <f>SUM('1. mell 2 pont '!D26)</f>
        <v>750000</v>
      </c>
    </row>
    <row r="623" spans="1:3" ht="13.8" x14ac:dyDescent="0.25">
      <c r="A623" s="1416">
        <v>1051</v>
      </c>
      <c r="B623" s="689" t="s">
        <v>975</v>
      </c>
      <c r="C623" s="1417">
        <f>SUM('1. mell 2 pont '!D28)</f>
        <v>9823750</v>
      </c>
    </row>
    <row r="624" spans="1:3" ht="13.8" x14ac:dyDescent="0.25">
      <c r="A624" s="1416">
        <v>1052</v>
      </c>
      <c r="B624" s="689" t="s">
        <v>1279</v>
      </c>
      <c r="C624" s="1417">
        <f>SUM('1. mell 2 pont '!D29)</f>
        <v>0</v>
      </c>
    </row>
    <row r="625" spans="1:3" ht="13.8" x14ac:dyDescent="0.25">
      <c r="A625" s="1416">
        <v>1053</v>
      </c>
      <c r="B625" s="689" t="s">
        <v>976</v>
      </c>
      <c r="C625" s="1417">
        <f>SUM('1. mell 2 pont '!D30)</f>
        <v>820000</v>
      </c>
    </row>
    <row r="626" spans="1:3" ht="13.8" x14ac:dyDescent="0.25">
      <c r="A626" s="1416">
        <v>1072</v>
      </c>
      <c r="B626" s="689" t="s">
        <v>1278</v>
      </c>
      <c r="C626" s="1417">
        <f>SUM('1. mell 2 pont '!D33)</f>
        <v>0</v>
      </c>
    </row>
    <row r="627" spans="1:3" ht="13.8" x14ac:dyDescent="0.25">
      <c r="A627" s="1416">
        <v>1075</v>
      </c>
      <c r="B627" s="689" t="s">
        <v>1277</v>
      </c>
      <c r="C627" s="1417">
        <f>SUM('1. mell 2 pont '!D36)</f>
        <v>40000</v>
      </c>
    </row>
    <row r="628" spans="1:3" ht="13.8" x14ac:dyDescent="0.25">
      <c r="A628" s="1416">
        <v>1076</v>
      </c>
      <c r="B628" s="689" t="s">
        <v>977</v>
      </c>
      <c r="C628" s="1417">
        <f>SUM('1. mell 2 pont '!D37)</f>
        <v>28306</v>
      </c>
    </row>
    <row r="629" spans="1:3" ht="13.8" x14ac:dyDescent="0.25">
      <c r="A629" s="1416">
        <v>1078</v>
      </c>
      <c r="B629" s="689" t="s">
        <v>1306</v>
      </c>
      <c r="C629" s="1417">
        <f>SUM('1. mell 2 pont '!D39)</f>
        <v>0</v>
      </c>
    </row>
    <row r="630" spans="1:3" ht="13.8" x14ac:dyDescent="0.25">
      <c r="A630" s="1416"/>
      <c r="B630" s="689"/>
      <c r="C630" s="1417"/>
    </row>
    <row r="631" spans="1:3" s="688" customFormat="1" ht="45" customHeight="1" x14ac:dyDescent="0.25">
      <c r="A631" s="1418">
        <v>900060</v>
      </c>
      <c r="B631" s="690" t="s">
        <v>968</v>
      </c>
      <c r="C631" s="1419">
        <f>SUM(C632:C636)</f>
        <v>11500000</v>
      </c>
    </row>
    <row r="632" spans="1:3" ht="13.8" x14ac:dyDescent="0.25">
      <c r="A632" s="1416">
        <v>1219</v>
      </c>
      <c r="B632" s="689" t="s">
        <v>377</v>
      </c>
      <c r="C632" s="1417">
        <f>SUM('1. mell 2 pont '!D123)</f>
        <v>11500000</v>
      </c>
    </row>
    <row r="633" spans="1:3" ht="13.8" hidden="1" x14ac:dyDescent="0.25">
      <c r="A633" s="1416"/>
      <c r="B633" s="689"/>
      <c r="C633" s="1417"/>
    </row>
    <row r="634" spans="1:3" ht="13.8" hidden="1" x14ac:dyDescent="0.25">
      <c r="A634" s="1416"/>
      <c r="B634" s="689"/>
      <c r="C634" s="1417"/>
    </row>
    <row r="635" spans="1:3" ht="13.8" hidden="1" x14ac:dyDescent="0.25">
      <c r="A635" s="1416"/>
      <c r="B635" s="689"/>
      <c r="C635" s="1417"/>
    </row>
    <row r="636" spans="1:3" ht="13.8" x14ac:dyDescent="0.25">
      <c r="A636" s="1416"/>
      <c r="B636" s="689"/>
      <c r="C636" s="1417"/>
    </row>
    <row r="637" spans="1:3" s="688" customFormat="1" ht="45" customHeight="1" x14ac:dyDescent="0.25">
      <c r="A637" s="1418">
        <v>900090</v>
      </c>
      <c r="B637" s="690" t="s">
        <v>1076</v>
      </c>
      <c r="C637" s="1419">
        <f>SUM(C638:C642)</f>
        <v>10312</v>
      </c>
    </row>
    <row r="638" spans="1:3" ht="13.8" x14ac:dyDescent="0.25">
      <c r="A638" s="1416">
        <v>2850</v>
      </c>
      <c r="B638" s="689" t="s">
        <v>352</v>
      </c>
      <c r="C638" s="1417">
        <v>10312</v>
      </c>
    </row>
    <row r="639" spans="1:3" ht="13.8" hidden="1" x14ac:dyDescent="0.25">
      <c r="A639" s="1416"/>
      <c r="B639" s="689"/>
      <c r="C639" s="1417"/>
    </row>
    <row r="640" spans="1:3" ht="13.8" hidden="1" x14ac:dyDescent="0.25">
      <c r="A640" s="1416"/>
      <c r="B640" s="689"/>
      <c r="C640" s="1417"/>
    </row>
    <row r="641" spans="1:3" ht="13.8" hidden="1" x14ac:dyDescent="0.25">
      <c r="A641" s="1416"/>
      <c r="B641" s="689"/>
      <c r="C641" s="1417"/>
    </row>
    <row r="642" spans="1:3" ht="13.8" hidden="1" x14ac:dyDescent="0.25">
      <c r="A642" s="1416"/>
      <c r="B642" s="689"/>
      <c r="C642" s="1417"/>
    </row>
    <row r="643" spans="1:3" ht="14.4" thickBot="1" x14ac:dyDescent="0.3">
      <c r="A643" s="1422"/>
      <c r="B643" s="1423"/>
      <c r="C643" s="1424"/>
    </row>
    <row r="644" spans="1:3" s="688" customFormat="1" ht="38.4" customHeight="1" thickBot="1" x14ac:dyDescent="0.3">
      <c r="A644" s="1783" t="s">
        <v>1075</v>
      </c>
      <c r="B644" s="1784"/>
      <c r="C644" s="1425">
        <f>SUM(C637+C631+C620+C614+C608+C602+C596+C590+C584+C578+C572+C566+C560+C554+C548+C542+C536+C530+C524+C518+C512+C506+C500+C494+C488+C482+C476+C470+C464+C458+C452+C446+C440+C434+C428+C422+C416+C410+C404+C398+C392+C386+C380+C374+C368+C362+C356+C350+C344+C338+C332+C326+C320+C314+C308+C302+C296+C290+C284+C278+C272+C266+C260+C254+C248+C242+C236+C230+C224+C218+C212+C206+C200+C194+C188+C182+C176+C170+C164+C158+C149+C143+C137+C131+C125+C119+C113+C107+C99+C90+C84+C74+C68+C62+C56+C50+C32+C26+C20+C5)</f>
        <v>48895795</v>
      </c>
    </row>
  </sheetData>
  <mergeCells count="4">
    <mergeCell ref="A1:C1"/>
    <mergeCell ref="A2:C2"/>
    <mergeCell ref="A3:C3"/>
    <mergeCell ref="A644:B64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firstPageNumber="83" orientation="portrait" useFirstPageNumber="1" r:id="rId1"/>
  <headerFooter>
    <oddFooter>&amp;C&amp;P.oldal</oddFooter>
  </headerFooter>
  <rowBreaks count="3" manualBreakCount="3">
    <brk id="148" max="16383" man="1"/>
    <brk id="319" max="16383" man="1"/>
    <brk id="5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22</vt:i4>
      </vt:variant>
    </vt:vector>
  </HeadingPairs>
  <TitlesOfParts>
    <vt:vector size="43" baseType="lpstr">
      <vt:lpstr>1. mell 1. pont</vt:lpstr>
      <vt:lpstr>1. mell 2 pont </vt:lpstr>
      <vt:lpstr>1. mell 3. pont </vt:lpstr>
      <vt:lpstr>2.mell</vt:lpstr>
      <vt:lpstr>3 mell 1. pont</vt:lpstr>
      <vt:lpstr>3 mell. 2. pont</vt:lpstr>
      <vt:lpstr>3 mell 3. pont</vt:lpstr>
      <vt:lpstr>4.mell.</vt:lpstr>
      <vt:lpstr>5.mell. </vt:lpstr>
      <vt:lpstr>6.mell. </vt:lpstr>
      <vt:lpstr>7.mell.</vt:lpstr>
      <vt:lpstr>8.mell. </vt:lpstr>
      <vt:lpstr>9.mell.</vt:lpstr>
      <vt:lpstr>10.mell </vt:lpstr>
      <vt:lpstr>11.mell</vt:lpstr>
      <vt:lpstr>12.mell</vt:lpstr>
      <vt:lpstr>13.mell</vt:lpstr>
      <vt:lpstr>14.mell</vt:lpstr>
      <vt:lpstr>15.mell</vt:lpstr>
      <vt:lpstr>16.mell</vt:lpstr>
      <vt:lpstr>17.mell</vt:lpstr>
      <vt:lpstr>'1. mell 2 pont '!Nyomtatási_cím</vt:lpstr>
      <vt:lpstr>'1. mell 3. pont '!Nyomtatási_cím</vt:lpstr>
      <vt:lpstr>'11.mell'!Nyomtatási_cím</vt:lpstr>
      <vt:lpstr>'12.mell'!Nyomtatási_cím</vt:lpstr>
      <vt:lpstr>'2.mell'!Nyomtatási_cím</vt:lpstr>
      <vt:lpstr>'3 mell 1. pont'!Nyomtatási_cím</vt:lpstr>
      <vt:lpstr>'3 mell 3. pont'!Nyomtatási_cím</vt:lpstr>
      <vt:lpstr>'3 mell. 2. pont'!Nyomtatási_cím</vt:lpstr>
      <vt:lpstr>'4.mell.'!Nyomtatási_cím</vt:lpstr>
      <vt:lpstr>'5.mell. '!Nyomtatási_cím</vt:lpstr>
      <vt:lpstr>'6.mell. '!Nyomtatási_cím</vt:lpstr>
      <vt:lpstr>'1. mell 1. pont'!Nyomtatási_terület</vt:lpstr>
      <vt:lpstr>'1. mell 2 pont '!Nyomtatási_terület</vt:lpstr>
      <vt:lpstr>'1. mell 3. pont '!Nyomtatási_terület</vt:lpstr>
      <vt:lpstr>'11.mell'!Nyomtatási_terület</vt:lpstr>
      <vt:lpstr>'16.mell'!Nyomtatási_terület</vt:lpstr>
      <vt:lpstr>'2.mell'!Nyomtatási_terület</vt:lpstr>
      <vt:lpstr>'3 mell 3. pont'!Nyomtatási_terület</vt:lpstr>
      <vt:lpstr>'3 mell. 2. pont'!Nyomtatási_terület</vt:lpstr>
      <vt:lpstr>'4.mell.'!Nyomtatási_terület</vt:lpstr>
      <vt:lpstr>'8.mell. '!Nyomtatási_terület</vt:lpstr>
      <vt:lpstr>'9.mell.'!Nyomtatási_terület</vt:lpstr>
    </vt:vector>
  </TitlesOfParts>
  <Company>Fradi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Ferencvárosi Önkormányzat</dc:creator>
  <cp:lastModifiedBy>Sóki Attila</cp:lastModifiedBy>
  <cp:lastPrinted>2026-05-12T09:49:40Z</cp:lastPrinted>
  <dcterms:created xsi:type="dcterms:W3CDTF">2004-02-02T11:10:51Z</dcterms:created>
  <dcterms:modified xsi:type="dcterms:W3CDTF">2026-05-14T10:05:54Z</dcterms:modified>
</cp:coreProperties>
</file>